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workbookProtection workbookAlgorithmName="SHA-512" workbookHashValue="umjs4BJhf/bdSlb4DMTkxYLQuj/ac3lkH211HAgIQwLQf2MBVmWWWSNR0gUYt8o5URutF4hO1+/KLfSxzLmTNg==" workbookSaltValue="zr3lb1ujIAchgi3VnwMXZg==" workbookSpinCount="100000" lockStructure="1"/>
  <bookViews>
    <workbookView xWindow="0" yWindow="0" windowWidth="22692" windowHeight="11112" tabRatio="769" activeTab="6"/>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524" i="29"/>
  <c r="J523" i="29"/>
  <c r="J522" i="29"/>
  <c r="J521" i="29"/>
  <c r="J520" i="29"/>
  <c r="J519" i="29"/>
  <c r="J518" i="29"/>
  <c r="J517" i="29"/>
  <c r="J516" i="29"/>
  <c r="J515" i="29"/>
  <c r="J514" i="29"/>
  <c r="J513" i="29"/>
  <c r="J511" i="29"/>
  <c r="J492" i="29"/>
  <c r="J491" i="29"/>
  <c r="J490" i="29"/>
  <c r="J489" i="29"/>
  <c r="J488" i="29"/>
  <c r="J487" i="29"/>
  <c r="J486" i="29"/>
  <c r="J485" i="29"/>
  <c r="J484" i="29"/>
  <c r="J483" i="29"/>
  <c r="J482" i="29"/>
  <c r="J481" i="29"/>
  <c r="J480" i="29"/>
  <c r="J479" i="29"/>
  <c r="J478" i="29"/>
  <c r="J477" i="29"/>
  <c r="J476" i="29"/>
  <c r="J475" i="29"/>
  <c r="J474" i="29"/>
  <c r="J451" i="29"/>
  <c r="J450" i="29"/>
  <c r="J449" i="29"/>
  <c r="J448" i="29"/>
  <c r="J447" i="29"/>
  <c r="J446" i="29"/>
  <c r="J445" i="29"/>
  <c r="J444" i="29"/>
  <c r="J443" i="29"/>
  <c r="J442" i="29"/>
  <c r="J441" i="29"/>
  <c r="J440" i="29"/>
  <c r="J439" i="29"/>
  <c r="J438" i="29"/>
  <c r="J437" i="29"/>
  <c r="J436" i="29"/>
  <c r="J410" i="29"/>
  <c r="J409" i="29"/>
  <c r="J408" i="29"/>
  <c r="J407" i="29"/>
  <c r="J406" i="29"/>
  <c r="J405" i="29"/>
  <c r="J404" i="29"/>
  <c r="J403" i="29"/>
  <c r="J402" i="29"/>
  <c r="J401" i="29"/>
  <c r="J400" i="29"/>
  <c r="J399" i="29"/>
  <c r="J398" i="29"/>
  <c r="J397" i="29"/>
  <c r="J396" i="29"/>
  <c r="J395" i="29"/>
  <c r="J394" i="29"/>
  <c r="J369" i="29"/>
  <c r="J368" i="29"/>
  <c r="J367" i="29"/>
  <c r="J366" i="29"/>
  <c r="J365" i="29"/>
  <c r="J364" i="29"/>
  <c r="J363" i="29"/>
  <c r="J362" i="29"/>
  <c r="J361" i="29"/>
  <c r="J360" i="29"/>
  <c r="J359" i="29"/>
  <c r="J358" i="29"/>
  <c r="J357" i="29"/>
  <c r="J356" i="29"/>
  <c r="J355" i="29"/>
  <c r="J354" i="29"/>
  <c r="J328" i="29"/>
  <c r="J327" i="29"/>
  <c r="J326" i="29"/>
  <c r="J325" i="29"/>
  <c r="J324" i="29"/>
  <c r="J323" i="29"/>
  <c r="J322" i="29"/>
  <c r="J321" i="29"/>
  <c r="J320" i="29"/>
  <c r="J319" i="29"/>
  <c r="J318" i="29"/>
  <c r="J317" i="29"/>
  <c r="J316" i="29"/>
  <c r="J315" i="29"/>
  <c r="J314" i="29"/>
  <c r="J313" i="29"/>
  <c r="J312"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I422" i="29" s="1"/>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Y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894" i="29" l="1"/>
  <c r="AA1761" i="29"/>
  <c r="Z1962" i="29"/>
  <c r="S174" i="29"/>
  <c r="AA1148" i="29"/>
  <c r="Z899" i="29"/>
  <c r="AA1143" i="29"/>
  <c r="Z1588" i="29"/>
  <c r="AA1188" i="29"/>
  <c r="AA1270" i="29"/>
  <c r="AA1554" i="29"/>
  <c r="Z1874" i="29"/>
  <c r="AA1961"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AA810" i="29"/>
  <c r="Z1800" i="29"/>
  <c r="AA609" i="29"/>
  <c r="AA281" i="29"/>
  <c r="Z940" i="29"/>
  <c r="Z982" i="29"/>
  <c r="AA1271" i="29"/>
  <c r="AA1312" i="29"/>
  <c r="AA1389" i="29"/>
  <c r="AA1517" i="29"/>
  <c r="Z735" i="29"/>
  <c r="AA163" i="29"/>
  <c r="AA164" i="29"/>
  <c r="AA697" i="29"/>
  <c r="Z858" i="29"/>
  <c r="AA1551" i="29"/>
  <c r="Z1593" i="29"/>
  <c r="AA1636" i="29"/>
  <c r="AA1639" i="29"/>
  <c r="AA78" i="29"/>
  <c r="I459" i="29"/>
  <c r="AA897" i="29"/>
  <c r="AA1837" i="29"/>
  <c r="AA1845" i="29"/>
  <c r="AA981" i="29"/>
  <c r="Z1055" i="29"/>
  <c r="Z1384" i="29"/>
  <c r="L1484" i="29"/>
  <c r="AK471" i="29"/>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AA446" i="29"/>
  <c r="Z360" i="29"/>
  <c r="I500" i="29"/>
  <c r="I172"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B1131"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A1130" i="29" l="1"/>
  <c r="L377" i="29"/>
  <c r="L172" i="29"/>
  <c r="AA147" i="29"/>
  <c r="AB392" i="29"/>
  <c r="AB1253" i="29"/>
  <c r="AA146" i="29"/>
  <c r="L49" i="29"/>
  <c r="L295"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W5" i="34" l="1"/>
  <c r="BW3" i="34"/>
  <c r="BV3" i="34" s="1"/>
  <c r="BV2" i="34" s="1"/>
  <c r="BH3" i="34"/>
  <c r="BG3" i="34" s="1"/>
  <c r="BG2" i="34" s="1"/>
  <c r="BM3" i="34"/>
  <c r="BR3" i="34"/>
  <c r="BQ3" i="34" s="1"/>
  <c r="L542" i="29" s="1"/>
  <c r="GL2" i="34"/>
  <c r="L1567" i="29"/>
  <c r="HF2" i="34"/>
  <c r="L1731" i="29"/>
  <c r="HZ2" i="34"/>
  <c r="L1895" i="29"/>
  <c r="GQ2" i="34"/>
  <c r="L1608" i="29"/>
  <c r="HK2" i="34"/>
  <c r="L1772" i="29"/>
  <c r="IE2" i="34"/>
  <c r="L1936" i="29"/>
  <c r="GB2" i="34"/>
  <c r="L1485" i="29"/>
  <c r="GV2" i="34"/>
  <c r="L1649" i="29"/>
  <c r="HP2" i="34"/>
  <c r="L1813" i="29"/>
  <c r="IJ2" i="34"/>
  <c r="L1977" i="29"/>
  <c r="GG2" i="34"/>
  <c r="L1526" i="29"/>
  <c r="HA2" i="34"/>
  <c r="L1690" i="29"/>
  <c r="HU2" i="34"/>
  <c r="L1854" i="29"/>
  <c r="AX3" i="34"/>
  <c r="AS3" i="34"/>
  <c r="FC3" i="34"/>
  <c r="FC2" i="34" s="1"/>
  <c r="EN3" i="34"/>
  <c r="L1157" i="29" s="1"/>
  <c r="DY3" i="34"/>
  <c r="L1034" i="29" s="1"/>
  <c r="DT3" i="34"/>
  <c r="DT2" i="34" s="1"/>
  <c r="DE3" i="34"/>
  <c r="L870" i="29" s="1"/>
  <c r="CZ3" i="34"/>
  <c r="CZ2" i="34" s="1"/>
  <c r="CU3" i="34"/>
  <c r="L788" i="29" s="1"/>
  <c r="CP3" i="34"/>
  <c r="CP2" i="34"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BL3" i="34" l="1"/>
  <c r="BL2" i="34" s="1"/>
  <c r="IO2" i="34"/>
  <c r="L2018" i="29"/>
  <c r="AW3" i="34"/>
  <c r="AW2" i="34" s="1"/>
  <c r="AR3" i="34"/>
  <c r="L337" i="29" s="1"/>
  <c r="L1321" i="29"/>
  <c r="L1280" i="29"/>
  <c r="EN2" i="34"/>
  <c r="L1075" i="29"/>
  <c r="ED2" i="34"/>
  <c r="DY2" i="34"/>
  <c r="L993" i="29"/>
  <c r="DE2" i="34"/>
  <c r="L829" i="29"/>
  <c r="CU2" i="34"/>
  <c r="L747" i="29"/>
  <c r="L706" i="29"/>
  <c r="CA2" i="34"/>
  <c r="L624"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378" i="29"/>
  <c r="AR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858" i="29" l="1"/>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V461" i="29" s="1"/>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97" i="29" l="1"/>
  <c r="V338" i="29"/>
  <c r="V502" i="29"/>
  <c r="V584" i="29"/>
  <c r="V543" i="29"/>
  <c r="V133" i="29"/>
  <c r="Q256" i="29"/>
  <c r="Q461" i="29"/>
  <c r="Q420"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E1284" i="29" s="1"/>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S461" i="29" s="1"/>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915" i="29"/>
  <c r="J1407"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V254" i="29" s="1"/>
  <c r="AS255" i="29"/>
  <c r="AV255" i="29" s="1"/>
  <c r="AS253" i="29"/>
  <c r="AV253" i="29" s="1"/>
  <c r="AS581" i="29"/>
  <c r="AS583" i="29"/>
  <c r="AS582" i="29"/>
  <c r="AS132" i="29"/>
  <c r="AU132" i="29" s="1"/>
  <c r="AS131" i="29"/>
  <c r="AU131" i="29" s="1"/>
  <c r="AS130" i="29"/>
  <c r="AU130" i="29" s="1"/>
  <c r="AS295" i="29"/>
  <c r="AS296" i="29"/>
  <c r="AS294" i="29"/>
  <c r="AW294" i="29" s="1"/>
  <c r="AS460" i="29"/>
  <c r="AW460" i="29" s="1"/>
  <c r="AS458" i="29"/>
  <c r="AW458" i="29" s="1"/>
  <c r="AS459" i="29"/>
  <c r="AW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2" i="29"/>
  <c r="AW582" i="29"/>
  <c r="AX583" i="29"/>
  <c r="AW583" i="29"/>
  <c r="AV541" i="29"/>
  <c r="AW541" i="29"/>
  <c r="AV542" i="29"/>
  <c r="AW542" i="29"/>
  <c r="AU459" i="29"/>
  <c r="AV459" i="29"/>
  <c r="AU458" i="29"/>
  <c r="AV458" i="29"/>
  <c r="AU460" i="29"/>
  <c r="AV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authors>
    <author>ELLER, SCOTT</author>
    <author>LEWIS, CHARLES E</author>
    <author>LEWIS, CHUCK</author>
  </authors>
  <commentList>
    <comment ref="I4" authorId="0" shapeId="0">
      <text>
        <r>
          <rPr>
            <b/>
            <sz val="9"/>
            <color indexed="81"/>
            <rFont val="Tahoma"/>
            <family val="2"/>
          </rPr>
          <t>Multiple locations of IDUC require multiple steps! Only DBOR can be aggregated!</t>
        </r>
      </text>
    </comment>
    <comment ref="N4" authorId="0" shapeId="0">
      <text>
        <r>
          <rPr>
            <b/>
            <sz val="9"/>
            <color indexed="81"/>
            <rFont val="Tahoma"/>
            <family val="2"/>
          </rPr>
          <t>Multiple locations of IDUC require multiple steps! Only DBOR can be aggregated!</t>
        </r>
      </text>
    </comment>
    <comment ref="S4" authorId="0" shapeId="0">
      <text>
        <r>
          <rPr>
            <b/>
            <sz val="9"/>
            <color indexed="81"/>
            <rFont val="Tahoma"/>
            <family val="2"/>
          </rPr>
          <t>Multiple locations of IDUC require multiple steps! Only DBOR can be aggregated!</t>
        </r>
      </text>
    </comment>
    <comment ref="X4" authorId="0" shapeId="0">
      <text>
        <r>
          <rPr>
            <b/>
            <sz val="9"/>
            <color indexed="81"/>
            <rFont val="Tahoma"/>
            <family val="2"/>
          </rPr>
          <t>Multiple locations of IDUC require multiple steps! Only DBOR can be aggregated!</t>
        </r>
      </text>
    </comment>
    <comment ref="AC4" authorId="0" shapeId="0">
      <text>
        <r>
          <rPr>
            <b/>
            <sz val="9"/>
            <color indexed="81"/>
            <rFont val="Tahoma"/>
            <family val="2"/>
          </rPr>
          <t>Multiple locations of IDUC require multiple steps! Only DBOR can be aggregated!</t>
        </r>
      </text>
    </comment>
    <comment ref="I6" authorId="0" shapeId="0">
      <text>
        <r>
          <rPr>
            <b/>
            <sz val="9"/>
            <color indexed="81"/>
            <rFont val="Tahoma"/>
            <family val="2"/>
          </rPr>
          <t>ORD QTY</t>
        </r>
      </text>
    </comment>
    <comment ref="J6" authorId="0" shapeId="0">
      <text>
        <r>
          <rPr>
            <b/>
            <sz val="9"/>
            <color indexed="81"/>
            <rFont val="Tahoma"/>
            <family val="2"/>
          </rPr>
          <t>REC QTY</t>
        </r>
      </text>
    </comment>
    <comment ref="N6" authorId="0" shapeId="0">
      <text>
        <r>
          <rPr>
            <b/>
            <sz val="9"/>
            <color indexed="81"/>
            <rFont val="Tahoma"/>
            <family val="2"/>
          </rPr>
          <t>ORD QTY</t>
        </r>
      </text>
    </comment>
    <comment ref="O6" authorId="0" shapeId="0">
      <text>
        <r>
          <rPr>
            <b/>
            <sz val="9"/>
            <color indexed="81"/>
            <rFont val="Tahoma"/>
            <family val="2"/>
          </rPr>
          <t>REC QTY</t>
        </r>
      </text>
    </comment>
    <comment ref="S6" authorId="0" shapeId="0">
      <text>
        <r>
          <rPr>
            <b/>
            <sz val="9"/>
            <color indexed="81"/>
            <rFont val="Tahoma"/>
            <family val="2"/>
          </rPr>
          <t>ORD QTY</t>
        </r>
      </text>
    </comment>
    <comment ref="T6" authorId="0" shapeId="0">
      <text>
        <r>
          <rPr>
            <b/>
            <sz val="9"/>
            <color indexed="81"/>
            <rFont val="Tahoma"/>
            <family val="2"/>
          </rPr>
          <t>REC QTY</t>
        </r>
      </text>
    </comment>
    <comment ref="X6" authorId="0" shapeId="0">
      <text>
        <r>
          <rPr>
            <b/>
            <sz val="9"/>
            <color indexed="81"/>
            <rFont val="Tahoma"/>
            <family val="2"/>
          </rPr>
          <t>ORD QTY</t>
        </r>
      </text>
    </comment>
    <comment ref="Y6" authorId="0" shapeId="0">
      <text>
        <r>
          <rPr>
            <b/>
            <sz val="9"/>
            <color indexed="81"/>
            <rFont val="Tahoma"/>
            <family val="2"/>
          </rPr>
          <t>REC QTY</t>
        </r>
      </text>
    </comment>
    <comment ref="AC6" authorId="0" shapeId="0">
      <text>
        <r>
          <rPr>
            <b/>
            <sz val="9"/>
            <color indexed="81"/>
            <rFont val="Tahoma"/>
            <family val="2"/>
          </rPr>
          <t>ORD QTY</t>
        </r>
      </text>
    </comment>
    <comment ref="AD6" authorId="0" shapeId="0">
      <text>
        <r>
          <rPr>
            <b/>
            <sz val="9"/>
            <color indexed="81"/>
            <rFont val="Tahoma"/>
            <family val="2"/>
          </rPr>
          <t>REC QTY</t>
        </r>
      </text>
    </comment>
    <comment ref="I7" authorId="0" shapeId="0">
      <text>
        <r>
          <rPr>
            <b/>
            <sz val="9"/>
            <color indexed="81"/>
            <rFont val="Tahoma"/>
            <family val="2"/>
          </rPr>
          <t>ORD QTY</t>
        </r>
      </text>
    </comment>
    <comment ref="N7" authorId="0" shapeId="0">
      <text>
        <r>
          <rPr>
            <b/>
            <sz val="9"/>
            <color indexed="81"/>
            <rFont val="Tahoma"/>
            <family val="2"/>
          </rPr>
          <t>ORD QTY</t>
        </r>
      </text>
    </comment>
    <comment ref="S7" authorId="0" shapeId="0">
      <text>
        <r>
          <rPr>
            <b/>
            <sz val="9"/>
            <color indexed="81"/>
            <rFont val="Tahoma"/>
            <family val="2"/>
          </rPr>
          <t>ORD QTY</t>
        </r>
      </text>
    </comment>
    <comment ref="X7" authorId="0" shapeId="0">
      <text>
        <r>
          <rPr>
            <b/>
            <sz val="9"/>
            <color indexed="81"/>
            <rFont val="Tahoma"/>
            <family val="2"/>
          </rPr>
          <t>ORD QTY</t>
        </r>
      </text>
    </comment>
    <comment ref="AC7" authorId="0" shapeId="0">
      <text>
        <r>
          <rPr>
            <b/>
            <sz val="9"/>
            <color indexed="81"/>
            <rFont val="Tahoma"/>
            <family val="2"/>
          </rPr>
          <t>ORD QTY</t>
        </r>
      </text>
    </comment>
    <comment ref="I12" authorId="0" shapeId="0">
      <text>
        <r>
          <rPr>
            <b/>
            <sz val="9"/>
            <color indexed="81"/>
            <rFont val="Tahoma"/>
            <family val="2"/>
          </rPr>
          <t>Multiple locations of IDUC require multiple steps! Only DBOR can be aggregated!</t>
        </r>
      </text>
    </comment>
    <comment ref="N12" authorId="0" shapeId="0">
      <text>
        <r>
          <rPr>
            <b/>
            <sz val="9"/>
            <color indexed="81"/>
            <rFont val="Tahoma"/>
            <family val="2"/>
          </rPr>
          <t>Multiple locations of IDUC require multiple steps! Only DBOR can be aggregated!</t>
        </r>
      </text>
    </comment>
    <comment ref="S12" authorId="0" shapeId="0">
      <text>
        <r>
          <rPr>
            <b/>
            <sz val="9"/>
            <color indexed="81"/>
            <rFont val="Tahoma"/>
            <family val="2"/>
          </rPr>
          <t>Multiple locations of IDUC require multiple steps! Only DBOR can be aggregated!</t>
        </r>
      </text>
    </comment>
    <comment ref="X12" authorId="0" shapeId="0">
      <text>
        <r>
          <rPr>
            <b/>
            <sz val="9"/>
            <color indexed="81"/>
            <rFont val="Tahoma"/>
            <family val="2"/>
          </rPr>
          <t>Multiple locations of IDUC require multiple steps! Only DBOR can be aggregated!</t>
        </r>
      </text>
    </comment>
    <comment ref="AC12" authorId="0" shapeId="0">
      <text>
        <r>
          <rPr>
            <b/>
            <sz val="9"/>
            <color indexed="81"/>
            <rFont val="Tahoma"/>
            <family val="2"/>
          </rPr>
          <t>Multiple locations of IDUC require multiple steps! Only DBOR can be aggregated!</t>
        </r>
      </text>
    </comment>
    <comment ref="I15" authorId="0" shapeId="0">
      <text>
        <r>
          <rPr>
            <b/>
            <sz val="9"/>
            <color indexed="81"/>
            <rFont val="Tahoma"/>
            <family val="2"/>
          </rPr>
          <t>ORD QTY</t>
        </r>
      </text>
    </comment>
    <comment ref="J15" authorId="0" shapeId="0">
      <text>
        <r>
          <rPr>
            <b/>
            <sz val="9"/>
            <color indexed="81"/>
            <rFont val="Tahoma"/>
            <family val="2"/>
          </rPr>
          <t>REC QTY</t>
        </r>
      </text>
    </comment>
    <comment ref="N15" authorId="0" shapeId="0">
      <text>
        <r>
          <rPr>
            <b/>
            <sz val="9"/>
            <color indexed="81"/>
            <rFont val="Tahoma"/>
            <family val="2"/>
          </rPr>
          <t>ORD QTY</t>
        </r>
      </text>
    </comment>
    <comment ref="O15" authorId="0" shapeId="0">
      <text>
        <r>
          <rPr>
            <b/>
            <sz val="9"/>
            <color indexed="81"/>
            <rFont val="Tahoma"/>
            <family val="2"/>
          </rPr>
          <t>REC QTY</t>
        </r>
      </text>
    </comment>
    <comment ref="S15" authorId="0" shapeId="0">
      <text>
        <r>
          <rPr>
            <b/>
            <sz val="9"/>
            <color indexed="81"/>
            <rFont val="Tahoma"/>
            <family val="2"/>
          </rPr>
          <t>ORD QTY</t>
        </r>
      </text>
    </comment>
    <comment ref="T15" authorId="0" shapeId="0">
      <text>
        <r>
          <rPr>
            <b/>
            <sz val="9"/>
            <color indexed="81"/>
            <rFont val="Tahoma"/>
            <family val="2"/>
          </rPr>
          <t>REC QTY</t>
        </r>
      </text>
    </comment>
    <comment ref="X15" authorId="0" shapeId="0">
      <text>
        <r>
          <rPr>
            <b/>
            <sz val="9"/>
            <color indexed="81"/>
            <rFont val="Tahoma"/>
            <family val="2"/>
          </rPr>
          <t>ORD QTY</t>
        </r>
      </text>
    </comment>
    <comment ref="Y15" authorId="0" shapeId="0">
      <text>
        <r>
          <rPr>
            <b/>
            <sz val="9"/>
            <color indexed="81"/>
            <rFont val="Tahoma"/>
            <family val="2"/>
          </rPr>
          <t>REC QTY</t>
        </r>
      </text>
    </comment>
    <comment ref="AC15" authorId="0" shapeId="0">
      <text>
        <r>
          <rPr>
            <b/>
            <sz val="9"/>
            <color indexed="81"/>
            <rFont val="Tahoma"/>
            <family val="2"/>
          </rPr>
          <t>ORD QTY</t>
        </r>
      </text>
    </comment>
    <comment ref="AD15" authorId="0" shapeId="0">
      <text>
        <r>
          <rPr>
            <b/>
            <sz val="9"/>
            <color indexed="81"/>
            <rFont val="Tahoma"/>
            <family val="2"/>
          </rPr>
          <t>REC QTY</t>
        </r>
      </text>
    </comment>
    <comment ref="I17" authorId="0" shapeId="0">
      <text>
        <r>
          <rPr>
            <b/>
            <sz val="9"/>
            <color indexed="81"/>
            <rFont val="Tahoma"/>
            <family val="2"/>
          </rPr>
          <t>Multiple locations of IDUC require multiple steps! Only DBOR can be aggregated!</t>
        </r>
      </text>
    </comment>
    <comment ref="N17" authorId="0" shapeId="0">
      <text>
        <r>
          <rPr>
            <b/>
            <sz val="9"/>
            <color indexed="81"/>
            <rFont val="Tahoma"/>
            <family val="2"/>
          </rPr>
          <t>Multiple locations of IDUC require multiple steps! Only DBOR can be aggregated!</t>
        </r>
      </text>
    </comment>
    <comment ref="S17" authorId="0" shapeId="0">
      <text>
        <r>
          <rPr>
            <b/>
            <sz val="9"/>
            <color indexed="81"/>
            <rFont val="Tahoma"/>
            <family val="2"/>
          </rPr>
          <t>Multiple locations of IDUC require multiple steps! Only DBOR can be aggregated!</t>
        </r>
      </text>
    </comment>
    <comment ref="X17" authorId="0" shapeId="0">
      <text>
        <r>
          <rPr>
            <b/>
            <sz val="9"/>
            <color indexed="81"/>
            <rFont val="Tahoma"/>
            <family val="2"/>
          </rPr>
          <t>Multiple locations of IDUC require multiple steps! Only DBOR can be aggregated!</t>
        </r>
      </text>
    </comment>
    <comment ref="AC17" authorId="0" shapeId="0">
      <text>
        <r>
          <rPr>
            <b/>
            <sz val="9"/>
            <color indexed="81"/>
            <rFont val="Tahoma"/>
            <family val="2"/>
          </rPr>
          <t>Multiple locations of IDUC require multiple steps! Only DBOR can be aggregated!</t>
        </r>
      </text>
    </comment>
    <comment ref="I23" authorId="0" shapeId="0">
      <text>
        <r>
          <rPr>
            <b/>
            <sz val="9"/>
            <color indexed="81"/>
            <rFont val="Tahoma"/>
            <family val="2"/>
          </rPr>
          <t>ORD QTY</t>
        </r>
      </text>
    </comment>
    <comment ref="J23" authorId="0" shapeId="0">
      <text>
        <r>
          <rPr>
            <b/>
            <sz val="9"/>
            <color indexed="81"/>
            <rFont val="Tahoma"/>
            <family val="2"/>
          </rPr>
          <t>REC QTY</t>
        </r>
      </text>
    </comment>
    <comment ref="N23" authorId="0" shapeId="0">
      <text>
        <r>
          <rPr>
            <b/>
            <sz val="9"/>
            <color indexed="81"/>
            <rFont val="Tahoma"/>
            <family val="2"/>
          </rPr>
          <t>ORD QTY</t>
        </r>
      </text>
    </comment>
    <comment ref="O23" authorId="0" shapeId="0">
      <text>
        <r>
          <rPr>
            <b/>
            <sz val="9"/>
            <color indexed="81"/>
            <rFont val="Tahoma"/>
            <family val="2"/>
          </rPr>
          <t>REC QTY</t>
        </r>
      </text>
    </comment>
    <comment ref="S23" authorId="0" shapeId="0">
      <text>
        <r>
          <rPr>
            <b/>
            <sz val="9"/>
            <color indexed="81"/>
            <rFont val="Tahoma"/>
            <family val="2"/>
          </rPr>
          <t>ORD QTY</t>
        </r>
      </text>
    </comment>
    <comment ref="T23" authorId="0" shapeId="0">
      <text>
        <r>
          <rPr>
            <b/>
            <sz val="9"/>
            <color indexed="81"/>
            <rFont val="Tahoma"/>
            <family val="2"/>
          </rPr>
          <t>REC QTY</t>
        </r>
      </text>
    </comment>
    <comment ref="X23" authorId="0" shapeId="0">
      <text>
        <r>
          <rPr>
            <b/>
            <sz val="9"/>
            <color indexed="81"/>
            <rFont val="Tahoma"/>
            <family val="2"/>
          </rPr>
          <t>ORD QTY</t>
        </r>
      </text>
    </comment>
    <comment ref="Y23" authorId="0" shapeId="0">
      <text>
        <r>
          <rPr>
            <b/>
            <sz val="9"/>
            <color indexed="81"/>
            <rFont val="Tahoma"/>
            <family val="2"/>
          </rPr>
          <t>REC QTY</t>
        </r>
      </text>
    </comment>
    <comment ref="AC23" authorId="0" shapeId="0">
      <text>
        <r>
          <rPr>
            <b/>
            <sz val="9"/>
            <color indexed="81"/>
            <rFont val="Tahoma"/>
            <family val="2"/>
          </rPr>
          <t>ORD QTY</t>
        </r>
      </text>
    </comment>
    <comment ref="AD23" authorId="0" shapeId="0">
      <text>
        <r>
          <rPr>
            <b/>
            <sz val="9"/>
            <color indexed="81"/>
            <rFont val="Tahoma"/>
            <family val="2"/>
          </rPr>
          <t>REC QTY</t>
        </r>
      </text>
    </comment>
    <comment ref="B25" authorId="0" shapeId="0">
      <text>
        <r>
          <rPr>
            <b/>
            <sz val="9"/>
            <color indexed="81"/>
            <rFont val="Tahoma"/>
            <family val="2"/>
          </rPr>
          <t>Number of 30x48 HH placed that DO NOT contain an FST in the same HH as the splice/Rev T</t>
        </r>
      </text>
    </comment>
    <comment ref="B26" authorId="0" shapeId="0">
      <text>
        <r>
          <rPr>
            <b/>
            <sz val="9"/>
            <color indexed="81"/>
            <rFont val="Tahoma"/>
            <family val="2"/>
          </rPr>
          <t>Number of 17x30 HH placed that DO NOT contain an FST in the same HH as the splice/Rev T</t>
        </r>
      </text>
    </comment>
    <comment ref="B27" authorId="1" shapeId="0">
      <text>
        <r>
          <rPr>
            <b/>
            <sz val="9"/>
            <color indexed="81"/>
            <rFont val="Tahoma"/>
            <family val="2"/>
          </rPr>
          <t>Number of 30X48 HH placed that DO contain a  FST in the same HH as the splice/Rev T</t>
        </r>
      </text>
    </comment>
    <comment ref="B28" authorId="0" shapeId="0">
      <text>
        <r>
          <rPr>
            <b/>
            <sz val="9"/>
            <color indexed="81"/>
            <rFont val="Tahoma"/>
            <family val="2"/>
          </rPr>
          <t>Number of 17x30 HH placed that DO contain a  FST in the same HH as the splice/Rev T</t>
        </r>
      </text>
    </comment>
    <comment ref="B29" authorId="2" shapeId="0">
      <text>
        <r>
          <rPr>
            <b/>
            <sz val="9"/>
            <color indexed="81"/>
            <rFont val="Tahoma"/>
            <family val="2"/>
          </rPr>
          <t>Number of load rated 10X15" HHs for FST location in required areas</t>
        </r>
      </text>
    </comment>
    <comment ref="I29" authorId="0" shapeId="0">
      <text>
        <r>
          <rPr>
            <b/>
            <sz val="9"/>
            <color indexed="81"/>
            <rFont val="Tahoma"/>
            <family val="2"/>
          </rPr>
          <t>ORD QTY</t>
        </r>
      </text>
    </comment>
    <comment ref="J29" authorId="0" shapeId="0">
      <text>
        <r>
          <rPr>
            <b/>
            <sz val="9"/>
            <color indexed="81"/>
            <rFont val="Tahoma"/>
            <family val="2"/>
          </rPr>
          <t>REC QTY</t>
        </r>
      </text>
    </comment>
    <comment ref="N29" authorId="0" shapeId="0">
      <text>
        <r>
          <rPr>
            <b/>
            <sz val="9"/>
            <color indexed="81"/>
            <rFont val="Tahoma"/>
            <family val="2"/>
          </rPr>
          <t>ORD QTY</t>
        </r>
      </text>
    </comment>
    <comment ref="O29" authorId="0" shapeId="0">
      <text>
        <r>
          <rPr>
            <b/>
            <sz val="9"/>
            <color indexed="81"/>
            <rFont val="Tahoma"/>
            <family val="2"/>
          </rPr>
          <t>REC QTY</t>
        </r>
      </text>
    </comment>
    <comment ref="S29" authorId="0" shapeId="0">
      <text>
        <r>
          <rPr>
            <b/>
            <sz val="9"/>
            <color indexed="81"/>
            <rFont val="Tahoma"/>
            <family val="2"/>
          </rPr>
          <t>ORD QTY</t>
        </r>
      </text>
    </comment>
    <comment ref="T29" authorId="0" shapeId="0">
      <text>
        <r>
          <rPr>
            <b/>
            <sz val="9"/>
            <color indexed="81"/>
            <rFont val="Tahoma"/>
            <family val="2"/>
          </rPr>
          <t>REC QTY</t>
        </r>
      </text>
    </comment>
    <comment ref="X29" authorId="0" shapeId="0">
      <text>
        <r>
          <rPr>
            <b/>
            <sz val="9"/>
            <color indexed="81"/>
            <rFont val="Tahoma"/>
            <family val="2"/>
          </rPr>
          <t>ORD QTY</t>
        </r>
      </text>
    </comment>
    <comment ref="Y29" authorId="0" shapeId="0">
      <text>
        <r>
          <rPr>
            <b/>
            <sz val="9"/>
            <color indexed="81"/>
            <rFont val="Tahoma"/>
            <family val="2"/>
          </rPr>
          <t>REC QTY</t>
        </r>
      </text>
    </comment>
    <comment ref="AC29" authorId="0" shapeId="0">
      <text>
        <r>
          <rPr>
            <b/>
            <sz val="9"/>
            <color indexed="81"/>
            <rFont val="Tahoma"/>
            <family val="2"/>
          </rPr>
          <t>ORD QTY</t>
        </r>
      </text>
    </comment>
    <comment ref="AD29" authorId="0" shapeId="0">
      <text>
        <r>
          <rPr>
            <b/>
            <sz val="9"/>
            <color indexed="81"/>
            <rFont val="Tahoma"/>
            <family val="2"/>
          </rPr>
          <t>REC QTY</t>
        </r>
      </text>
    </comment>
    <comment ref="I30" authorId="0" shapeId="0">
      <text>
        <r>
          <rPr>
            <b/>
            <sz val="9"/>
            <color indexed="81"/>
            <rFont val="Tahoma"/>
            <family val="2"/>
          </rPr>
          <t>ORD QTY</t>
        </r>
      </text>
    </comment>
    <comment ref="J30" authorId="0" shapeId="0">
      <text>
        <r>
          <rPr>
            <b/>
            <sz val="9"/>
            <color indexed="81"/>
            <rFont val="Tahoma"/>
            <family val="2"/>
          </rPr>
          <t>REC QTY</t>
        </r>
      </text>
    </comment>
    <comment ref="N30" authorId="0" shapeId="0">
      <text>
        <r>
          <rPr>
            <b/>
            <sz val="9"/>
            <color indexed="81"/>
            <rFont val="Tahoma"/>
            <family val="2"/>
          </rPr>
          <t>ORD QTY</t>
        </r>
      </text>
    </comment>
    <comment ref="O30" authorId="0" shapeId="0">
      <text>
        <r>
          <rPr>
            <b/>
            <sz val="9"/>
            <color indexed="81"/>
            <rFont val="Tahoma"/>
            <family val="2"/>
          </rPr>
          <t>REC QTY</t>
        </r>
      </text>
    </comment>
    <comment ref="S30" authorId="0" shapeId="0">
      <text>
        <r>
          <rPr>
            <b/>
            <sz val="9"/>
            <color indexed="81"/>
            <rFont val="Tahoma"/>
            <family val="2"/>
          </rPr>
          <t>ORD QTY</t>
        </r>
      </text>
    </comment>
    <comment ref="T30" authorId="0" shapeId="0">
      <text>
        <r>
          <rPr>
            <b/>
            <sz val="9"/>
            <color indexed="81"/>
            <rFont val="Tahoma"/>
            <family val="2"/>
          </rPr>
          <t>REC QTY</t>
        </r>
      </text>
    </comment>
    <comment ref="X30" authorId="0" shapeId="0">
      <text>
        <r>
          <rPr>
            <b/>
            <sz val="9"/>
            <color indexed="81"/>
            <rFont val="Tahoma"/>
            <family val="2"/>
          </rPr>
          <t>ORD QTY</t>
        </r>
      </text>
    </comment>
    <comment ref="Y30" authorId="0" shapeId="0">
      <text>
        <r>
          <rPr>
            <b/>
            <sz val="9"/>
            <color indexed="81"/>
            <rFont val="Tahoma"/>
            <family val="2"/>
          </rPr>
          <t>REC QTY</t>
        </r>
      </text>
    </comment>
    <comment ref="AC30" authorId="0" shapeId="0">
      <text>
        <r>
          <rPr>
            <b/>
            <sz val="9"/>
            <color indexed="81"/>
            <rFont val="Tahoma"/>
            <family val="2"/>
          </rPr>
          <t>ORD QTY</t>
        </r>
      </text>
    </comment>
    <comment ref="AD30" authorId="0" shapeId="0">
      <text>
        <r>
          <rPr>
            <b/>
            <sz val="9"/>
            <color indexed="81"/>
            <rFont val="Tahoma"/>
            <family val="2"/>
          </rPr>
          <t>REC QTY</t>
        </r>
      </text>
    </comment>
    <comment ref="I35" authorId="0" shapeId="0">
      <text>
        <r>
          <rPr>
            <b/>
            <sz val="9"/>
            <color indexed="81"/>
            <rFont val="Tahoma"/>
            <family val="2"/>
          </rPr>
          <t>Multiple locations of IDUC require multiple steps! Only DBOR can be aggregated!</t>
        </r>
      </text>
    </comment>
    <comment ref="N35" authorId="0" shapeId="0">
      <text>
        <r>
          <rPr>
            <b/>
            <sz val="9"/>
            <color indexed="81"/>
            <rFont val="Tahoma"/>
            <family val="2"/>
          </rPr>
          <t>Multiple locations of IDUC require multiple steps! Only DBOR can be aggregated!</t>
        </r>
      </text>
    </comment>
    <comment ref="S35" authorId="0" shapeId="0">
      <text>
        <r>
          <rPr>
            <b/>
            <sz val="9"/>
            <color indexed="81"/>
            <rFont val="Tahoma"/>
            <family val="2"/>
          </rPr>
          <t>Multiple locations of IDUC require multiple steps! Only DBOR can be aggregated!</t>
        </r>
      </text>
    </comment>
    <comment ref="X35" authorId="0" shapeId="0">
      <text>
        <r>
          <rPr>
            <b/>
            <sz val="9"/>
            <color indexed="81"/>
            <rFont val="Tahoma"/>
            <family val="2"/>
          </rPr>
          <t>Multiple locations of IDUC require multiple steps! Only DBOR can be aggregated!</t>
        </r>
      </text>
    </comment>
    <comment ref="AC35" authorId="0" shapeId="0">
      <text>
        <r>
          <rPr>
            <b/>
            <sz val="9"/>
            <color indexed="81"/>
            <rFont val="Tahoma"/>
            <family val="2"/>
          </rPr>
          <t>Multiple locations of IDUC require multiple steps! Only DBOR can be aggregated!</t>
        </r>
      </text>
    </comment>
    <comment ref="I37" authorId="0" shapeId="0">
      <text>
        <r>
          <rPr>
            <b/>
            <sz val="9"/>
            <color indexed="81"/>
            <rFont val="Tahoma"/>
            <family val="2"/>
          </rPr>
          <t>ORD QTY</t>
        </r>
      </text>
    </comment>
    <comment ref="J37" authorId="0" shapeId="0">
      <text>
        <r>
          <rPr>
            <b/>
            <sz val="9"/>
            <color indexed="81"/>
            <rFont val="Tahoma"/>
            <family val="2"/>
          </rPr>
          <t>REC QTY</t>
        </r>
      </text>
    </comment>
    <comment ref="N37" authorId="0" shapeId="0">
      <text>
        <r>
          <rPr>
            <b/>
            <sz val="9"/>
            <color indexed="81"/>
            <rFont val="Tahoma"/>
            <family val="2"/>
          </rPr>
          <t>ORD QTY</t>
        </r>
      </text>
    </comment>
    <comment ref="O37" authorId="0" shapeId="0">
      <text>
        <r>
          <rPr>
            <b/>
            <sz val="9"/>
            <color indexed="81"/>
            <rFont val="Tahoma"/>
            <family val="2"/>
          </rPr>
          <t>REC QTY</t>
        </r>
      </text>
    </comment>
    <comment ref="S37" authorId="0" shapeId="0">
      <text>
        <r>
          <rPr>
            <b/>
            <sz val="9"/>
            <color indexed="81"/>
            <rFont val="Tahoma"/>
            <family val="2"/>
          </rPr>
          <t>ORD QTY</t>
        </r>
      </text>
    </comment>
    <comment ref="T37" authorId="0" shapeId="0">
      <text>
        <r>
          <rPr>
            <b/>
            <sz val="9"/>
            <color indexed="81"/>
            <rFont val="Tahoma"/>
            <family val="2"/>
          </rPr>
          <t>REC QTY</t>
        </r>
      </text>
    </comment>
    <comment ref="X37" authorId="0" shapeId="0">
      <text>
        <r>
          <rPr>
            <b/>
            <sz val="9"/>
            <color indexed="81"/>
            <rFont val="Tahoma"/>
            <family val="2"/>
          </rPr>
          <t>ORD QTY</t>
        </r>
      </text>
    </comment>
    <comment ref="Y37" authorId="0" shapeId="0">
      <text>
        <r>
          <rPr>
            <b/>
            <sz val="9"/>
            <color indexed="81"/>
            <rFont val="Tahoma"/>
            <family val="2"/>
          </rPr>
          <t>REC QTY</t>
        </r>
      </text>
    </comment>
    <comment ref="AC37" authorId="0" shapeId="0">
      <text>
        <r>
          <rPr>
            <b/>
            <sz val="9"/>
            <color indexed="81"/>
            <rFont val="Tahoma"/>
            <family val="2"/>
          </rPr>
          <t>ORD QTY</t>
        </r>
      </text>
    </comment>
    <comment ref="AD37" authorId="0" shapeId="0">
      <text>
        <r>
          <rPr>
            <b/>
            <sz val="9"/>
            <color indexed="81"/>
            <rFont val="Tahoma"/>
            <family val="2"/>
          </rPr>
          <t>REC QTY</t>
        </r>
      </text>
    </comment>
    <comment ref="I38" authorId="0" shapeId="0">
      <text>
        <r>
          <rPr>
            <b/>
            <sz val="9"/>
            <color indexed="81"/>
            <rFont val="Tahoma"/>
            <family val="2"/>
          </rPr>
          <t>ORD QTY</t>
        </r>
      </text>
    </comment>
    <comment ref="N38" authorId="0" shapeId="0">
      <text>
        <r>
          <rPr>
            <b/>
            <sz val="9"/>
            <color indexed="81"/>
            <rFont val="Tahoma"/>
            <family val="2"/>
          </rPr>
          <t>ORD QTY</t>
        </r>
      </text>
    </comment>
    <comment ref="S38" authorId="0" shapeId="0">
      <text>
        <r>
          <rPr>
            <b/>
            <sz val="9"/>
            <color indexed="81"/>
            <rFont val="Tahoma"/>
            <family val="2"/>
          </rPr>
          <t>ORD QTY</t>
        </r>
      </text>
    </comment>
    <comment ref="X38" authorId="0" shapeId="0">
      <text>
        <r>
          <rPr>
            <b/>
            <sz val="9"/>
            <color indexed="81"/>
            <rFont val="Tahoma"/>
            <family val="2"/>
          </rPr>
          <t>ORD QTY</t>
        </r>
      </text>
    </comment>
    <comment ref="AC38" authorId="0" shapeId="0">
      <text>
        <r>
          <rPr>
            <b/>
            <sz val="9"/>
            <color indexed="81"/>
            <rFont val="Tahoma"/>
            <family val="2"/>
          </rPr>
          <t>ORD QTY</t>
        </r>
      </text>
    </comment>
    <comment ref="I43" authorId="0" shapeId="0">
      <text>
        <r>
          <rPr>
            <b/>
            <sz val="9"/>
            <color indexed="81"/>
            <rFont val="Tahoma"/>
            <family val="2"/>
          </rPr>
          <t>Multiple locations of IDUC require multiple steps! Only DBOR can be aggregated!</t>
        </r>
      </text>
    </comment>
    <comment ref="N43" authorId="0" shapeId="0">
      <text>
        <r>
          <rPr>
            <b/>
            <sz val="9"/>
            <color indexed="81"/>
            <rFont val="Tahoma"/>
            <family val="2"/>
          </rPr>
          <t>Multiple locations of IDUC require multiple steps! Only DBOR can be aggregated!</t>
        </r>
      </text>
    </comment>
    <comment ref="S43" authorId="0" shapeId="0">
      <text>
        <r>
          <rPr>
            <b/>
            <sz val="9"/>
            <color indexed="81"/>
            <rFont val="Tahoma"/>
            <family val="2"/>
          </rPr>
          <t>Multiple locations of IDUC require multiple steps! Only DBOR can be aggregated!</t>
        </r>
      </text>
    </comment>
    <comment ref="X43" authorId="0" shapeId="0">
      <text>
        <r>
          <rPr>
            <b/>
            <sz val="9"/>
            <color indexed="81"/>
            <rFont val="Tahoma"/>
            <family val="2"/>
          </rPr>
          <t>Multiple locations of IDUC require multiple steps! Only DBOR can be aggregated!</t>
        </r>
      </text>
    </comment>
    <comment ref="AC43" authorId="0" shapeId="0">
      <text>
        <r>
          <rPr>
            <b/>
            <sz val="9"/>
            <color indexed="81"/>
            <rFont val="Tahoma"/>
            <family val="2"/>
          </rPr>
          <t>Multiple locations of IDUC require multiple steps! Only DBOR can be aggregated!</t>
        </r>
      </text>
    </comment>
    <comment ref="I45" authorId="0" shapeId="0">
      <text>
        <r>
          <rPr>
            <b/>
            <sz val="9"/>
            <color indexed="81"/>
            <rFont val="Tahoma"/>
            <family val="2"/>
          </rPr>
          <t>ORD QTY</t>
        </r>
      </text>
    </comment>
    <comment ref="J45" authorId="0" shapeId="0">
      <text>
        <r>
          <rPr>
            <b/>
            <sz val="9"/>
            <color indexed="81"/>
            <rFont val="Tahoma"/>
            <family val="2"/>
          </rPr>
          <t>REC QTY</t>
        </r>
      </text>
    </comment>
    <comment ref="N45" authorId="0" shapeId="0">
      <text>
        <r>
          <rPr>
            <b/>
            <sz val="9"/>
            <color indexed="81"/>
            <rFont val="Tahoma"/>
            <family val="2"/>
          </rPr>
          <t>ORD QTY</t>
        </r>
      </text>
    </comment>
    <comment ref="O45" authorId="0" shapeId="0">
      <text>
        <r>
          <rPr>
            <b/>
            <sz val="9"/>
            <color indexed="81"/>
            <rFont val="Tahoma"/>
            <family val="2"/>
          </rPr>
          <t>REC QTY</t>
        </r>
      </text>
    </comment>
    <comment ref="S45" authorId="0" shapeId="0">
      <text>
        <r>
          <rPr>
            <b/>
            <sz val="9"/>
            <color indexed="81"/>
            <rFont val="Tahoma"/>
            <family val="2"/>
          </rPr>
          <t>ORD QTY</t>
        </r>
      </text>
    </comment>
    <comment ref="T45" authorId="0" shapeId="0">
      <text>
        <r>
          <rPr>
            <b/>
            <sz val="9"/>
            <color indexed="81"/>
            <rFont val="Tahoma"/>
            <family val="2"/>
          </rPr>
          <t>REC QTY</t>
        </r>
      </text>
    </comment>
    <comment ref="X45" authorId="0" shapeId="0">
      <text>
        <r>
          <rPr>
            <b/>
            <sz val="9"/>
            <color indexed="81"/>
            <rFont val="Tahoma"/>
            <family val="2"/>
          </rPr>
          <t>ORD QTY</t>
        </r>
      </text>
    </comment>
    <comment ref="Y45" authorId="0" shapeId="0">
      <text>
        <r>
          <rPr>
            <b/>
            <sz val="9"/>
            <color indexed="81"/>
            <rFont val="Tahoma"/>
            <family val="2"/>
          </rPr>
          <t>REC QTY</t>
        </r>
      </text>
    </comment>
    <comment ref="AC45" authorId="0" shapeId="0">
      <text>
        <r>
          <rPr>
            <b/>
            <sz val="9"/>
            <color indexed="81"/>
            <rFont val="Tahoma"/>
            <family val="2"/>
          </rPr>
          <t>ORD QTY</t>
        </r>
      </text>
    </comment>
    <comment ref="AD45" authorId="0" shapeId="0">
      <text>
        <r>
          <rPr>
            <b/>
            <sz val="9"/>
            <color indexed="81"/>
            <rFont val="Tahoma"/>
            <family val="2"/>
          </rPr>
          <t>REC QTY</t>
        </r>
      </text>
    </comment>
    <comment ref="I46" authorId="0" shapeId="0">
      <text>
        <r>
          <rPr>
            <b/>
            <sz val="9"/>
            <color indexed="81"/>
            <rFont val="Tahoma"/>
            <family val="2"/>
          </rPr>
          <t>ORD QTY</t>
        </r>
      </text>
    </comment>
    <comment ref="J46" authorId="0" shapeId="0">
      <text>
        <r>
          <rPr>
            <b/>
            <sz val="9"/>
            <color indexed="81"/>
            <rFont val="Tahoma"/>
            <family val="2"/>
          </rPr>
          <t>REC QTY</t>
        </r>
      </text>
    </comment>
    <comment ref="N46" authorId="0" shapeId="0">
      <text>
        <r>
          <rPr>
            <b/>
            <sz val="9"/>
            <color indexed="81"/>
            <rFont val="Tahoma"/>
            <family val="2"/>
          </rPr>
          <t>ORD QTY</t>
        </r>
      </text>
    </comment>
    <comment ref="O46" authorId="0" shapeId="0">
      <text>
        <r>
          <rPr>
            <b/>
            <sz val="9"/>
            <color indexed="81"/>
            <rFont val="Tahoma"/>
            <family val="2"/>
          </rPr>
          <t>REC QTY</t>
        </r>
      </text>
    </comment>
    <comment ref="S46" authorId="0" shapeId="0">
      <text>
        <r>
          <rPr>
            <b/>
            <sz val="9"/>
            <color indexed="81"/>
            <rFont val="Tahoma"/>
            <family val="2"/>
          </rPr>
          <t>ORD QTY</t>
        </r>
      </text>
    </comment>
    <comment ref="T46" authorId="0" shapeId="0">
      <text>
        <r>
          <rPr>
            <b/>
            <sz val="9"/>
            <color indexed="81"/>
            <rFont val="Tahoma"/>
            <family val="2"/>
          </rPr>
          <t>REC QTY</t>
        </r>
      </text>
    </comment>
    <comment ref="X46" authorId="0" shapeId="0">
      <text>
        <r>
          <rPr>
            <b/>
            <sz val="9"/>
            <color indexed="81"/>
            <rFont val="Tahoma"/>
            <family val="2"/>
          </rPr>
          <t>ORD QTY</t>
        </r>
      </text>
    </comment>
    <comment ref="Y46" authorId="0" shapeId="0">
      <text>
        <r>
          <rPr>
            <b/>
            <sz val="9"/>
            <color indexed="81"/>
            <rFont val="Tahoma"/>
            <family val="2"/>
          </rPr>
          <t>REC QTY</t>
        </r>
      </text>
    </comment>
    <comment ref="AC46" authorId="0" shapeId="0">
      <text>
        <r>
          <rPr>
            <b/>
            <sz val="9"/>
            <color indexed="81"/>
            <rFont val="Tahoma"/>
            <family val="2"/>
          </rPr>
          <t>ORD QTY</t>
        </r>
      </text>
    </comment>
    <comment ref="AD46" authorId="0" shapeId="0">
      <text>
        <r>
          <rPr>
            <b/>
            <sz val="9"/>
            <color indexed="81"/>
            <rFont val="Tahoma"/>
            <family val="2"/>
          </rPr>
          <t>REC QTY</t>
        </r>
      </text>
    </comment>
    <comment ref="I51" authorId="0" shapeId="0">
      <text>
        <r>
          <rPr>
            <b/>
            <sz val="9"/>
            <color indexed="81"/>
            <rFont val="Tahoma"/>
            <family val="2"/>
          </rPr>
          <t>Multiple locations of IDUC require multiple steps! Only DBOR can be aggregated!</t>
        </r>
      </text>
    </comment>
    <comment ref="N51" authorId="0" shapeId="0">
      <text>
        <r>
          <rPr>
            <b/>
            <sz val="9"/>
            <color indexed="81"/>
            <rFont val="Tahoma"/>
            <family val="2"/>
          </rPr>
          <t>Multiple locations of IDUC require multiple steps! Only DBOR can be aggregated!</t>
        </r>
      </text>
    </comment>
    <comment ref="S51" authorId="0" shapeId="0">
      <text>
        <r>
          <rPr>
            <b/>
            <sz val="9"/>
            <color indexed="81"/>
            <rFont val="Tahoma"/>
            <family val="2"/>
          </rPr>
          <t>Multiple locations of IDUC require multiple steps! Only DBOR can be aggregated!</t>
        </r>
      </text>
    </comment>
    <comment ref="X51" authorId="0" shapeId="0">
      <text>
        <r>
          <rPr>
            <b/>
            <sz val="9"/>
            <color indexed="81"/>
            <rFont val="Tahoma"/>
            <family val="2"/>
          </rPr>
          <t>Multiple locations of IDUC require multiple steps! Only DBOR can be aggregated!</t>
        </r>
      </text>
    </comment>
    <comment ref="AC51" authorId="0" shapeId="0">
      <text>
        <r>
          <rPr>
            <b/>
            <sz val="9"/>
            <color indexed="81"/>
            <rFont val="Tahoma"/>
            <family val="2"/>
          </rPr>
          <t>Multiple locations of IDUC require multiple steps! Only DBOR can be aggregated!</t>
        </r>
      </text>
    </comment>
    <comment ref="I53" authorId="0" shapeId="0">
      <text>
        <r>
          <rPr>
            <b/>
            <sz val="9"/>
            <color indexed="81"/>
            <rFont val="Tahoma"/>
            <family val="2"/>
          </rPr>
          <t>ORD QTY</t>
        </r>
      </text>
    </comment>
    <comment ref="J53" authorId="0" shapeId="0">
      <text>
        <r>
          <rPr>
            <b/>
            <sz val="9"/>
            <color indexed="81"/>
            <rFont val="Tahoma"/>
            <family val="2"/>
          </rPr>
          <t>REC QTY</t>
        </r>
      </text>
    </comment>
    <comment ref="N53" authorId="0" shapeId="0">
      <text>
        <r>
          <rPr>
            <b/>
            <sz val="9"/>
            <color indexed="81"/>
            <rFont val="Tahoma"/>
            <family val="2"/>
          </rPr>
          <t>ORD QTY</t>
        </r>
      </text>
    </comment>
    <comment ref="O53" authorId="0" shapeId="0">
      <text>
        <r>
          <rPr>
            <b/>
            <sz val="9"/>
            <color indexed="81"/>
            <rFont val="Tahoma"/>
            <family val="2"/>
          </rPr>
          <t>REC QTY</t>
        </r>
      </text>
    </comment>
    <comment ref="S53" authorId="0" shapeId="0">
      <text>
        <r>
          <rPr>
            <b/>
            <sz val="9"/>
            <color indexed="81"/>
            <rFont val="Tahoma"/>
            <family val="2"/>
          </rPr>
          <t>ORD QTY</t>
        </r>
      </text>
    </comment>
    <comment ref="T53" authorId="0" shapeId="0">
      <text>
        <r>
          <rPr>
            <b/>
            <sz val="9"/>
            <color indexed="81"/>
            <rFont val="Tahoma"/>
            <family val="2"/>
          </rPr>
          <t>REC QTY</t>
        </r>
      </text>
    </comment>
    <comment ref="X53" authorId="0" shapeId="0">
      <text>
        <r>
          <rPr>
            <b/>
            <sz val="9"/>
            <color indexed="81"/>
            <rFont val="Tahoma"/>
            <family val="2"/>
          </rPr>
          <t>ORD QTY</t>
        </r>
      </text>
    </comment>
    <comment ref="Y53" authorId="0" shapeId="0">
      <text>
        <r>
          <rPr>
            <b/>
            <sz val="9"/>
            <color indexed="81"/>
            <rFont val="Tahoma"/>
            <family val="2"/>
          </rPr>
          <t>REC QTY</t>
        </r>
      </text>
    </comment>
    <comment ref="AC53" authorId="0" shapeId="0">
      <text>
        <r>
          <rPr>
            <b/>
            <sz val="9"/>
            <color indexed="81"/>
            <rFont val="Tahoma"/>
            <family val="2"/>
          </rPr>
          <t>ORD QTY</t>
        </r>
      </text>
    </comment>
    <comment ref="AD53" authorId="0" shapeId="0">
      <text>
        <r>
          <rPr>
            <b/>
            <sz val="9"/>
            <color indexed="81"/>
            <rFont val="Tahoma"/>
            <family val="2"/>
          </rPr>
          <t>REC QTY</t>
        </r>
      </text>
    </comment>
    <comment ref="I54" authorId="0" shapeId="0">
      <text>
        <r>
          <rPr>
            <b/>
            <sz val="9"/>
            <color indexed="81"/>
            <rFont val="Tahoma"/>
            <family val="2"/>
          </rPr>
          <t>ORD QTY</t>
        </r>
      </text>
    </comment>
    <comment ref="J54" authorId="0" shapeId="0">
      <text>
        <r>
          <rPr>
            <b/>
            <sz val="9"/>
            <color indexed="81"/>
            <rFont val="Tahoma"/>
            <family val="2"/>
          </rPr>
          <t>REC QTY</t>
        </r>
      </text>
    </comment>
    <comment ref="N54" authorId="0" shapeId="0">
      <text>
        <r>
          <rPr>
            <b/>
            <sz val="9"/>
            <color indexed="81"/>
            <rFont val="Tahoma"/>
            <family val="2"/>
          </rPr>
          <t>ORD QTY</t>
        </r>
      </text>
    </comment>
    <comment ref="O54" authorId="0" shapeId="0">
      <text>
        <r>
          <rPr>
            <b/>
            <sz val="9"/>
            <color indexed="81"/>
            <rFont val="Tahoma"/>
            <family val="2"/>
          </rPr>
          <t>REC QTY</t>
        </r>
      </text>
    </comment>
    <comment ref="S54" authorId="0" shapeId="0">
      <text>
        <r>
          <rPr>
            <b/>
            <sz val="9"/>
            <color indexed="81"/>
            <rFont val="Tahoma"/>
            <family val="2"/>
          </rPr>
          <t>ORD QTY</t>
        </r>
      </text>
    </comment>
    <comment ref="T54" authorId="0" shapeId="0">
      <text>
        <r>
          <rPr>
            <b/>
            <sz val="9"/>
            <color indexed="81"/>
            <rFont val="Tahoma"/>
            <family val="2"/>
          </rPr>
          <t>REC QTY</t>
        </r>
      </text>
    </comment>
    <comment ref="X54" authorId="0" shapeId="0">
      <text>
        <r>
          <rPr>
            <b/>
            <sz val="9"/>
            <color indexed="81"/>
            <rFont val="Tahoma"/>
            <family val="2"/>
          </rPr>
          <t>ORD QTY</t>
        </r>
      </text>
    </comment>
    <comment ref="Y54" authorId="0" shapeId="0">
      <text>
        <r>
          <rPr>
            <b/>
            <sz val="9"/>
            <color indexed="81"/>
            <rFont val="Tahoma"/>
            <family val="2"/>
          </rPr>
          <t>REC QTY</t>
        </r>
      </text>
    </comment>
    <comment ref="AC54" authorId="0" shapeId="0">
      <text>
        <r>
          <rPr>
            <b/>
            <sz val="9"/>
            <color indexed="81"/>
            <rFont val="Tahoma"/>
            <family val="2"/>
          </rPr>
          <t>ORD QTY</t>
        </r>
      </text>
    </comment>
    <comment ref="AD54" authorId="0" shapeId="0">
      <text>
        <r>
          <rPr>
            <b/>
            <sz val="9"/>
            <color indexed="81"/>
            <rFont val="Tahoma"/>
            <family val="2"/>
          </rPr>
          <t>REC QTY</t>
        </r>
      </text>
    </comment>
    <comment ref="I59" authorId="0" shapeId="0">
      <text>
        <r>
          <rPr>
            <b/>
            <sz val="9"/>
            <color indexed="81"/>
            <rFont val="Tahoma"/>
            <family val="2"/>
          </rPr>
          <t>Multiple locations of IDUC require multiple steps! Only DBOR can be aggregated!</t>
        </r>
      </text>
    </comment>
    <comment ref="N59" authorId="0" shapeId="0">
      <text>
        <r>
          <rPr>
            <b/>
            <sz val="9"/>
            <color indexed="81"/>
            <rFont val="Tahoma"/>
            <family val="2"/>
          </rPr>
          <t>Multiple locations of IDUC require multiple steps! Only DBOR can be aggregated!</t>
        </r>
      </text>
    </comment>
    <comment ref="S59" authorId="0" shapeId="0">
      <text>
        <r>
          <rPr>
            <b/>
            <sz val="9"/>
            <color indexed="81"/>
            <rFont val="Tahoma"/>
            <family val="2"/>
          </rPr>
          <t>Multiple locations of IDUC require multiple steps! Only DBOR can be aggregated!</t>
        </r>
      </text>
    </comment>
    <comment ref="X59" authorId="0" shapeId="0">
      <text>
        <r>
          <rPr>
            <b/>
            <sz val="9"/>
            <color indexed="81"/>
            <rFont val="Tahoma"/>
            <family val="2"/>
          </rPr>
          <t>Multiple locations of IDUC require multiple steps! Only DBOR can be aggregated!</t>
        </r>
      </text>
    </comment>
    <comment ref="AC59" authorId="0" shapeId="0">
      <text>
        <r>
          <rPr>
            <b/>
            <sz val="9"/>
            <color indexed="81"/>
            <rFont val="Tahoma"/>
            <family val="2"/>
          </rPr>
          <t>Multiple locations of IDUC require multiple steps! Only DBOR can be aggregated!</t>
        </r>
      </text>
    </comment>
    <comment ref="I61" authorId="0" shapeId="0">
      <text>
        <r>
          <rPr>
            <b/>
            <sz val="9"/>
            <color indexed="81"/>
            <rFont val="Tahoma"/>
            <family val="2"/>
          </rPr>
          <t>ORD QTY</t>
        </r>
      </text>
    </comment>
    <comment ref="J61" authorId="0" shapeId="0">
      <text>
        <r>
          <rPr>
            <b/>
            <sz val="9"/>
            <color indexed="81"/>
            <rFont val="Tahoma"/>
            <family val="2"/>
          </rPr>
          <t>REC QTY</t>
        </r>
      </text>
    </comment>
    <comment ref="N61" authorId="0" shapeId="0">
      <text>
        <r>
          <rPr>
            <b/>
            <sz val="9"/>
            <color indexed="81"/>
            <rFont val="Tahoma"/>
            <family val="2"/>
          </rPr>
          <t>ORD QTY</t>
        </r>
      </text>
    </comment>
    <comment ref="O61" authorId="0" shapeId="0">
      <text>
        <r>
          <rPr>
            <b/>
            <sz val="9"/>
            <color indexed="81"/>
            <rFont val="Tahoma"/>
            <family val="2"/>
          </rPr>
          <t>REC QTY</t>
        </r>
      </text>
    </comment>
    <comment ref="S61" authorId="0" shapeId="0">
      <text>
        <r>
          <rPr>
            <b/>
            <sz val="9"/>
            <color indexed="81"/>
            <rFont val="Tahoma"/>
            <family val="2"/>
          </rPr>
          <t>ORD QTY</t>
        </r>
      </text>
    </comment>
    <comment ref="T61" authorId="0" shapeId="0">
      <text>
        <r>
          <rPr>
            <b/>
            <sz val="9"/>
            <color indexed="81"/>
            <rFont val="Tahoma"/>
            <family val="2"/>
          </rPr>
          <t>REC QTY</t>
        </r>
      </text>
    </comment>
    <comment ref="X61" authorId="0" shapeId="0">
      <text>
        <r>
          <rPr>
            <b/>
            <sz val="9"/>
            <color indexed="81"/>
            <rFont val="Tahoma"/>
            <family val="2"/>
          </rPr>
          <t>ORD QTY</t>
        </r>
      </text>
    </comment>
    <comment ref="Y61" authorId="0" shapeId="0">
      <text>
        <r>
          <rPr>
            <b/>
            <sz val="9"/>
            <color indexed="81"/>
            <rFont val="Tahoma"/>
            <family val="2"/>
          </rPr>
          <t>REC QTY</t>
        </r>
      </text>
    </comment>
    <comment ref="AC61" authorId="0" shapeId="0">
      <text>
        <r>
          <rPr>
            <b/>
            <sz val="9"/>
            <color indexed="81"/>
            <rFont val="Tahoma"/>
            <family val="2"/>
          </rPr>
          <t>ORD QTY</t>
        </r>
      </text>
    </comment>
    <comment ref="AD61" authorId="0" shapeId="0">
      <text>
        <r>
          <rPr>
            <b/>
            <sz val="9"/>
            <color indexed="81"/>
            <rFont val="Tahoma"/>
            <family val="2"/>
          </rPr>
          <t>REC QTY</t>
        </r>
      </text>
    </comment>
    <comment ref="I62" authorId="0" shapeId="0">
      <text>
        <r>
          <rPr>
            <b/>
            <sz val="9"/>
            <color indexed="81"/>
            <rFont val="Tahoma"/>
            <family val="2"/>
          </rPr>
          <t>ORD QTY</t>
        </r>
      </text>
    </comment>
    <comment ref="J62" authorId="0" shapeId="0">
      <text>
        <r>
          <rPr>
            <b/>
            <sz val="9"/>
            <color indexed="81"/>
            <rFont val="Tahoma"/>
            <family val="2"/>
          </rPr>
          <t>REC QTY</t>
        </r>
      </text>
    </comment>
    <comment ref="N62" authorId="0" shapeId="0">
      <text>
        <r>
          <rPr>
            <b/>
            <sz val="9"/>
            <color indexed="81"/>
            <rFont val="Tahoma"/>
            <family val="2"/>
          </rPr>
          <t>ORD QTY</t>
        </r>
      </text>
    </comment>
    <comment ref="O62" authorId="0" shapeId="0">
      <text>
        <r>
          <rPr>
            <b/>
            <sz val="9"/>
            <color indexed="81"/>
            <rFont val="Tahoma"/>
            <family val="2"/>
          </rPr>
          <t>REC QTY</t>
        </r>
      </text>
    </comment>
    <comment ref="S62" authorId="0" shapeId="0">
      <text>
        <r>
          <rPr>
            <b/>
            <sz val="9"/>
            <color indexed="81"/>
            <rFont val="Tahoma"/>
            <family val="2"/>
          </rPr>
          <t>ORD QTY</t>
        </r>
      </text>
    </comment>
    <comment ref="T62" authorId="0" shapeId="0">
      <text>
        <r>
          <rPr>
            <b/>
            <sz val="9"/>
            <color indexed="81"/>
            <rFont val="Tahoma"/>
            <family val="2"/>
          </rPr>
          <t>REC QTY</t>
        </r>
      </text>
    </comment>
    <comment ref="X62" authorId="0" shapeId="0">
      <text>
        <r>
          <rPr>
            <b/>
            <sz val="9"/>
            <color indexed="81"/>
            <rFont val="Tahoma"/>
            <family val="2"/>
          </rPr>
          <t>ORD QTY</t>
        </r>
      </text>
    </comment>
    <comment ref="Y62" authorId="0" shapeId="0">
      <text>
        <r>
          <rPr>
            <b/>
            <sz val="9"/>
            <color indexed="81"/>
            <rFont val="Tahoma"/>
            <family val="2"/>
          </rPr>
          <t>REC QTY</t>
        </r>
      </text>
    </comment>
    <comment ref="AC62" authorId="0" shapeId="0">
      <text>
        <r>
          <rPr>
            <b/>
            <sz val="9"/>
            <color indexed="81"/>
            <rFont val="Tahoma"/>
            <family val="2"/>
          </rPr>
          <t>ORD QTY</t>
        </r>
      </text>
    </comment>
    <comment ref="AD62" authorId="0" shapeId="0">
      <text>
        <r>
          <rPr>
            <b/>
            <sz val="9"/>
            <color indexed="81"/>
            <rFont val="Tahoma"/>
            <family val="2"/>
          </rPr>
          <t>REC QTY</t>
        </r>
      </text>
    </comment>
  </commentList>
</comments>
</file>

<file path=xl/comments2.xml><?xml version="1.0" encoding="utf-8"?>
<comments xmlns="http://schemas.openxmlformats.org/spreadsheetml/2006/main">
  <authors>
    <author>ELLER, SCOTT</author>
  </authors>
  <commentList>
    <comment ref="A4" authorId="0" shapeId="0">
      <text>
        <r>
          <rPr>
            <b/>
            <sz val="9"/>
            <color indexed="81"/>
            <rFont val="Tahoma"/>
            <family val="2"/>
          </rPr>
          <t>Corning FlexNAP cable=Y
Regular fiber cable=N</t>
        </r>
        <r>
          <rPr>
            <sz val="9"/>
            <color indexed="81"/>
            <rFont val="Tahoma"/>
            <family val="2"/>
          </rPr>
          <t xml:space="preserve">
</t>
        </r>
      </text>
    </comment>
    <comment ref="F4" authorId="0" shapeId="0">
      <text>
        <r>
          <rPr>
            <b/>
            <sz val="9"/>
            <color indexed="81"/>
            <rFont val="Tahoma"/>
            <family val="2"/>
          </rPr>
          <t>Corning FlexNAP cable=Y
Regular fiber cable=N</t>
        </r>
        <r>
          <rPr>
            <sz val="9"/>
            <color indexed="81"/>
            <rFont val="Tahoma"/>
            <family val="2"/>
          </rPr>
          <t xml:space="preserve">
</t>
        </r>
      </text>
    </comment>
    <comment ref="K4" authorId="0" shapeId="0">
      <text>
        <r>
          <rPr>
            <b/>
            <sz val="9"/>
            <color indexed="81"/>
            <rFont val="Tahoma"/>
            <family val="2"/>
          </rPr>
          <t>Corning FlexNAP cable=Y
Regular fiber cable=N</t>
        </r>
        <r>
          <rPr>
            <sz val="9"/>
            <color indexed="81"/>
            <rFont val="Tahoma"/>
            <family val="2"/>
          </rPr>
          <t xml:space="preserve">
</t>
        </r>
      </text>
    </comment>
    <comment ref="P4" authorId="0" shapeId="0">
      <text>
        <r>
          <rPr>
            <b/>
            <sz val="9"/>
            <color indexed="81"/>
            <rFont val="Tahoma"/>
            <family val="2"/>
          </rPr>
          <t>Corning FlexNAP cable=Y
Regular fiber cable=N</t>
        </r>
        <r>
          <rPr>
            <sz val="9"/>
            <color indexed="81"/>
            <rFont val="Tahoma"/>
            <family val="2"/>
          </rPr>
          <t xml:space="preserve">
</t>
        </r>
      </text>
    </comment>
    <comment ref="U4" authorId="0" shapeId="0">
      <text>
        <r>
          <rPr>
            <b/>
            <sz val="9"/>
            <color indexed="81"/>
            <rFont val="Tahoma"/>
            <family val="2"/>
          </rPr>
          <t>Corning FlexNAP cable=Y
Regular fiber cable=N</t>
        </r>
        <r>
          <rPr>
            <sz val="9"/>
            <color indexed="81"/>
            <rFont val="Tahoma"/>
            <family val="2"/>
          </rPr>
          <t xml:space="preserve">
</t>
        </r>
      </text>
    </comment>
    <comment ref="Z4" authorId="0" shapeId="0">
      <text>
        <r>
          <rPr>
            <b/>
            <sz val="9"/>
            <color indexed="81"/>
            <rFont val="Tahoma"/>
            <family val="2"/>
          </rPr>
          <t>Corning FlexNAP cable=Y
Regular fiber cable=N</t>
        </r>
        <r>
          <rPr>
            <sz val="9"/>
            <color indexed="81"/>
            <rFont val="Tahoma"/>
            <family val="2"/>
          </rPr>
          <t xml:space="preserve">
</t>
        </r>
      </text>
    </comment>
    <comment ref="AE4" authorId="0" shapeId="0">
      <text>
        <r>
          <rPr>
            <b/>
            <sz val="9"/>
            <color indexed="81"/>
            <rFont val="Tahoma"/>
            <family val="2"/>
          </rPr>
          <t>Corning FlexNAP cable=Y
Regular fiber cable=N</t>
        </r>
        <r>
          <rPr>
            <sz val="9"/>
            <color indexed="81"/>
            <rFont val="Tahoma"/>
            <family val="2"/>
          </rPr>
          <t xml:space="preserve">
</t>
        </r>
      </text>
    </comment>
    <comment ref="AJ4" authorId="0" shapeId="0">
      <text>
        <r>
          <rPr>
            <b/>
            <sz val="9"/>
            <color indexed="81"/>
            <rFont val="Tahoma"/>
            <family val="2"/>
          </rPr>
          <t>Corning FlexNAP cable=Y
Regular fiber cable=N</t>
        </r>
        <r>
          <rPr>
            <sz val="9"/>
            <color indexed="81"/>
            <rFont val="Tahoma"/>
            <family val="2"/>
          </rPr>
          <t xml:space="preserve">
</t>
        </r>
      </text>
    </comment>
    <comment ref="AO4" authorId="0" shapeId="0">
      <text>
        <r>
          <rPr>
            <b/>
            <sz val="9"/>
            <color indexed="81"/>
            <rFont val="Tahoma"/>
            <family val="2"/>
          </rPr>
          <t>Corning FlexNAP cable=Y
Regular fiber cable=N</t>
        </r>
        <r>
          <rPr>
            <sz val="9"/>
            <color indexed="81"/>
            <rFont val="Tahoma"/>
            <family val="2"/>
          </rPr>
          <t xml:space="preserve">
</t>
        </r>
      </text>
    </comment>
    <comment ref="AT4" authorId="0" shapeId="0">
      <text>
        <r>
          <rPr>
            <b/>
            <sz val="9"/>
            <color indexed="81"/>
            <rFont val="Tahoma"/>
            <family val="2"/>
          </rPr>
          <t>Corning FlexNAP cable=Y
Regular fiber cable=N</t>
        </r>
        <r>
          <rPr>
            <sz val="9"/>
            <color indexed="81"/>
            <rFont val="Tahoma"/>
            <family val="2"/>
          </rPr>
          <t xml:space="preserve">
</t>
        </r>
      </text>
    </comment>
    <comment ref="AY4" authorId="0" shapeId="0">
      <text>
        <r>
          <rPr>
            <b/>
            <sz val="9"/>
            <color indexed="81"/>
            <rFont val="Tahoma"/>
            <family val="2"/>
          </rPr>
          <t>Corning FlexNAP cable=Y
Regular fiber cable=N</t>
        </r>
        <r>
          <rPr>
            <sz val="9"/>
            <color indexed="81"/>
            <rFont val="Tahoma"/>
            <family val="2"/>
          </rPr>
          <t xml:space="preserve">
</t>
        </r>
      </text>
    </comment>
    <comment ref="BD4" authorId="0" shapeId="0">
      <text>
        <r>
          <rPr>
            <b/>
            <sz val="9"/>
            <color indexed="81"/>
            <rFont val="Tahoma"/>
            <family val="2"/>
          </rPr>
          <t>Corning FlexNAP cable=Y
Regular fiber cable=N</t>
        </r>
        <r>
          <rPr>
            <sz val="9"/>
            <color indexed="81"/>
            <rFont val="Tahoma"/>
            <family val="2"/>
          </rPr>
          <t xml:space="preserve">
</t>
        </r>
      </text>
    </comment>
    <comment ref="BI4" authorId="0" shapeId="0">
      <text>
        <r>
          <rPr>
            <b/>
            <sz val="9"/>
            <color indexed="81"/>
            <rFont val="Tahoma"/>
            <family val="2"/>
          </rPr>
          <t>Corning FlexNAP cable=Y
Regular fiber cable=N</t>
        </r>
        <r>
          <rPr>
            <sz val="9"/>
            <color indexed="81"/>
            <rFont val="Tahoma"/>
            <family val="2"/>
          </rPr>
          <t xml:space="preserve">
</t>
        </r>
      </text>
    </comment>
    <comment ref="BN4" authorId="0" shapeId="0">
      <text>
        <r>
          <rPr>
            <b/>
            <sz val="9"/>
            <color indexed="81"/>
            <rFont val="Tahoma"/>
            <family val="2"/>
          </rPr>
          <t>Corning FlexNAP cable=Y
Regular fiber cable=N</t>
        </r>
        <r>
          <rPr>
            <sz val="9"/>
            <color indexed="81"/>
            <rFont val="Tahoma"/>
            <family val="2"/>
          </rPr>
          <t xml:space="preserve">
</t>
        </r>
      </text>
    </comment>
    <comment ref="BS4" authorId="0" shapeId="0">
      <text>
        <r>
          <rPr>
            <b/>
            <sz val="9"/>
            <color indexed="81"/>
            <rFont val="Tahoma"/>
            <family val="2"/>
          </rPr>
          <t>Corning FlexNAP cable=Y
Regular fiber cable=N</t>
        </r>
        <r>
          <rPr>
            <sz val="9"/>
            <color indexed="81"/>
            <rFont val="Tahoma"/>
            <family val="2"/>
          </rPr>
          <t xml:space="preserve">
</t>
        </r>
      </text>
    </comment>
    <comment ref="BX4" authorId="0" shapeId="0">
      <text>
        <r>
          <rPr>
            <b/>
            <sz val="9"/>
            <color indexed="81"/>
            <rFont val="Tahoma"/>
            <family val="2"/>
          </rPr>
          <t>Corning FlexNAP cable=Y
Regular fiber cable=N</t>
        </r>
        <r>
          <rPr>
            <sz val="9"/>
            <color indexed="81"/>
            <rFont val="Tahoma"/>
            <family val="2"/>
          </rPr>
          <t xml:space="preserve">
</t>
        </r>
      </text>
    </comment>
    <comment ref="CC4" authorId="0" shapeId="0">
      <text>
        <r>
          <rPr>
            <b/>
            <sz val="9"/>
            <color indexed="81"/>
            <rFont val="Tahoma"/>
            <family val="2"/>
          </rPr>
          <t>Corning FlexNAP cable=Y
Regular fiber cable=N</t>
        </r>
        <r>
          <rPr>
            <sz val="9"/>
            <color indexed="81"/>
            <rFont val="Tahoma"/>
            <family val="2"/>
          </rPr>
          <t xml:space="preserve">
</t>
        </r>
      </text>
    </comment>
    <comment ref="CH4" authorId="0" shapeId="0">
      <text>
        <r>
          <rPr>
            <b/>
            <sz val="9"/>
            <color indexed="81"/>
            <rFont val="Tahoma"/>
            <family val="2"/>
          </rPr>
          <t>Corning FlexNAP cable=Y
Regular fiber cable=N</t>
        </r>
        <r>
          <rPr>
            <sz val="9"/>
            <color indexed="81"/>
            <rFont val="Tahoma"/>
            <family val="2"/>
          </rPr>
          <t xml:space="preserve">
</t>
        </r>
      </text>
    </comment>
    <comment ref="CM4" authorId="0" shapeId="0">
      <text>
        <r>
          <rPr>
            <b/>
            <sz val="9"/>
            <color indexed="81"/>
            <rFont val="Tahoma"/>
            <family val="2"/>
          </rPr>
          <t>Corning FlexNAP cable=Y
Regular fiber cable=N</t>
        </r>
        <r>
          <rPr>
            <sz val="9"/>
            <color indexed="81"/>
            <rFont val="Tahoma"/>
            <family val="2"/>
          </rPr>
          <t xml:space="preserve">
</t>
        </r>
      </text>
    </comment>
    <comment ref="CR4" authorId="0" shapeId="0">
      <text>
        <r>
          <rPr>
            <b/>
            <sz val="9"/>
            <color indexed="81"/>
            <rFont val="Tahoma"/>
            <family val="2"/>
          </rPr>
          <t>Corning FlexNAP cable=Y
Regular fiber cable=N</t>
        </r>
        <r>
          <rPr>
            <sz val="9"/>
            <color indexed="81"/>
            <rFont val="Tahoma"/>
            <family val="2"/>
          </rPr>
          <t xml:space="preserve">
</t>
        </r>
      </text>
    </comment>
    <comment ref="CW4" authorId="0" shapeId="0">
      <text>
        <r>
          <rPr>
            <b/>
            <sz val="9"/>
            <color indexed="81"/>
            <rFont val="Tahoma"/>
            <family val="2"/>
          </rPr>
          <t>Corning FlexNAP cable=Y
Regular fiber cable=N</t>
        </r>
        <r>
          <rPr>
            <sz val="9"/>
            <color indexed="81"/>
            <rFont val="Tahoma"/>
            <family val="2"/>
          </rPr>
          <t xml:space="preserve">
</t>
        </r>
      </text>
    </comment>
    <comment ref="DB4" authorId="0" shapeId="0">
      <text>
        <r>
          <rPr>
            <b/>
            <sz val="9"/>
            <color indexed="81"/>
            <rFont val="Tahoma"/>
            <family val="2"/>
          </rPr>
          <t>Corning FlexNAP cable=Y
Regular fiber cable=N</t>
        </r>
        <r>
          <rPr>
            <sz val="9"/>
            <color indexed="81"/>
            <rFont val="Tahoma"/>
            <family val="2"/>
          </rPr>
          <t xml:space="preserve">
</t>
        </r>
      </text>
    </comment>
    <comment ref="DG4" authorId="0" shapeId="0">
      <text>
        <r>
          <rPr>
            <b/>
            <sz val="9"/>
            <color indexed="81"/>
            <rFont val="Tahoma"/>
            <family val="2"/>
          </rPr>
          <t>Corning FlexNAP cable=Y
Regular fiber cable=N</t>
        </r>
        <r>
          <rPr>
            <sz val="9"/>
            <color indexed="81"/>
            <rFont val="Tahoma"/>
            <family val="2"/>
          </rPr>
          <t xml:space="preserve">
</t>
        </r>
      </text>
    </comment>
    <comment ref="DL4" authorId="0" shapeId="0">
      <text>
        <r>
          <rPr>
            <b/>
            <sz val="9"/>
            <color indexed="81"/>
            <rFont val="Tahoma"/>
            <family val="2"/>
          </rPr>
          <t>Corning FlexNAP cable=Y
Regular fiber cable=N</t>
        </r>
        <r>
          <rPr>
            <sz val="9"/>
            <color indexed="81"/>
            <rFont val="Tahoma"/>
            <family val="2"/>
          </rPr>
          <t xml:space="preserve">
</t>
        </r>
      </text>
    </comment>
    <comment ref="DQ4" authorId="0" shapeId="0">
      <text>
        <r>
          <rPr>
            <b/>
            <sz val="9"/>
            <color indexed="81"/>
            <rFont val="Tahoma"/>
            <family val="2"/>
          </rPr>
          <t>Corning FlexNAP cable=Y
Regular fiber cable=N</t>
        </r>
        <r>
          <rPr>
            <sz val="9"/>
            <color indexed="81"/>
            <rFont val="Tahoma"/>
            <family val="2"/>
          </rPr>
          <t xml:space="preserve">
</t>
        </r>
      </text>
    </comment>
    <comment ref="DV4" authorId="0" shapeId="0">
      <text>
        <r>
          <rPr>
            <b/>
            <sz val="9"/>
            <color indexed="81"/>
            <rFont val="Tahoma"/>
            <family val="2"/>
          </rPr>
          <t>Corning FlexNAP cable=Y
Regular fiber cable=N</t>
        </r>
        <r>
          <rPr>
            <sz val="9"/>
            <color indexed="81"/>
            <rFont val="Tahoma"/>
            <family val="2"/>
          </rPr>
          <t xml:space="preserve">
</t>
        </r>
      </text>
    </comment>
    <comment ref="EA4" authorId="0" shapeId="0">
      <text>
        <r>
          <rPr>
            <b/>
            <sz val="9"/>
            <color indexed="81"/>
            <rFont val="Tahoma"/>
            <family val="2"/>
          </rPr>
          <t>Corning FlexNAP cable=Y
Regular fiber cable=N</t>
        </r>
        <r>
          <rPr>
            <sz val="9"/>
            <color indexed="81"/>
            <rFont val="Tahoma"/>
            <family val="2"/>
          </rPr>
          <t xml:space="preserve">
</t>
        </r>
      </text>
    </comment>
    <comment ref="EF4" authorId="0" shapeId="0">
      <text>
        <r>
          <rPr>
            <b/>
            <sz val="9"/>
            <color indexed="81"/>
            <rFont val="Tahoma"/>
            <family val="2"/>
          </rPr>
          <t>Corning FlexNAP cable=Y
Regular fiber cable=N</t>
        </r>
        <r>
          <rPr>
            <sz val="9"/>
            <color indexed="81"/>
            <rFont val="Tahoma"/>
            <family val="2"/>
          </rPr>
          <t xml:space="preserve">
</t>
        </r>
      </text>
    </comment>
    <comment ref="EK4" authorId="0" shapeId="0">
      <text>
        <r>
          <rPr>
            <b/>
            <sz val="9"/>
            <color indexed="81"/>
            <rFont val="Tahoma"/>
            <family val="2"/>
          </rPr>
          <t>Corning FlexNAP cable=Y
Regular fiber cable=N</t>
        </r>
        <r>
          <rPr>
            <sz val="9"/>
            <color indexed="81"/>
            <rFont val="Tahoma"/>
            <family val="2"/>
          </rPr>
          <t xml:space="preserve">
</t>
        </r>
      </text>
    </comment>
    <comment ref="EP4" authorId="0" shapeId="0">
      <text>
        <r>
          <rPr>
            <b/>
            <sz val="9"/>
            <color indexed="81"/>
            <rFont val="Tahoma"/>
            <family val="2"/>
          </rPr>
          <t>Corning FlexNAP cable=Y
Regular fiber cable=N</t>
        </r>
        <r>
          <rPr>
            <sz val="9"/>
            <color indexed="81"/>
            <rFont val="Tahoma"/>
            <family val="2"/>
          </rPr>
          <t xml:space="preserve">
</t>
        </r>
      </text>
    </comment>
    <comment ref="EU4" authorId="0" shapeId="0">
      <text>
        <r>
          <rPr>
            <b/>
            <sz val="9"/>
            <color indexed="81"/>
            <rFont val="Tahoma"/>
            <family val="2"/>
          </rPr>
          <t>Corning FlexNAP cable=Y
Regular fiber cable=N</t>
        </r>
        <r>
          <rPr>
            <sz val="9"/>
            <color indexed="81"/>
            <rFont val="Tahoma"/>
            <family val="2"/>
          </rPr>
          <t xml:space="preserve">
</t>
        </r>
      </text>
    </comment>
    <comment ref="EZ4" authorId="0" shapeId="0">
      <text>
        <r>
          <rPr>
            <b/>
            <sz val="9"/>
            <color indexed="81"/>
            <rFont val="Tahoma"/>
            <family val="2"/>
          </rPr>
          <t>Corning FlexNAP cable=Y
Regular fiber cable=N</t>
        </r>
        <r>
          <rPr>
            <sz val="9"/>
            <color indexed="81"/>
            <rFont val="Tahoma"/>
            <family val="2"/>
          </rPr>
          <t xml:space="preserve">
</t>
        </r>
      </text>
    </comment>
    <comment ref="FE4" authorId="0" shapeId="0">
      <text>
        <r>
          <rPr>
            <b/>
            <sz val="9"/>
            <color indexed="81"/>
            <rFont val="Tahoma"/>
            <family val="2"/>
          </rPr>
          <t>Corning FlexNAP cable=Y
Regular fiber cable=N</t>
        </r>
        <r>
          <rPr>
            <sz val="9"/>
            <color indexed="81"/>
            <rFont val="Tahoma"/>
            <family val="2"/>
          </rPr>
          <t xml:space="preserve">
</t>
        </r>
      </text>
    </comment>
    <comment ref="FJ4" authorId="0" shapeId="0">
      <text>
        <r>
          <rPr>
            <b/>
            <sz val="9"/>
            <color indexed="81"/>
            <rFont val="Tahoma"/>
            <family val="2"/>
          </rPr>
          <t>Corning FlexNAP cable=Y
Regular fiber cable=N</t>
        </r>
        <r>
          <rPr>
            <sz val="9"/>
            <color indexed="81"/>
            <rFont val="Tahoma"/>
            <family val="2"/>
          </rPr>
          <t xml:space="preserve">
</t>
        </r>
      </text>
    </comment>
    <comment ref="FO4" authorId="0" shapeId="0">
      <text>
        <r>
          <rPr>
            <b/>
            <sz val="9"/>
            <color indexed="81"/>
            <rFont val="Tahoma"/>
            <family val="2"/>
          </rPr>
          <t>Corning FlexNAP cable=Y
Regular fiber cable=N</t>
        </r>
        <r>
          <rPr>
            <sz val="9"/>
            <color indexed="81"/>
            <rFont val="Tahoma"/>
            <family val="2"/>
          </rPr>
          <t xml:space="preserve">
</t>
        </r>
      </text>
    </comment>
    <comment ref="FT4" authorId="0" shapeId="0">
      <text>
        <r>
          <rPr>
            <b/>
            <sz val="9"/>
            <color indexed="81"/>
            <rFont val="Tahoma"/>
            <family val="2"/>
          </rPr>
          <t>Corning FlexNAP cable=Y
Regular fiber cable=N</t>
        </r>
        <r>
          <rPr>
            <sz val="9"/>
            <color indexed="81"/>
            <rFont val="Tahoma"/>
            <family val="2"/>
          </rPr>
          <t xml:space="preserve">
</t>
        </r>
      </text>
    </comment>
    <comment ref="FY4" authorId="0" shapeId="0">
      <text>
        <r>
          <rPr>
            <b/>
            <sz val="9"/>
            <color indexed="81"/>
            <rFont val="Tahoma"/>
            <family val="2"/>
          </rPr>
          <t>Corning FlexNAP cable=Y
Regular fiber cable=N</t>
        </r>
        <r>
          <rPr>
            <sz val="9"/>
            <color indexed="81"/>
            <rFont val="Tahoma"/>
            <family val="2"/>
          </rPr>
          <t xml:space="preserve">
</t>
        </r>
      </text>
    </comment>
    <comment ref="GD4" authorId="0" shapeId="0">
      <text>
        <r>
          <rPr>
            <b/>
            <sz val="9"/>
            <color indexed="81"/>
            <rFont val="Tahoma"/>
            <family val="2"/>
          </rPr>
          <t>Corning FlexNAP cable=Y
Regular fiber cable=N</t>
        </r>
        <r>
          <rPr>
            <sz val="9"/>
            <color indexed="81"/>
            <rFont val="Tahoma"/>
            <family val="2"/>
          </rPr>
          <t xml:space="preserve">
</t>
        </r>
      </text>
    </comment>
    <comment ref="GI4" authorId="0" shapeId="0">
      <text>
        <r>
          <rPr>
            <b/>
            <sz val="9"/>
            <color indexed="81"/>
            <rFont val="Tahoma"/>
            <family val="2"/>
          </rPr>
          <t>Corning FlexNAP cable=Y
Regular fiber cable=N</t>
        </r>
        <r>
          <rPr>
            <sz val="9"/>
            <color indexed="81"/>
            <rFont val="Tahoma"/>
            <family val="2"/>
          </rPr>
          <t xml:space="preserve">
</t>
        </r>
      </text>
    </comment>
    <comment ref="GN4" authorId="0" shapeId="0">
      <text>
        <r>
          <rPr>
            <b/>
            <sz val="9"/>
            <color indexed="81"/>
            <rFont val="Tahoma"/>
            <family val="2"/>
          </rPr>
          <t>Corning FlexNAP cable=Y
Regular fiber cable=N</t>
        </r>
        <r>
          <rPr>
            <sz val="9"/>
            <color indexed="81"/>
            <rFont val="Tahoma"/>
            <family val="2"/>
          </rPr>
          <t xml:space="preserve">
</t>
        </r>
      </text>
    </comment>
    <comment ref="GS4" authorId="0" shapeId="0">
      <text>
        <r>
          <rPr>
            <b/>
            <sz val="9"/>
            <color indexed="81"/>
            <rFont val="Tahoma"/>
            <family val="2"/>
          </rPr>
          <t>Corning FlexNAP cable=Y
Regular fiber cable=N</t>
        </r>
        <r>
          <rPr>
            <sz val="9"/>
            <color indexed="81"/>
            <rFont val="Tahoma"/>
            <family val="2"/>
          </rPr>
          <t xml:space="preserve">
</t>
        </r>
      </text>
    </comment>
    <comment ref="GX4" authorId="0" shapeId="0">
      <text>
        <r>
          <rPr>
            <b/>
            <sz val="9"/>
            <color indexed="81"/>
            <rFont val="Tahoma"/>
            <family val="2"/>
          </rPr>
          <t>Corning FlexNAP cable=Y
Regular fiber cable=N</t>
        </r>
        <r>
          <rPr>
            <sz val="9"/>
            <color indexed="81"/>
            <rFont val="Tahoma"/>
            <family val="2"/>
          </rPr>
          <t xml:space="preserve">
</t>
        </r>
      </text>
    </comment>
    <comment ref="HC4" authorId="0" shapeId="0">
      <text>
        <r>
          <rPr>
            <b/>
            <sz val="9"/>
            <color indexed="81"/>
            <rFont val="Tahoma"/>
            <family val="2"/>
          </rPr>
          <t>Corning FlexNAP cable=Y
Regular fiber cable=N</t>
        </r>
        <r>
          <rPr>
            <sz val="9"/>
            <color indexed="81"/>
            <rFont val="Tahoma"/>
            <family val="2"/>
          </rPr>
          <t xml:space="preserve">
</t>
        </r>
      </text>
    </comment>
    <comment ref="HH4" authorId="0" shapeId="0">
      <text>
        <r>
          <rPr>
            <b/>
            <sz val="9"/>
            <color indexed="81"/>
            <rFont val="Tahoma"/>
            <family val="2"/>
          </rPr>
          <t>Corning FlexNAP cable=Y
Regular fiber cable=N</t>
        </r>
        <r>
          <rPr>
            <sz val="9"/>
            <color indexed="81"/>
            <rFont val="Tahoma"/>
            <family val="2"/>
          </rPr>
          <t xml:space="preserve">
</t>
        </r>
      </text>
    </comment>
    <comment ref="HM4" authorId="0" shapeId="0">
      <text>
        <r>
          <rPr>
            <b/>
            <sz val="9"/>
            <color indexed="81"/>
            <rFont val="Tahoma"/>
            <family val="2"/>
          </rPr>
          <t>Corning FlexNAP cable=Y
Regular fiber cable=N</t>
        </r>
        <r>
          <rPr>
            <sz val="9"/>
            <color indexed="81"/>
            <rFont val="Tahoma"/>
            <family val="2"/>
          </rPr>
          <t xml:space="preserve">
</t>
        </r>
      </text>
    </comment>
    <comment ref="HR4" authorId="0" shapeId="0">
      <text>
        <r>
          <rPr>
            <b/>
            <sz val="9"/>
            <color indexed="81"/>
            <rFont val="Tahoma"/>
            <family val="2"/>
          </rPr>
          <t>Corning FlexNAP cable=Y
Regular fiber cable=N</t>
        </r>
        <r>
          <rPr>
            <sz val="9"/>
            <color indexed="81"/>
            <rFont val="Tahoma"/>
            <family val="2"/>
          </rPr>
          <t xml:space="preserve">
</t>
        </r>
      </text>
    </comment>
    <comment ref="HW4" authorId="0" shapeId="0">
      <text>
        <r>
          <rPr>
            <b/>
            <sz val="9"/>
            <color indexed="81"/>
            <rFont val="Tahoma"/>
            <family val="2"/>
          </rPr>
          <t>Corning FlexNAP cable=Y
Regular fiber cable=N</t>
        </r>
        <r>
          <rPr>
            <sz val="9"/>
            <color indexed="81"/>
            <rFont val="Tahoma"/>
            <family val="2"/>
          </rPr>
          <t xml:space="preserve">
</t>
        </r>
      </text>
    </comment>
    <comment ref="IB4" authorId="0" shapeId="0">
      <text>
        <r>
          <rPr>
            <b/>
            <sz val="9"/>
            <color indexed="81"/>
            <rFont val="Tahoma"/>
            <family val="2"/>
          </rPr>
          <t>Corning FlexNAP cable=Y
Regular fiber cable=N</t>
        </r>
        <r>
          <rPr>
            <sz val="9"/>
            <color indexed="81"/>
            <rFont val="Tahoma"/>
            <family val="2"/>
          </rPr>
          <t xml:space="preserve">
</t>
        </r>
      </text>
    </comment>
    <comment ref="IG4" authorId="0" shapeId="0">
      <text>
        <r>
          <rPr>
            <b/>
            <sz val="9"/>
            <color indexed="81"/>
            <rFont val="Tahoma"/>
            <family val="2"/>
          </rPr>
          <t>Corning FlexNAP cable=Y
Regular fiber cable=N</t>
        </r>
        <r>
          <rPr>
            <sz val="9"/>
            <color indexed="81"/>
            <rFont val="Tahoma"/>
            <family val="2"/>
          </rPr>
          <t xml:space="preserve">
</t>
        </r>
      </text>
    </comment>
    <comment ref="IL4" authorId="0" shapeId="0">
      <text>
        <r>
          <rPr>
            <b/>
            <sz val="9"/>
            <color indexed="81"/>
            <rFont val="Tahoma"/>
            <family val="2"/>
          </rPr>
          <t>Corning FlexNAP cable=Y
Regular fiber cable=N</t>
        </r>
        <r>
          <rPr>
            <sz val="9"/>
            <color indexed="81"/>
            <rFont val="Tahoma"/>
            <family val="2"/>
          </rPr>
          <t xml:space="preserve">
</t>
        </r>
      </text>
    </comment>
    <comment ref="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text>
        <r>
          <rPr>
            <b/>
            <sz val="9"/>
            <color indexed="81"/>
            <rFont val="Tahoma"/>
            <family val="2"/>
          </rPr>
          <t>Select "Y" if the field end of the cable will be field spliced to another cable.
Reminder: Don't forget to add the (R) to the prints!</t>
        </r>
      </text>
    </comment>
    <comment ref="F6" authorId="0" shapeId="0">
      <text>
        <r>
          <rPr>
            <b/>
            <sz val="9"/>
            <color indexed="81"/>
            <rFont val="Tahoma"/>
            <family val="2"/>
          </rPr>
          <t>Select "Y" if the field end of the cable will be field spliced to another cable.
Reminder: Don't forget to add the (R) to the prints!</t>
        </r>
      </text>
    </comment>
    <comment ref="K6" authorId="0" shapeId="0">
      <text>
        <r>
          <rPr>
            <b/>
            <sz val="9"/>
            <color indexed="81"/>
            <rFont val="Tahoma"/>
            <family val="2"/>
          </rPr>
          <t>Select "Y" if the field end of the cable will be field spliced to another cable.
Reminder: Don't forget to add the (R) to the prints!</t>
        </r>
      </text>
    </comment>
    <comment ref="P6" authorId="0" shapeId="0">
      <text>
        <r>
          <rPr>
            <b/>
            <sz val="9"/>
            <color indexed="81"/>
            <rFont val="Tahoma"/>
            <family val="2"/>
          </rPr>
          <t>Select "Y" if the field end of the cable will be field spliced to another cable.
Reminder: Don't forget to add the (R) to the prints!</t>
        </r>
      </text>
    </comment>
    <comment ref="U6" authorId="0" shapeId="0">
      <text>
        <r>
          <rPr>
            <b/>
            <sz val="9"/>
            <color indexed="81"/>
            <rFont val="Tahoma"/>
            <family val="2"/>
          </rPr>
          <t>Select "Y" if the field end of the cable will be field spliced to another cable.
Reminder: Don't forget to add the (R) to the prints!</t>
        </r>
      </text>
    </comment>
    <comment ref="Z6" authorId="0" shapeId="0">
      <text>
        <r>
          <rPr>
            <b/>
            <sz val="9"/>
            <color indexed="81"/>
            <rFont val="Tahoma"/>
            <family val="2"/>
          </rPr>
          <t>Select "Y" if the field end of the cable will be field spliced to another cable.
Reminder: Don't forget to add the (R) to the prints!</t>
        </r>
      </text>
    </comment>
    <comment ref="AE6" authorId="0" shapeId="0">
      <text>
        <r>
          <rPr>
            <b/>
            <sz val="9"/>
            <color indexed="81"/>
            <rFont val="Tahoma"/>
            <family val="2"/>
          </rPr>
          <t>Select "Y" if the field end of the cable will be field spliced to another cable.
Reminder: Don't forget to add the (R) to the prints!</t>
        </r>
      </text>
    </comment>
    <comment ref="AJ6" authorId="0" shapeId="0">
      <text>
        <r>
          <rPr>
            <b/>
            <sz val="9"/>
            <color indexed="81"/>
            <rFont val="Tahoma"/>
            <family val="2"/>
          </rPr>
          <t>Select "Y" if the field end of the cable will be field spliced to another cable.
Reminder: Don't forget to add the (R) to the prints!</t>
        </r>
      </text>
    </comment>
    <comment ref="AO6" authorId="0" shapeId="0">
      <text>
        <r>
          <rPr>
            <b/>
            <sz val="9"/>
            <color indexed="81"/>
            <rFont val="Tahoma"/>
            <family val="2"/>
          </rPr>
          <t>Select "Y" if the field end of the cable will be field spliced to another cable.
Reminder: Don't forget to add the (R) to the prints!</t>
        </r>
      </text>
    </comment>
    <comment ref="AT6" authorId="0" shapeId="0">
      <text>
        <r>
          <rPr>
            <b/>
            <sz val="9"/>
            <color indexed="81"/>
            <rFont val="Tahoma"/>
            <family val="2"/>
          </rPr>
          <t>Select "Y" if the field end of the cable will be field spliced to another cable.
Reminder: Don't forget to add the (R) to the prints!</t>
        </r>
      </text>
    </comment>
    <comment ref="AY6" authorId="0" shapeId="0">
      <text>
        <r>
          <rPr>
            <b/>
            <sz val="9"/>
            <color indexed="81"/>
            <rFont val="Tahoma"/>
            <family val="2"/>
          </rPr>
          <t>Select "Y" if the field end of the cable will be field spliced to another cable.
Reminder: Don't forget to add the (R) to the prints!</t>
        </r>
      </text>
    </comment>
    <comment ref="BD6" authorId="0" shapeId="0">
      <text>
        <r>
          <rPr>
            <b/>
            <sz val="9"/>
            <color indexed="81"/>
            <rFont val="Tahoma"/>
            <family val="2"/>
          </rPr>
          <t>Select "Y" if the field end of the cable will be field spliced to another cable.
Reminder: Don't forget to add the (R) to the prints!</t>
        </r>
      </text>
    </comment>
    <comment ref="BI6" authorId="0" shapeId="0">
      <text>
        <r>
          <rPr>
            <b/>
            <sz val="9"/>
            <color indexed="81"/>
            <rFont val="Tahoma"/>
            <family val="2"/>
          </rPr>
          <t>Select "Y" if the field end of the cable will be field spliced to another cable.
Reminder: Don't forget to add the (R) to the prints!</t>
        </r>
      </text>
    </comment>
    <comment ref="BN6" authorId="0" shapeId="0">
      <text>
        <r>
          <rPr>
            <b/>
            <sz val="9"/>
            <color indexed="81"/>
            <rFont val="Tahoma"/>
            <family val="2"/>
          </rPr>
          <t>Select "Y" if the field end of the cable will be field spliced to another cable.
Reminder: Don't forget to add the (R) to the prints!</t>
        </r>
      </text>
    </comment>
    <comment ref="BS6" authorId="0" shapeId="0">
      <text>
        <r>
          <rPr>
            <b/>
            <sz val="9"/>
            <color indexed="81"/>
            <rFont val="Tahoma"/>
            <family val="2"/>
          </rPr>
          <t>Select "Y" if the field end of the cable will be field spliced to another cable.
Reminder: Don't forget to add the (R) to the prints!</t>
        </r>
      </text>
    </comment>
    <comment ref="BX6" authorId="0" shapeId="0">
      <text>
        <r>
          <rPr>
            <b/>
            <sz val="9"/>
            <color indexed="81"/>
            <rFont val="Tahoma"/>
            <family val="2"/>
          </rPr>
          <t>Select "Y" if the field end of the cable will be field spliced to another cable.
Reminder: Don't forget to add the (R) to the prints!</t>
        </r>
      </text>
    </comment>
    <comment ref="CC6" authorId="0" shapeId="0">
      <text>
        <r>
          <rPr>
            <b/>
            <sz val="9"/>
            <color indexed="81"/>
            <rFont val="Tahoma"/>
            <family val="2"/>
          </rPr>
          <t>Select "Y" if the field end of the cable will be field spliced to another cable.
Reminder: Don't forget to add the (R) to the prints!</t>
        </r>
      </text>
    </comment>
    <comment ref="CH6" authorId="0" shapeId="0">
      <text>
        <r>
          <rPr>
            <b/>
            <sz val="9"/>
            <color indexed="81"/>
            <rFont val="Tahoma"/>
            <family val="2"/>
          </rPr>
          <t>Select "Y" if the field end of the cable will be field spliced to another cable.
Reminder: Don't forget to add the (R) to the prints!</t>
        </r>
      </text>
    </comment>
    <comment ref="CM6" authorId="0" shapeId="0">
      <text>
        <r>
          <rPr>
            <b/>
            <sz val="9"/>
            <color indexed="81"/>
            <rFont val="Tahoma"/>
            <family val="2"/>
          </rPr>
          <t>Select "Y" if the field end of the cable will be field spliced to another cable.
Reminder: Don't forget to add the (R) to the prints!</t>
        </r>
      </text>
    </comment>
    <comment ref="CR6" authorId="0" shapeId="0">
      <text>
        <r>
          <rPr>
            <b/>
            <sz val="9"/>
            <color indexed="81"/>
            <rFont val="Tahoma"/>
            <family val="2"/>
          </rPr>
          <t>Select "Y" if the field end of the cable will be field spliced to another cable.
Reminder: Don't forget to add the (R) to the prints!</t>
        </r>
      </text>
    </comment>
    <comment ref="CW6" authorId="0" shapeId="0">
      <text>
        <r>
          <rPr>
            <b/>
            <sz val="9"/>
            <color indexed="81"/>
            <rFont val="Tahoma"/>
            <family val="2"/>
          </rPr>
          <t>Select "Y" if the field end of the cable will be field spliced to another cable.
Reminder: Don't forget to add the (R) to the prints!</t>
        </r>
      </text>
    </comment>
    <comment ref="DB6" authorId="0" shapeId="0">
      <text>
        <r>
          <rPr>
            <b/>
            <sz val="9"/>
            <color indexed="81"/>
            <rFont val="Tahoma"/>
            <family val="2"/>
          </rPr>
          <t>Select "Y" if the field end of the cable will be field spliced to another cable.
Reminder: Don't forget to add the (R) to the prints!</t>
        </r>
      </text>
    </comment>
    <comment ref="DG6" authorId="0" shapeId="0">
      <text>
        <r>
          <rPr>
            <b/>
            <sz val="9"/>
            <color indexed="81"/>
            <rFont val="Tahoma"/>
            <family val="2"/>
          </rPr>
          <t>Select "Y" if the field end of the cable will be field spliced to another cable.
Reminder: Don't forget to add the (R) to the prints!</t>
        </r>
      </text>
    </comment>
    <comment ref="DL6" authorId="0" shapeId="0">
      <text>
        <r>
          <rPr>
            <b/>
            <sz val="9"/>
            <color indexed="81"/>
            <rFont val="Tahoma"/>
            <family val="2"/>
          </rPr>
          <t>Select "Y" if the field end of the cable will be field spliced to another cable.
Reminder: Don't forget to add the (R) to the prints!</t>
        </r>
      </text>
    </comment>
    <comment ref="DQ6" authorId="0" shapeId="0">
      <text>
        <r>
          <rPr>
            <b/>
            <sz val="9"/>
            <color indexed="81"/>
            <rFont val="Tahoma"/>
            <family val="2"/>
          </rPr>
          <t>Select "Y" if the field end of the cable will be field spliced to another cable.
Reminder: Don't forget to add the (R) to the prints!</t>
        </r>
      </text>
    </comment>
    <comment ref="DV6" authorId="0" shapeId="0">
      <text>
        <r>
          <rPr>
            <b/>
            <sz val="9"/>
            <color indexed="81"/>
            <rFont val="Tahoma"/>
            <family val="2"/>
          </rPr>
          <t>Select "Y" if the field end of the cable will be field spliced to another cable.
Reminder: Don't forget to add the (R) to the prints!</t>
        </r>
      </text>
    </comment>
    <comment ref="EA6" authorId="0" shapeId="0">
      <text>
        <r>
          <rPr>
            <b/>
            <sz val="9"/>
            <color indexed="81"/>
            <rFont val="Tahoma"/>
            <family val="2"/>
          </rPr>
          <t>Select "Y" if the field end of the cable will be field spliced to another cable.
Reminder: Don't forget to add the (R) to the prints!</t>
        </r>
      </text>
    </comment>
    <comment ref="EF6" authorId="0" shapeId="0">
      <text>
        <r>
          <rPr>
            <b/>
            <sz val="9"/>
            <color indexed="81"/>
            <rFont val="Tahoma"/>
            <family val="2"/>
          </rPr>
          <t>Select "Y" if the field end of the cable will be field spliced to another cable.
Reminder: Don't forget to add the (R) to the prints!</t>
        </r>
      </text>
    </comment>
    <comment ref="EK6" authorId="0" shapeId="0">
      <text>
        <r>
          <rPr>
            <b/>
            <sz val="9"/>
            <color indexed="81"/>
            <rFont val="Tahoma"/>
            <family val="2"/>
          </rPr>
          <t>Select "Y" if the field end of the cable will be field spliced to another cable.
Reminder: Don't forget to add the (R) to the prints!</t>
        </r>
      </text>
    </comment>
    <comment ref="EP6" authorId="0" shapeId="0">
      <text>
        <r>
          <rPr>
            <b/>
            <sz val="9"/>
            <color indexed="81"/>
            <rFont val="Tahoma"/>
            <family val="2"/>
          </rPr>
          <t>Select "Y" if the field end of the cable will be field spliced to another cable.
Reminder: Don't forget to add the (R) to the prints!</t>
        </r>
      </text>
    </comment>
    <comment ref="EU6" authorId="0" shapeId="0">
      <text>
        <r>
          <rPr>
            <b/>
            <sz val="9"/>
            <color indexed="81"/>
            <rFont val="Tahoma"/>
            <family val="2"/>
          </rPr>
          <t>Select "Y" if the field end of the cable will be field spliced to another cable.
Reminder: Don't forget to add the (R) to the prints!</t>
        </r>
      </text>
    </comment>
    <comment ref="EZ6" authorId="0" shapeId="0">
      <text>
        <r>
          <rPr>
            <b/>
            <sz val="9"/>
            <color indexed="81"/>
            <rFont val="Tahoma"/>
            <family val="2"/>
          </rPr>
          <t>Select "Y" if the field end of the cable will be field spliced to another cable.
Reminder: Don't forget to add the (R) to the prints!</t>
        </r>
      </text>
    </comment>
    <comment ref="FE6" authorId="0" shapeId="0">
      <text>
        <r>
          <rPr>
            <b/>
            <sz val="9"/>
            <color indexed="81"/>
            <rFont val="Tahoma"/>
            <family val="2"/>
          </rPr>
          <t>Select "Y" if the field end of the cable will be field spliced to another cable.
Reminder: Don't forget to add the (R) to the prints!</t>
        </r>
      </text>
    </comment>
    <comment ref="FJ6" authorId="0" shapeId="0">
      <text>
        <r>
          <rPr>
            <b/>
            <sz val="9"/>
            <color indexed="81"/>
            <rFont val="Tahoma"/>
            <family val="2"/>
          </rPr>
          <t>Select "Y" if the field end of the cable will be field spliced to another cable.
Reminder: Don't forget to add the (R) to the prints!</t>
        </r>
      </text>
    </comment>
    <comment ref="FO6" authorId="0" shapeId="0">
      <text>
        <r>
          <rPr>
            <b/>
            <sz val="9"/>
            <color indexed="81"/>
            <rFont val="Tahoma"/>
            <family val="2"/>
          </rPr>
          <t>Select "Y" if the field end of the cable will be field spliced to another cable.
Reminder: Don't forget to add the (R) to the prints!</t>
        </r>
      </text>
    </comment>
    <comment ref="FT6" authorId="0" shapeId="0">
      <text>
        <r>
          <rPr>
            <b/>
            <sz val="9"/>
            <color indexed="81"/>
            <rFont val="Tahoma"/>
            <family val="2"/>
          </rPr>
          <t>Select "Y" if the field end of the cable will be field spliced to another cable.
Reminder: Don't forget to add the (R) to the prints!</t>
        </r>
      </text>
    </comment>
    <comment ref="FY6" authorId="0" shapeId="0">
      <text>
        <r>
          <rPr>
            <b/>
            <sz val="9"/>
            <color indexed="81"/>
            <rFont val="Tahoma"/>
            <family val="2"/>
          </rPr>
          <t>Select "Y" if the field end of the cable will be field spliced to another cable.
Reminder: Don't forget to add the (R) to the prints!</t>
        </r>
      </text>
    </comment>
    <comment ref="GD6" authorId="0" shapeId="0">
      <text>
        <r>
          <rPr>
            <b/>
            <sz val="9"/>
            <color indexed="81"/>
            <rFont val="Tahoma"/>
            <family val="2"/>
          </rPr>
          <t>Select "Y" if the field end of the cable will be field spliced to another cable.
Reminder: Don't forget to add the (R) to the prints!</t>
        </r>
      </text>
    </comment>
    <comment ref="GI6" authorId="0" shapeId="0">
      <text>
        <r>
          <rPr>
            <b/>
            <sz val="9"/>
            <color indexed="81"/>
            <rFont val="Tahoma"/>
            <family val="2"/>
          </rPr>
          <t>Select "Y" if the field end of the cable will be field spliced to another cable.
Reminder: Don't forget to add the (R) to the prints!</t>
        </r>
      </text>
    </comment>
    <comment ref="GN6" authorId="0" shapeId="0">
      <text>
        <r>
          <rPr>
            <b/>
            <sz val="9"/>
            <color indexed="81"/>
            <rFont val="Tahoma"/>
            <family val="2"/>
          </rPr>
          <t>Select "Y" if the field end of the cable will be field spliced to another cable.
Reminder: Don't forget to add the (R) to the prints!</t>
        </r>
      </text>
    </comment>
    <comment ref="GS6" authorId="0" shapeId="0">
      <text>
        <r>
          <rPr>
            <b/>
            <sz val="9"/>
            <color indexed="81"/>
            <rFont val="Tahoma"/>
            <family val="2"/>
          </rPr>
          <t>Select "Y" if the field end of the cable will be field spliced to another cable.
Reminder: Don't forget to add the (R) to the prints!</t>
        </r>
      </text>
    </comment>
    <comment ref="GX6" authorId="0" shapeId="0">
      <text>
        <r>
          <rPr>
            <b/>
            <sz val="9"/>
            <color indexed="81"/>
            <rFont val="Tahoma"/>
            <family val="2"/>
          </rPr>
          <t>Select "Y" if the field end of the cable will be field spliced to another cable.
Reminder: Don't forget to add the (R) to the prints!</t>
        </r>
      </text>
    </comment>
    <comment ref="HC6" authorId="0" shapeId="0">
      <text>
        <r>
          <rPr>
            <b/>
            <sz val="9"/>
            <color indexed="81"/>
            <rFont val="Tahoma"/>
            <family val="2"/>
          </rPr>
          <t>Select "Y" if the field end of the cable will be field spliced to another cable.
Reminder: Don't forget to add the (R) to the prints!</t>
        </r>
      </text>
    </comment>
    <comment ref="HH6" authorId="0" shapeId="0">
      <text>
        <r>
          <rPr>
            <b/>
            <sz val="9"/>
            <color indexed="81"/>
            <rFont val="Tahoma"/>
            <family val="2"/>
          </rPr>
          <t>Select "Y" if the field end of the cable will be field spliced to another cable.
Reminder: Don't forget to add the (R) to the prints!</t>
        </r>
      </text>
    </comment>
    <comment ref="HM6" authorId="0" shapeId="0">
      <text>
        <r>
          <rPr>
            <b/>
            <sz val="9"/>
            <color indexed="81"/>
            <rFont val="Tahoma"/>
            <family val="2"/>
          </rPr>
          <t>Select "Y" if the field end of the cable will be field spliced to another cable.
Reminder: Don't forget to add the (R) to the prints!</t>
        </r>
      </text>
    </comment>
    <comment ref="HR6" authorId="0" shapeId="0">
      <text>
        <r>
          <rPr>
            <b/>
            <sz val="9"/>
            <color indexed="81"/>
            <rFont val="Tahoma"/>
            <family val="2"/>
          </rPr>
          <t>Select "Y" if the field end of the cable will be field spliced to another cable.
Reminder: Don't forget to add the (R) to the prints!</t>
        </r>
      </text>
    </comment>
    <comment ref="HW6" authorId="0" shapeId="0">
      <text>
        <r>
          <rPr>
            <b/>
            <sz val="9"/>
            <color indexed="81"/>
            <rFont val="Tahoma"/>
            <family val="2"/>
          </rPr>
          <t>Select "Y" if the field end of the cable will be field spliced to another cable.
Reminder: Don't forget to add the (R) to the prints!</t>
        </r>
      </text>
    </comment>
    <comment ref="IB6" authorId="0" shapeId="0">
      <text>
        <r>
          <rPr>
            <b/>
            <sz val="9"/>
            <color indexed="81"/>
            <rFont val="Tahoma"/>
            <family val="2"/>
          </rPr>
          <t>Select "Y" if the field end of the cable will be field spliced to another cable.
Reminder: Don't forget to add the (R) to the prints!</t>
        </r>
      </text>
    </comment>
    <comment ref="IG6" authorId="0" shapeId="0">
      <text>
        <r>
          <rPr>
            <b/>
            <sz val="9"/>
            <color indexed="81"/>
            <rFont val="Tahoma"/>
            <family val="2"/>
          </rPr>
          <t>Select "Y" if the field end of the cable will be field spliced to another cable.
Reminder: Don't forget to add the (R) to the prints!</t>
        </r>
      </text>
    </comment>
    <comment ref="IL6" authorId="0" shapeId="0">
      <text>
        <r>
          <rPr>
            <b/>
            <sz val="9"/>
            <color indexed="81"/>
            <rFont val="Tahoma"/>
            <family val="2"/>
          </rPr>
          <t>Select "Y" if the field end of the cable will be field spliced to another cable.
Reminder: Don't forget to add the (R) to the prints!</t>
        </r>
      </text>
    </comment>
    <comment ref="A7" authorId="0" shapeId="0">
      <text>
        <r>
          <rPr>
            <b/>
            <sz val="9"/>
            <color indexed="81"/>
            <rFont val="Tahoma"/>
            <family val="2"/>
          </rPr>
          <t>Select the TYPE of cable, regardless of placing WE.</t>
        </r>
      </text>
    </comment>
    <comment ref="F7" authorId="0" shapeId="0">
      <text>
        <r>
          <rPr>
            <b/>
            <sz val="9"/>
            <color indexed="81"/>
            <rFont val="Tahoma"/>
            <family val="2"/>
          </rPr>
          <t>Select the TYPE of cable, regardless of placing WE.</t>
        </r>
      </text>
    </comment>
    <comment ref="K7" authorId="0" shapeId="0">
      <text>
        <r>
          <rPr>
            <b/>
            <sz val="9"/>
            <color indexed="81"/>
            <rFont val="Tahoma"/>
            <family val="2"/>
          </rPr>
          <t>Select the TYPE of cable, regardless of placing WE.</t>
        </r>
      </text>
    </comment>
    <comment ref="P7" authorId="0" shapeId="0">
      <text>
        <r>
          <rPr>
            <b/>
            <sz val="9"/>
            <color indexed="81"/>
            <rFont val="Tahoma"/>
            <family val="2"/>
          </rPr>
          <t>Select the TYPE of cable, regardless of placing WE.</t>
        </r>
      </text>
    </comment>
    <comment ref="U7" authorId="0" shapeId="0">
      <text>
        <r>
          <rPr>
            <b/>
            <sz val="9"/>
            <color indexed="81"/>
            <rFont val="Tahoma"/>
            <family val="2"/>
          </rPr>
          <t>Select the TYPE of cable, regardless of placing WE.</t>
        </r>
      </text>
    </comment>
    <comment ref="Z7" authorId="0" shapeId="0">
      <text>
        <r>
          <rPr>
            <b/>
            <sz val="9"/>
            <color indexed="81"/>
            <rFont val="Tahoma"/>
            <family val="2"/>
          </rPr>
          <t>Select the TYPE of cable, regardless of placing WE.</t>
        </r>
      </text>
    </comment>
    <comment ref="AE7" authorId="0" shapeId="0">
      <text>
        <r>
          <rPr>
            <b/>
            <sz val="9"/>
            <color indexed="81"/>
            <rFont val="Tahoma"/>
            <family val="2"/>
          </rPr>
          <t>Select the TYPE of cable, regardless of placing WE.</t>
        </r>
      </text>
    </comment>
    <comment ref="AJ7" authorId="0" shapeId="0">
      <text>
        <r>
          <rPr>
            <b/>
            <sz val="9"/>
            <color indexed="81"/>
            <rFont val="Tahoma"/>
            <family val="2"/>
          </rPr>
          <t>Select the TYPE of cable, regardless of placing WE.</t>
        </r>
      </text>
    </comment>
    <comment ref="AO7" authorId="0" shapeId="0">
      <text>
        <r>
          <rPr>
            <b/>
            <sz val="9"/>
            <color indexed="81"/>
            <rFont val="Tahoma"/>
            <family val="2"/>
          </rPr>
          <t>Select the TYPE of cable, regardless of placing WE.</t>
        </r>
      </text>
    </comment>
    <comment ref="AT7" authorId="0" shapeId="0">
      <text>
        <r>
          <rPr>
            <b/>
            <sz val="9"/>
            <color indexed="81"/>
            <rFont val="Tahoma"/>
            <family val="2"/>
          </rPr>
          <t>Select the TYPE of cable, regardless of placing WE.</t>
        </r>
      </text>
    </comment>
    <comment ref="AY7" authorId="0" shapeId="0">
      <text>
        <r>
          <rPr>
            <b/>
            <sz val="9"/>
            <color indexed="81"/>
            <rFont val="Tahoma"/>
            <family val="2"/>
          </rPr>
          <t>Select the TYPE of cable, regardless of placing WE.</t>
        </r>
      </text>
    </comment>
    <comment ref="BD7" authorId="0" shapeId="0">
      <text>
        <r>
          <rPr>
            <b/>
            <sz val="9"/>
            <color indexed="81"/>
            <rFont val="Tahoma"/>
            <family val="2"/>
          </rPr>
          <t>Select the TYPE of cable, regardless of placing WE.</t>
        </r>
      </text>
    </comment>
    <comment ref="BI7" authorId="0" shapeId="0">
      <text>
        <r>
          <rPr>
            <b/>
            <sz val="9"/>
            <color indexed="81"/>
            <rFont val="Tahoma"/>
            <family val="2"/>
          </rPr>
          <t>Select the TYPE of cable, regardless of placing WE.</t>
        </r>
      </text>
    </comment>
    <comment ref="BN7" authorId="0" shapeId="0">
      <text>
        <r>
          <rPr>
            <b/>
            <sz val="9"/>
            <color indexed="81"/>
            <rFont val="Tahoma"/>
            <family val="2"/>
          </rPr>
          <t>Select the TYPE of cable, regardless of placing WE.</t>
        </r>
      </text>
    </comment>
    <comment ref="BS7" authorId="0" shapeId="0">
      <text>
        <r>
          <rPr>
            <b/>
            <sz val="9"/>
            <color indexed="81"/>
            <rFont val="Tahoma"/>
            <family val="2"/>
          </rPr>
          <t>Select the TYPE of cable, regardless of placing WE.</t>
        </r>
      </text>
    </comment>
    <comment ref="BX7" authorId="0" shapeId="0">
      <text>
        <r>
          <rPr>
            <b/>
            <sz val="9"/>
            <color indexed="81"/>
            <rFont val="Tahoma"/>
            <family val="2"/>
          </rPr>
          <t>Select the TYPE of cable, regardless of placing WE.</t>
        </r>
      </text>
    </comment>
    <comment ref="CC7" authorId="0" shapeId="0">
      <text>
        <r>
          <rPr>
            <b/>
            <sz val="9"/>
            <color indexed="81"/>
            <rFont val="Tahoma"/>
            <family val="2"/>
          </rPr>
          <t>Select the TYPE of cable, regardless of placing WE.</t>
        </r>
      </text>
    </comment>
    <comment ref="CH7" authorId="0" shapeId="0">
      <text>
        <r>
          <rPr>
            <b/>
            <sz val="9"/>
            <color indexed="81"/>
            <rFont val="Tahoma"/>
            <family val="2"/>
          </rPr>
          <t>Select the TYPE of cable, regardless of placing WE.</t>
        </r>
      </text>
    </comment>
    <comment ref="CM7" authorId="0" shapeId="0">
      <text>
        <r>
          <rPr>
            <b/>
            <sz val="9"/>
            <color indexed="81"/>
            <rFont val="Tahoma"/>
            <family val="2"/>
          </rPr>
          <t>Select the TYPE of cable, regardless of placing WE.</t>
        </r>
      </text>
    </comment>
    <comment ref="CR7" authorId="0" shapeId="0">
      <text>
        <r>
          <rPr>
            <b/>
            <sz val="9"/>
            <color indexed="81"/>
            <rFont val="Tahoma"/>
            <family val="2"/>
          </rPr>
          <t>Select the TYPE of cable, regardless of placing WE.</t>
        </r>
      </text>
    </comment>
    <comment ref="CW7" authorId="0" shapeId="0">
      <text>
        <r>
          <rPr>
            <b/>
            <sz val="9"/>
            <color indexed="81"/>
            <rFont val="Tahoma"/>
            <family val="2"/>
          </rPr>
          <t>Select the TYPE of cable, regardless of placing WE.</t>
        </r>
      </text>
    </comment>
    <comment ref="DB7" authorId="0" shapeId="0">
      <text>
        <r>
          <rPr>
            <b/>
            <sz val="9"/>
            <color indexed="81"/>
            <rFont val="Tahoma"/>
            <family val="2"/>
          </rPr>
          <t>Select the TYPE of cable, regardless of placing WE.</t>
        </r>
      </text>
    </comment>
    <comment ref="DG7" authorId="0" shapeId="0">
      <text>
        <r>
          <rPr>
            <b/>
            <sz val="9"/>
            <color indexed="81"/>
            <rFont val="Tahoma"/>
            <family val="2"/>
          </rPr>
          <t>Select the TYPE of cable, regardless of placing WE.</t>
        </r>
      </text>
    </comment>
    <comment ref="DL7" authorId="0" shapeId="0">
      <text>
        <r>
          <rPr>
            <b/>
            <sz val="9"/>
            <color indexed="81"/>
            <rFont val="Tahoma"/>
            <family val="2"/>
          </rPr>
          <t>Select the TYPE of cable, regardless of placing WE.</t>
        </r>
      </text>
    </comment>
    <comment ref="DQ7" authorId="0" shapeId="0">
      <text>
        <r>
          <rPr>
            <b/>
            <sz val="9"/>
            <color indexed="81"/>
            <rFont val="Tahoma"/>
            <family val="2"/>
          </rPr>
          <t>Select the TYPE of cable, regardless of placing WE.</t>
        </r>
      </text>
    </comment>
    <comment ref="DV7" authorId="0" shapeId="0">
      <text>
        <r>
          <rPr>
            <b/>
            <sz val="9"/>
            <color indexed="81"/>
            <rFont val="Tahoma"/>
            <family val="2"/>
          </rPr>
          <t>Select the TYPE of cable, regardless of placing WE.</t>
        </r>
      </text>
    </comment>
    <comment ref="EA7" authorId="0" shapeId="0">
      <text>
        <r>
          <rPr>
            <b/>
            <sz val="9"/>
            <color indexed="81"/>
            <rFont val="Tahoma"/>
            <family val="2"/>
          </rPr>
          <t>Select the TYPE of cable, regardless of placing WE.</t>
        </r>
      </text>
    </comment>
    <comment ref="EF7" authorId="0" shapeId="0">
      <text>
        <r>
          <rPr>
            <b/>
            <sz val="9"/>
            <color indexed="81"/>
            <rFont val="Tahoma"/>
            <family val="2"/>
          </rPr>
          <t>Select the TYPE of cable, regardless of placing WE.</t>
        </r>
      </text>
    </comment>
    <comment ref="EK7" authorId="0" shapeId="0">
      <text>
        <r>
          <rPr>
            <b/>
            <sz val="9"/>
            <color indexed="81"/>
            <rFont val="Tahoma"/>
            <family val="2"/>
          </rPr>
          <t>Select the TYPE of cable, regardless of placing WE.</t>
        </r>
      </text>
    </comment>
    <comment ref="EP7" authorId="0" shapeId="0">
      <text>
        <r>
          <rPr>
            <b/>
            <sz val="9"/>
            <color indexed="81"/>
            <rFont val="Tahoma"/>
            <family val="2"/>
          </rPr>
          <t>Select the TYPE of cable, regardless of placing WE.</t>
        </r>
      </text>
    </comment>
    <comment ref="EU7" authorId="0" shapeId="0">
      <text>
        <r>
          <rPr>
            <b/>
            <sz val="9"/>
            <color indexed="81"/>
            <rFont val="Tahoma"/>
            <family val="2"/>
          </rPr>
          <t>Select the TYPE of cable, regardless of placing WE.</t>
        </r>
      </text>
    </comment>
    <comment ref="EZ7" authorId="0" shapeId="0">
      <text>
        <r>
          <rPr>
            <b/>
            <sz val="9"/>
            <color indexed="81"/>
            <rFont val="Tahoma"/>
            <family val="2"/>
          </rPr>
          <t>Select the TYPE of cable, regardless of placing WE.</t>
        </r>
      </text>
    </comment>
    <comment ref="FE7" authorId="0" shapeId="0">
      <text>
        <r>
          <rPr>
            <b/>
            <sz val="9"/>
            <color indexed="81"/>
            <rFont val="Tahoma"/>
            <family val="2"/>
          </rPr>
          <t>Select the TYPE of cable, regardless of placing WE.</t>
        </r>
      </text>
    </comment>
    <comment ref="FJ7" authorId="0" shapeId="0">
      <text>
        <r>
          <rPr>
            <b/>
            <sz val="9"/>
            <color indexed="81"/>
            <rFont val="Tahoma"/>
            <family val="2"/>
          </rPr>
          <t>Select the TYPE of cable, regardless of placing WE.</t>
        </r>
      </text>
    </comment>
    <comment ref="FO7" authorId="0" shapeId="0">
      <text>
        <r>
          <rPr>
            <b/>
            <sz val="9"/>
            <color indexed="81"/>
            <rFont val="Tahoma"/>
            <family val="2"/>
          </rPr>
          <t>Select the TYPE of cable, regardless of placing WE.</t>
        </r>
      </text>
    </comment>
    <comment ref="FT7" authorId="0" shapeId="0">
      <text>
        <r>
          <rPr>
            <b/>
            <sz val="9"/>
            <color indexed="81"/>
            <rFont val="Tahoma"/>
            <family val="2"/>
          </rPr>
          <t>Select the TYPE of cable, regardless of placing WE.</t>
        </r>
      </text>
    </comment>
    <comment ref="FY7" authorId="0" shapeId="0">
      <text>
        <r>
          <rPr>
            <b/>
            <sz val="9"/>
            <color indexed="81"/>
            <rFont val="Tahoma"/>
            <family val="2"/>
          </rPr>
          <t>Select the TYPE of cable, regardless of placing WE.</t>
        </r>
      </text>
    </comment>
    <comment ref="GD7" authorId="0" shapeId="0">
      <text>
        <r>
          <rPr>
            <b/>
            <sz val="9"/>
            <color indexed="81"/>
            <rFont val="Tahoma"/>
            <family val="2"/>
          </rPr>
          <t>Select the TYPE of cable, regardless of placing WE.</t>
        </r>
      </text>
    </comment>
    <comment ref="GI7" authorId="0" shapeId="0">
      <text>
        <r>
          <rPr>
            <b/>
            <sz val="9"/>
            <color indexed="81"/>
            <rFont val="Tahoma"/>
            <family val="2"/>
          </rPr>
          <t>Select the TYPE of cable, regardless of placing WE.</t>
        </r>
      </text>
    </comment>
    <comment ref="GN7" authorId="0" shapeId="0">
      <text>
        <r>
          <rPr>
            <b/>
            <sz val="9"/>
            <color indexed="81"/>
            <rFont val="Tahoma"/>
            <family val="2"/>
          </rPr>
          <t>Select the TYPE of cable, regardless of placing WE.</t>
        </r>
      </text>
    </comment>
    <comment ref="GS7" authorId="0" shapeId="0">
      <text>
        <r>
          <rPr>
            <b/>
            <sz val="9"/>
            <color indexed="81"/>
            <rFont val="Tahoma"/>
            <family val="2"/>
          </rPr>
          <t>Select the TYPE of cable, regardless of placing WE.</t>
        </r>
      </text>
    </comment>
    <comment ref="GX7" authorId="0" shapeId="0">
      <text>
        <r>
          <rPr>
            <b/>
            <sz val="9"/>
            <color indexed="81"/>
            <rFont val="Tahoma"/>
            <family val="2"/>
          </rPr>
          <t>Select the TYPE of cable, regardless of placing WE.</t>
        </r>
      </text>
    </comment>
    <comment ref="HC7" authorId="0" shapeId="0">
      <text>
        <r>
          <rPr>
            <b/>
            <sz val="9"/>
            <color indexed="81"/>
            <rFont val="Tahoma"/>
            <family val="2"/>
          </rPr>
          <t>Select the TYPE of cable, regardless of placing WE.</t>
        </r>
      </text>
    </comment>
    <comment ref="HH7" authorId="0" shapeId="0">
      <text>
        <r>
          <rPr>
            <b/>
            <sz val="9"/>
            <color indexed="81"/>
            <rFont val="Tahoma"/>
            <family val="2"/>
          </rPr>
          <t>Select the TYPE of cable, regardless of placing WE.</t>
        </r>
      </text>
    </comment>
    <comment ref="HM7" authorId="0" shapeId="0">
      <text>
        <r>
          <rPr>
            <b/>
            <sz val="9"/>
            <color indexed="81"/>
            <rFont val="Tahoma"/>
            <family val="2"/>
          </rPr>
          <t>Select the TYPE of cable, regardless of placing WE.</t>
        </r>
      </text>
    </comment>
    <comment ref="HR7" authorId="0" shapeId="0">
      <text>
        <r>
          <rPr>
            <b/>
            <sz val="9"/>
            <color indexed="81"/>
            <rFont val="Tahoma"/>
            <family val="2"/>
          </rPr>
          <t>Select the TYPE of cable, regardless of placing WE.</t>
        </r>
      </text>
    </comment>
    <comment ref="HW7" authorId="0" shapeId="0">
      <text>
        <r>
          <rPr>
            <b/>
            <sz val="9"/>
            <color indexed="81"/>
            <rFont val="Tahoma"/>
            <family val="2"/>
          </rPr>
          <t>Select the TYPE of cable, regardless of placing WE.</t>
        </r>
      </text>
    </comment>
    <comment ref="IB7" authorId="0" shapeId="0">
      <text>
        <r>
          <rPr>
            <b/>
            <sz val="9"/>
            <color indexed="81"/>
            <rFont val="Tahoma"/>
            <family val="2"/>
          </rPr>
          <t>Select the TYPE of cable, regardless of placing WE.</t>
        </r>
      </text>
    </comment>
    <comment ref="IG7" authorId="0" shapeId="0">
      <text>
        <r>
          <rPr>
            <b/>
            <sz val="9"/>
            <color indexed="81"/>
            <rFont val="Tahoma"/>
            <family val="2"/>
          </rPr>
          <t>Select the TYPE of cable, regardless of placing WE.</t>
        </r>
      </text>
    </comment>
    <comment ref="IL7" authorId="0" shapeId="0">
      <text>
        <r>
          <rPr>
            <b/>
            <sz val="9"/>
            <color indexed="81"/>
            <rFont val="Tahoma"/>
            <family val="2"/>
          </rPr>
          <t>Select the TYPE of cable, regardless of placing WE.</t>
        </r>
      </text>
    </comment>
    <comment ref="A8" authorId="0" shapeId="0">
      <text>
        <r>
          <rPr>
            <b/>
            <sz val="9"/>
            <color indexed="81"/>
            <rFont val="Tahoma"/>
            <family val="2"/>
          </rPr>
          <t>Only use PAM to PAM to ensure Point to Point measurements are correct for Corning. Think linear measurements.</t>
        </r>
      </text>
    </comment>
    <comment ref="B8" authorId="0" shapeId="0">
      <text>
        <r>
          <rPr>
            <b/>
            <sz val="9"/>
            <color indexed="81"/>
            <rFont val="Tahoma"/>
            <family val="2"/>
          </rPr>
          <t>Dip up/down pole must be shown as a loop for this calculator to accurately capture  measurements</t>
        </r>
      </text>
    </comment>
    <comment ref="F8" authorId="0" shapeId="0">
      <text>
        <r>
          <rPr>
            <b/>
            <sz val="9"/>
            <color indexed="81"/>
            <rFont val="Tahoma"/>
            <family val="2"/>
          </rPr>
          <t>Only use PAM to PAM to ensure Point to Point measurements are correct for Corning. Think linear measurements.</t>
        </r>
      </text>
    </comment>
    <comment ref="G8" authorId="0" shapeId="0">
      <text>
        <r>
          <rPr>
            <b/>
            <sz val="9"/>
            <color indexed="81"/>
            <rFont val="Tahoma"/>
            <family val="2"/>
          </rPr>
          <t>Dip up/down pole must be shown as a loop for this calculator to accurately capture  measurements</t>
        </r>
      </text>
    </comment>
    <comment ref="K8" authorId="0" shapeId="0">
      <text>
        <r>
          <rPr>
            <b/>
            <sz val="9"/>
            <color indexed="81"/>
            <rFont val="Tahoma"/>
            <family val="2"/>
          </rPr>
          <t>Only use PAM to PAM to ensure Point to Point measurements are correct for Corning. Think linear measurements.</t>
        </r>
      </text>
    </comment>
    <comment ref="L8" authorId="0" shapeId="0">
      <text>
        <r>
          <rPr>
            <b/>
            <sz val="9"/>
            <color indexed="81"/>
            <rFont val="Tahoma"/>
            <family val="2"/>
          </rPr>
          <t>Dip up/down pole must be shown as a loop for this calculator to accurately capture  measurements</t>
        </r>
      </text>
    </comment>
    <comment ref="P8" authorId="0" shapeId="0">
      <text>
        <r>
          <rPr>
            <b/>
            <sz val="9"/>
            <color indexed="81"/>
            <rFont val="Tahoma"/>
            <family val="2"/>
          </rPr>
          <t>Only use PAM to PAM to ensure Point to Point measurements are correct for Corning. Think linear measurements.</t>
        </r>
      </text>
    </comment>
    <comment ref="Q8" authorId="0" shapeId="0">
      <text>
        <r>
          <rPr>
            <b/>
            <sz val="9"/>
            <color indexed="81"/>
            <rFont val="Tahoma"/>
            <family val="2"/>
          </rPr>
          <t>Dip up/down pole must be shown as a loop for this calculator to accurately capture  measurements</t>
        </r>
      </text>
    </comment>
    <comment ref="U8" authorId="0" shapeId="0">
      <text>
        <r>
          <rPr>
            <b/>
            <sz val="9"/>
            <color indexed="81"/>
            <rFont val="Tahoma"/>
            <family val="2"/>
          </rPr>
          <t>Only use PAM to PAM to ensure Point to Point measurements are correct for Corning. Think linear measurements.</t>
        </r>
      </text>
    </comment>
    <comment ref="V8" authorId="0" shapeId="0">
      <text>
        <r>
          <rPr>
            <b/>
            <sz val="9"/>
            <color indexed="81"/>
            <rFont val="Tahoma"/>
            <family val="2"/>
          </rPr>
          <t>Dip up/down pole must be shown as a loop for this calculator to accurately capture  measurements</t>
        </r>
      </text>
    </comment>
    <comment ref="Z8" authorId="0" shapeId="0">
      <text>
        <r>
          <rPr>
            <b/>
            <sz val="9"/>
            <color indexed="81"/>
            <rFont val="Tahoma"/>
            <family val="2"/>
          </rPr>
          <t>Only use PAM to PAM to ensure Point to Point measurements are correct for Corning. Think linear measurements.</t>
        </r>
      </text>
    </comment>
    <comment ref="AA8" authorId="0" shapeId="0">
      <text>
        <r>
          <rPr>
            <b/>
            <sz val="9"/>
            <color indexed="81"/>
            <rFont val="Tahoma"/>
            <family val="2"/>
          </rPr>
          <t>Dip up/down pole must be shown as a loop for this calculator to accurately capture  measurements</t>
        </r>
      </text>
    </comment>
    <comment ref="AE8" authorId="0" shapeId="0">
      <text>
        <r>
          <rPr>
            <b/>
            <sz val="9"/>
            <color indexed="81"/>
            <rFont val="Tahoma"/>
            <family val="2"/>
          </rPr>
          <t>Only use PAM to PAM to ensure Point to Point measurements are correct for Corning. Think linear measurements.</t>
        </r>
      </text>
    </comment>
    <comment ref="AF8" authorId="0" shapeId="0">
      <text>
        <r>
          <rPr>
            <b/>
            <sz val="9"/>
            <color indexed="81"/>
            <rFont val="Tahoma"/>
            <family val="2"/>
          </rPr>
          <t>Dip up/down pole must be shown as a loop for this calculator to accurately capture  measurements</t>
        </r>
      </text>
    </comment>
    <comment ref="AJ8" authorId="0" shapeId="0">
      <text>
        <r>
          <rPr>
            <b/>
            <sz val="9"/>
            <color indexed="81"/>
            <rFont val="Tahoma"/>
            <family val="2"/>
          </rPr>
          <t>Only use PAM to PAM to ensure Point to Point measurements are correct for Corning. Think linear measurements.</t>
        </r>
      </text>
    </comment>
    <comment ref="AK8" authorId="0" shapeId="0">
      <text>
        <r>
          <rPr>
            <b/>
            <sz val="9"/>
            <color indexed="81"/>
            <rFont val="Tahoma"/>
            <family val="2"/>
          </rPr>
          <t>Dip up/down pole must be shown as a loop for this calculator to accurately capture  measurements</t>
        </r>
      </text>
    </comment>
    <comment ref="AO8" authorId="0" shapeId="0">
      <text>
        <r>
          <rPr>
            <b/>
            <sz val="9"/>
            <color indexed="81"/>
            <rFont val="Tahoma"/>
            <family val="2"/>
          </rPr>
          <t>Only use PAM to PAM to ensure Point to Point measurements are correct for Corning. Think linear measurements.</t>
        </r>
      </text>
    </comment>
    <comment ref="AP8" authorId="0" shapeId="0">
      <text>
        <r>
          <rPr>
            <b/>
            <sz val="9"/>
            <color indexed="81"/>
            <rFont val="Tahoma"/>
            <family val="2"/>
          </rPr>
          <t>Dip up/down pole must be shown as a loop for this calculator to accurately capture  measurements</t>
        </r>
      </text>
    </comment>
    <comment ref="AT8" authorId="0" shapeId="0">
      <text>
        <r>
          <rPr>
            <b/>
            <sz val="9"/>
            <color indexed="81"/>
            <rFont val="Tahoma"/>
            <family val="2"/>
          </rPr>
          <t>Only use PAM to PAM to ensure Point to Point measurements are correct for Corning. Think linear measurements.</t>
        </r>
      </text>
    </comment>
    <comment ref="AU8" authorId="0" shapeId="0">
      <text>
        <r>
          <rPr>
            <b/>
            <sz val="9"/>
            <color indexed="81"/>
            <rFont val="Tahoma"/>
            <family val="2"/>
          </rPr>
          <t>Dip up/down pole must be shown as a loop for this calculator to accurately capture  measurements</t>
        </r>
      </text>
    </comment>
    <comment ref="AY8" authorId="0" shapeId="0">
      <text>
        <r>
          <rPr>
            <b/>
            <sz val="9"/>
            <color indexed="81"/>
            <rFont val="Tahoma"/>
            <family val="2"/>
          </rPr>
          <t>Only use PAM to PAM to ensure Point to Point measurements are correct for Corning. Think linear measurements.</t>
        </r>
      </text>
    </comment>
    <comment ref="AZ8" authorId="0" shapeId="0">
      <text>
        <r>
          <rPr>
            <b/>
            <sz val="9"/>
            <color indexed="81"/>
            <rFont val="Tahoma"/>
            <family val="2"/>
          </rPr>
          <t>Dip up/down pole must be shown as a loop for this calculator to accurately capture  measurements</t>
        </r>
      </text>
    </comment>
    <comment ref="BD8" authorId="0" shapeId="0">
      <text>
        <r>
          <rPr>
            <b/>
            <sz val="9"/>
            <color indexed="81"/>
            <rFont val="Tahoma"/>
            <family val="2"/>
          </rPr>
          <t>Only use PAM to PAM to ensure Point to Point measurements are correct for Corning. Think linear measurements.</t>
        </r>
      </text>
    </comment>
    <comment ref="BE8" authorId="0" shapeId="0">
      <text>
        <r>
          <rPr>
            <b/>
            <sz val="9"/>
            <color indexed="81"/>
            <rFont val="Tahoma"/>
            <family val="2"/>
          </rPr>
          <t>Dip up/down pole must be shown as a loop for this calculator to accurately capture  measurements</t>
        </r>
      </text>
    </comment>
    <comment ref="BI8" authorId="0" shapeId="0">
      <text>
        <r>
          <rPr>
            <b/>
            <sz val="9"/>
            <color indexed="81"/>
            <rFont val="Tahoma"/>
            <family val="2"/>
          </rPr>
          <t>Only use PAM to PAM to ensure Point to Point measurements are correct for Corning. Think linear measurements.</t>
        </r>
      </text>
    </comment>
    <comment ref="BJ8" authorId="0" shapeId="0">
      <text>
        <r>
          <rPr>
            <b/>
            <sz val="9"/>
            <color indexed="81"/>
            <rFont val="Tahoma"/>
            <family val="2"/>
          </rPr>
          <t>Dip up/down pole must be shown as a loop for this calculator to accurately capture  measurements</t>
        </r>
      </text>
    </comment>
    <comment ref="BN8" authorId="0" shapeId="0">
      <text>
        <r>
          <rPr>
            <b/>
            <sz val="9"/>
            <color indexed="81"/>
            <rFont val="Tahoma"/>
            <family val="2"/>
          </rPr>
          <t>Only use PAM to PAM to ensure Point to Point measurements are correct for Corning. Think linear measurements.</t>
        </r>
      </text>
    </comment>
    <comment ref="BO8" authorId="0" shapeId="0">
      <text>
        <r>
          <rPr>
            <b/>
            <sz val="9"/>
            <color indexed="81"/>
            <rFont val="Tahoma"/>
            <family val="2"/>
          </rPr>
          <t>Dip up/down pole must be shown as a loop for this calculator to accurately capture  measurements</t>
        </r>
      </text>
    </comment>
    <comment ref="BS8" authorId="0" shapeId="0">
      <text>
        <r>
          <rPr>
            <b/>
            <sz val="9"/>
            <color indexed="81"/>
            <rFont val="Tahoma"/>
            <family val="2"/>
          </rPr>
          <t>Only use PAM to PAM to ensure Point to Point measurements are correct for Corning. Think linear measurements.</t>
        </r>
      </text>
    </comment>
    <comment ref="BT8" authorId="0" shapeId="0">
      <text>
        <r>
          <rPr>
            <b/>
            <sz val="9"/>
            <color indexed="81"/>
            <rFont val="Tahoma"/>
            <family val="2"/>
          </rPr>
          <t>Dip up/down pole must be shown as a loop for this calculator to accurately capture  measurements</t>
        </r>
      </text>
    </comment>
    <comment ref="BX8" authorId="0" shapeId="0">
      <text>
        <r>
          <rPr>
            <b/>
            <sz val="9"/>
            <color indexed="81"/>
            <rFont val="Tahoma"/>
            <family val="2"/>
          </rPr>
          <t>Only use PAM to PAM to ensure Point to Point measurements are correct for Corning. Think linear measurements.</t>
        </r>
      </text>
    </comment>
    <comment ref="BY8" authorId="0" shapeId="0">
      <text>
        <r>
          <rPr>
            <b/>
            <sz val="9"/>
            <color indexed="81"/>
            <rFont val="Tahoma"/>
            <family val="2"/>
          </rPr>
          <t>Dip up/down pole must be shown as a loop for this calculator to accurately capture  measurements</t>
        </r>
      </text>
    </comment>
    <comment ref="CC8" authorId="0" shapeId="0">
      <text>
        <r>
          <rPr>
            <b/>
            <sz val="9"/>
            <color indexed="81"/>
            <rFont val="Tahoma"/>
            <family val="2"/>
          </rPr>
          <t>Only use PAM to PAM to ensure Point to Point measurements are correct for Corning. Think linear measurements.</t>
        </r>
      </text>
    </comment>
    <comment ref="CD8" authorId="0" shapeId="0">
      <text>
        <r>
          <rPr>
            <b/>
            <sz val="9"/>
            <color indexed="81"/>
            <rFont val="Tahoma"/>
            <family val="2"/>
          </rPr>
          <t>Dip up/down pole must be shown as a loop for this calculator to accurately capture  measurements</t>
        </r>
      </text>
    </comment>
    <comment ref="CH8" authorId="0" shapeId="0">
      <text>
        <r>
          <rPr>
            <b/>
            <sz val="9"/>
            <color indexed="81"/>
            <rFont val="Tahoma"/>
            <family val="2"/>
          </rPr>
          <t>Only use PAM to PAM to ensure Point to Point measurements are correct for Corning. Think linear measurements.</t>
        </r>
      </text>
    </comment>
    <comment ref="CI8" authorId="0" shapeId="0">
      <text>
        <r>
          <rPr>
            <b/>
            <sz val="9"/>
            <color indexed="81"/>
            <rFont val="Tahoma"/>
            <family val="2"/>
          </rPr>
          <t>Dip up/down pole must be shown as a loop for this calculator to accurately capture  measurements</t>
        </r>
      </text>
    </comment>
    <comment ref="CM8" authorId="0" shapeId="0">
      <text>
        <r>
          <rPr>
            <b/>
            <sz val="9"/>
            <color indexed="81"/>
            <rFont val="Tahoma"/>
            <family val="2"/>
          </rPr>
          <t>Only use PAM to PAM to ensure Point to Point measurements are correct for Corning. Think linear measurements.</t>
        </r>
      </text>
    </comment>
    <comment ref="CN8" authorId="0" shapeId="0">
      <text>
        <r>
          <rPr>
            <b/>
            <sz val="9"/>
            <color indexed="81"/>
            <rFont val="Tahoma"/>
            <family val="2"/>
          </rPr>
          <t>Dip up/down pole must be shown as a loop for this calculator to accurately capture  measurements</t>
        </r>
      </text>
    </comment>
    <comment ref="CR8" authorId="0" shapeId="0">
      <text>
        <r>
          <rPr>
            <b/>
            <sz val="9"/>
            <color indexed="81"/>
            <rFont val="Tahoma"/>
            <family val="2"/>
          </rPr>
          <t>Only use PAM to PAM to ensure Point to Point measurements are correct for Corning. Think linear measurements.</t>
        </r>
      </text>
    </comment>
    <comment ref="CS8" authorId="0" shapeId="0">
      <text>
        <r>
          <rPr>
            <b/>
            <sz val="9"/>
            <color indexed="81"/>
            <rFont val="Tahoma"/>
            <family val="2"/>
          </rPr>
          <t>Dip up/down pole must be shown as a loop for this calculator to accurately capture  measurements</t>
        </r>
      </text>
    </comment>
    <comment ref="CW8" authorId="0" shapeId="0">
      <text>
        <r>
          <rPr>
            <b/>
            <sz val="9"/>
            <color indexed="81"/>
            <rFont val="Tahoma"/>
            <family val="2"/>
          </rPr>
          <t>Only use PAM to PAM to ensure Point to Point measurements are correct for Corning. Think linear measurements.</t>
        </r>
      </text>
    </comment>
    <comment ref="CX8" authorId="0" shapeId="0">
      <text>
        <r>
          <rPr>
            <b/>
            <sz val="9"/>
            <color indexed="81"/>
            <rFont val="Tahoma"/>
            <family val="2"/>
          </rPr>
          <t>Dip up/down pole must be shown as a loop for this calculator to accurately capture  measurements</t>
        </r>
      </text>
    </comment>
    <comment ref="DB8" authorId="0" shapeId="0">
      <text>
        <r>
          <rPr>
            <b/>
            <sz val="9"/>
            <color indexed="81"/>
            <rFont val="Tahoma"/>
            <family val="2"/>
          </rPr>
          <t>Only use PAM to PAM to ensure Point to Point measurements are correct for Corning. Think linear measurements.</t>
        </r>
      </text>
    </comment>
    <comment ref="DC8" authorId="0" shapeId="0">
      <text>
        <r>
          <rPr>
            <b/>
            <sz val="9"/>
            <color indexed="81"/>
            <rFont val="Tahoma"/>
            <family val="2"/>
          </rPr>
          <t>Dip up/down pole must be shown as a loop for this calculator to accurately capture  measurements</t>
        </r>
      </text>
    </comment>
    <comment ref="DG8" authorId="0" shapeId="0">
      <text>
        <r>
          <rPr>
            <b/>
            <sz val="9"/>
            <color indexed="81"/>
            <rFont val="Tahoma"/>
            <family val="2"/>
          </rPr>
          <t>Only use PAM to PAM to ensure Point to Point measurements are correct for Corning. Think linear measurements.</t>
        </r>
      </text>
    </comment>
    <comment ref="DH8" authorId="0" shapeId="0">
      <text>
        <r>
          <rPr>
            <b/>
            <sz val="9"/>
            <color indexed="81"/>
            <rFont val="Tahoma"/>
            <family val="2"/>
          </rPr>
          <t>Dip up/down pole must be shown as a loop for this calculator to accurately capture  measurements</t>
        </r>
      </text>
    </comment>
    <comment ref="DL8" authorId="0" shapeId="0">
      <text>
        <r>
          <rPr>
            <b/>
            <sz val="9"/>
            <color indexed="81"/>
            <rFont val="Tahoma"/>
            <family val="2"/>
          </rPr>
          <t>Only use PAM to PAM to ensure Point to Point measurements are correct for Corning. Think linear measurements.</t>
        </r>
      </text>
    </comment>
    <comment ref="DM8" authorId="0" shapeId="0">
      <text>
        <r>
          <rPr>
            <b/>
            <sz val="9"/>
            <color indexed="81"/>
            <rFont val="Tahoma"/>
            <family val="2"/>
          </rPr>
          <t>Dip up/down pole must be shown as a loop for this calculator to accurately capture  measurements</t>
        </r>
      </text>
    </comment>
    <comment ref="DQ8" authorId="0" shapeId="0">
      <text>
        <r>
          <rPr>
            <b/>
            <sz val="9"/>
            <color indexed="81"/>
            <rFont val="Tahoma"/>
            <family val="2"/>
          </rPr>
          <t>Only use PAM to PAM to ensure Point to Point measurements are correct for Corning. Think linear measurements.</t>
        </r>
      </text>
    </comment>
    <comment ref="DR8" authorId="0" shapeId="0">
      <text>
        <r>
          <rPr>
            <b/>
            <sz val="9"/>
            <color indexed="81"/>
            <rFont val="Tahoma"/>
            <family val="2"/>
          </rPr>
          <t>Dip up/down pole must be shown as a loop for this calculator to accurately capture  measurements</t>
        </r>
      </text>
    </comment>
    <comment ref="DV8" authorId="0" shapeId="0">
      <text>
        <r>
          <rPr>
            <b/>
            <sz val="9"/>
            <color indexed="81"/>
            <rFont val="Tahoma"/>
            <family val="2"/>
          </rPr>
          <t>Only use PAM to PAM to ensure Point to Point measurements are correct for Corning. Think linear measurements.</t>
        </r>
      </text>
    </comment>
    <comment ref="DW8" authorId="0" shapeId="0">
      <text>
        <r>
          <rPr>
            <b/>
            <sz val="9"/>
            <color indexed="81"/>
            <rFont val="Tahoma"/>
            <family val="2"/>
          </rPr>
          <t>Dip up/down pole must be shown as a loop for this calculator to accurately capture  measurements</t>
        </r>
      </text>
    </comment>
    <comment ref="EA8" authorId="0" shapeId="0">
      <text>
        <r>
          <rPr>
            <b/>
            <sz val="9"/>
            <color indexed="81"/>
            <rFont val="Tahoma"/>
            <family val="2"/>
          </rPr>
          <t>Only use PAM to PAM to ensure Point to Point measurements are correct for Corning. Think linear measurements.</t>
        </r>
      </text>
    </comment>
    <comment ref="EB8" authorId="0" shapeId="0">
      <text>
        <r>
          <rPr>
            <b/>
            <sz val="9"/>
            <color indexed="81"/>
            <rFont val="Tahoma"/>
            <family val="2"/>
          </rPr>
          <t>Dip up/down pole must be shown as a loop for this calculator to accurately capture  measurements</t>
        </r>
      </text>
    </comment>
    <comment ref="EF8" authorId="0" shapeId="0">
      <text>
        <r>
          <rPr>
            <b/>
            <sz val="9"/>
            <color indexed="81"/>
            <rFont val="Tahoma"/>
            <family val="2"/>
          </rPr>
          <t>Only use PAM to PAM to ensure Point to Point measurements are correct for Corning. Think linear measurements.</t>
        </r>
      </text>
    </comment>
    <comment ref="EG8" authorId="0" shapeId="0">
      <text>
        <r>
          <rPr>
            <b/>
            <sz val="9"/>
            <color indexed="81"/>
            <rFont val="Tahoma"/>
            <family val="2"/>
          </rPr>
          <t>Dip up/down pole must be shown as a loop for this calculator to accurately capture  measurements</t>
        </r>
      </text>
    </comment>
    <comment ref="EK8" authorId="0" shapeId="0">
      <text>
        <r>
          <rPr>
            <b/>
            <sz val="9"/>
            <color indexed="81"/>
            <rFont val="Tahoma"/>
            <family val="2"/>
          </rPr>
          <t>Only use PAM to PAM to ensure Point to Point measurements are correct for Corning. Think linear measurements.</t>
        </r>
      </text>
    </comment>
    <comment ref="EL8" authorId="0" shapeId="0">
      <text>
        <r>
          <rPr>
            <b/>
            <sz val="9"/>
            <color indexed="81"/>
            <rFont val="Tahoma"/>
            <family val="2"/>
          </rPr>
          <t>Dip up/down pole must be shown as a loop for this calculator to accurately capture  measurements</t>
        </r>
      </text>
    </comment>
    <comment ref="EP8" authorId="0" shapeId="0">
      <text>
        <r>
          <rPr>
            <b/>
            <sz val="9"/>
            <color indexed="81"/>
            <rFont val="Tahoma"/>
            <family val="2"/>
          </rPr>
          <t>Only use PAM to PAM to ensure Point to Point measurements are correct for Corning. Think linear measurements.</t>
        </r>
      </text>
    </comment>
    <comment ref="EQ8" authorId="0" shapeId="0">
      <text>
        <r>
          <rPr>
            <b/>
            <sz val="9"/>
            <color indexed="81"/>
            <rFont val="Tahoma"/>
            <family val="2"/>
          </rPr>
          <t>Dip up/down pole must be shown as a loop for this calculator to accurately capture  measurements</t>
        </r>
      </text>
    </comment>
    <comment ref="EU8" authorId="0" shapeId="0">
      <text>
        <r>
          <rPr>
            <b/>
            <sz val="9"/>
            <color indexed="81"/>
            <rFont val="Tahoma"/>
            <family val="2"/>
          </rPr>
          <t>Only use PAM to PAM to ensure Point to Point measurements are correct for Corning. Think linear measurements.</t>
        </r>
      </text>
    </comment>
    <comment ref="EV8" authorId="0" shapeId="0">
      <text>
        <r>
          <rPr>
            <b/>
            <sz val="9"/>
            <color indexed="81"/>
            <rFont val="Tahoma"/>
            <family val="2"/>
          </rPr>
          <t>Dip up/down pole must be shown as a loop for this calculator to accurately capture  measurements</t>
        </r>
      </text>
    </comment>
    <comment ref="EZ8" authorId="0" shapeId="0">
      <text>
        <r>
          <rPr>
            <b/>
            <sz val="9"/>
            <color indexed="81"/>
            <rFont val="Tahoma"/>
            <family val="2"/>
          </rPr>
          <t>Only use PAM to PAM to ensure Point to Point measurements are correct for Corning. Think linear measurements.</t>
        </r>
      </text>
    </comment>
    <comment ref="FA8" authorId="0" shapeId="0">
      <text>
        <r>
          <rPr>
            <b/>
            <sz val="9"/>
            <color indexed="81"/>
            <rFont val="Tahoma"/>
            <family val="2"/>
          </rPr>
          <t>Dip up/down pole must be shown as a loop for this calculator to accurately capture  measurements</t>
        </r>
      </text>
    </comment>
    <comment ref="FE8" authorId="0" shapeId="0">
      <text>
        <r>
          <rPr>
            <b/>
            <sz val="9"/>
            <color indexed="81"/>
            <rFont val="Tahoma"/>
            <family val="2"/>
          </rPr>
          <t>Only use PAM to PAM to ensure Point to Point measurements are correct for Corning. Think linear measurements.</t>
        </r>
      </text>
    </comment>
    <comment ref="FF8" authorId="0" shapeId="0">
      <text>
        <r>
          <rPr>
            <b/>
            <sz val="9"/>
            <color indexed="81"/>
            <rFont val="Tahoma"/>
            <family val="2"/>
          </rPr>
          <t>Dip up/down pole must be shown as a loop for this calculator to accurately capture  measurements</t>
        </r>
      </text>
    </comment>
    <comment ref="FJ8" authorId="0" shapeId="0">
      <text>
        <r>
          <rPr>
            <b/>
            <sz val="9"/>
            <color indexed="81"/>
            <rFont val="Tahoma"/>
            <family val="2"/>
          </rPr>
          <t>Only use PAM to PAM to ensure Point to Point measurements are correct for Corning. Think linear measurements.</t>
        </r>
      </text>
    </comment>
    <comment ref="FK8" authorId="0" shapeId="0">
      <text>
        <r>
          <rPr>
            <b/>
            <sz val="9"/>
            <color indexed="81"/>
            <rFont val="Tahoma"/>
            <family val="2"/>
          </rPr>
          <t>Dip up/down pole must be shown as a loop for this calculator to accurately capture  measurements</t>
        </r>
      </text>
    </comment>
    <comment ref="FO8" authorId="0" shapeId="0">
      <text>
        <r>
          <rPr>
            <b/>
            <sz val="9"/>
            <color indexed="81"/>
            <rFont val="Tahoma"/>
            <family val="2"/>
          </rPr>
          <t>Only use PAM to PAM to ensure Point to Point measurements are correct for Corning. Think linear measurements.</t>
        </r>
      </text>
    </comment>
    <comment ref="FP8" authorId="0" shapeId="0">
      <text>
        <r>
          <rPr>
            <b/>
            <sz val="9"/>
            <color indexed="81"/>
            <rFont val="Tahoma"/>
            <family val="2"/>
          </rPr>
          <t>Dip up/down pole must be shown as a loop for this calculator to accurately capture  measurements</t>
        </r>
      </text>
    </comment>
    <comment ref="FT8" authorId="0" shapeId="0">
      <text>
        <r>
          <rPr>
            <b/>
            <sz val="9"/>
            <color indexed="81"/>
            <rFont val="Tahoma"/>
            <family val="2"/>
          </rPr>
          <t>Only use PAM to PAM to ensure Point to Point measurements are correct for Corning. Think linear measurements.</t>
        </r>
      </text>
    </comment>
    <comment ref="FU8" authorId="0" shapeId="0">
      <text>
        <r>
          <rPr>
            <b/>
            <sz val="9"/>
            <color indexed="81"/>
            <rFont val="Tahoma"/>
            <family val="2"/>
          </rPr>
          <t>Dip up/down pole must be shown as a loop for this calculator to accurately capture  measurements</t>
        </r>
      </text>
    </comment>
    <comment ref="FY8" authorId="0" shapeId="0">
      <text>
        <r>
          <rPr>
            <b/>
            <sz val="9"/>
            <color indexed="81"/>
            <rFont val="Tahoma"/>
            <family val="2"/>
          </rPr>
          <t>Only use PAM to PAM to ensure Point to Point measurements are correct for Corning. Think linear measurements.</t>
        </r>
      </text>
    </comment>
    <comment ref="FZ8" authorId="0" shapeId="0">
      <text>
        <r>
          <rPr>
            <b/>
            <sz val="9"/>
            <color indexed="81"/>
            <rFont val="Tahoma"/>
            <family val="2"/>
          </rPr>
          <t>Dip up/down pole must be shown as a loop for this calculator to accurately capture  measurements</t>
        </r>
      </text>
    </comment>
    <comment ref="GD8" authorId="0" shapeId="0">
      <text>
        <r>
          <rPr>
            <b/>
            <sz val="9"/>
            <color indexed="81"/>
            <rFont val="Tahoma"/>
            <family val="2"/>
          </rPr>
          <t>Only use PAM to PAM to ensure Point to Point measurements are correct for Corning. Think linear measurements.</t>
        </r>
      </text>
    </comment>
    <comment ref="GE8" authorId="0" shapeId="0">
      <text>
        <r>
          <rPr>
            <b/>
            <sz val="9"/>
            <color indexed="81"/>
            <rFont val="Tahoma"/>
            <family val="2"/>
          </rPr>
          <t>Dip up/down pole must be shown as a loop for this calculator to accurately capture  measurements</t>
        </r>
      </text>
    </comment>
    <comment ref="GI8" authorId="0" shapeId="0">
      <text>
        <r>
          <rPr>
            <b/>
            <sz val="9"/>
            <color indexed="81"/>
            <rFont val="Tahoma"/>
            <family val="2"/>
          </rPr>
          <t>Only use PAM to PAM to ensure Point to Point measurements are correct for Corning. Think linear measurements.</t>
        </r>
      </text>
    </comment>
    <comment ref="GJ8" authorId="0" shapeId="0">
      <text>
        <r>
          <rPr>
            <b/>
            <sz val="9"/>
            <color indexed="81"/>
            <rFont val="Tahoma"/>
            <family val="2"/>
          </rPr>
          <t>Dip up/down pole must be shown as a loop for this calculator to accurately capture  measurements</t>
        </r>
      </text>
    </comment>
    <comment ref="GN8" authorId="0" shapeId="0">
      <text>
        <r>
          <rPr>
            <b/>
            <sz val="9"/>
            <color indexed="81"/>
            <rFont val="Tahoma"/>
            <family val="2"/>
          </rPr>
          <t>Only use PAM to PAM to ensure Point to Point measurements are correct for Corning. Think linear measurements.</t>
        </r>
      </text>
    </comment>
    <comment ref="GO8" authorId="0" shapeId="0">
      <text>
        <r>
          <rPr>
            <b/>
            <sz val="9"/>
            <color indexed="81"/>
            <rFont val="Tahoma"/>
            <family val="2"/>
          </rPr>
          <t>Dip up/down pole must be shown as a loop for this calculator to accurately capture  measurements</t>
        </r>
      </text>
    </comment>
    <comment ref="GS8" authorId="0" shapeId="0">
      <text>
        <r>
          <rPr>
            <b/>
            <sz val="9"/>
            <color indexed="81"/>
            <rFont val="Tahoma"/>
            <family val="2"/>
          </rPr>
          <t>Only use PAM to PAM to ensure Point to Point measurements are correct for Corning. Think linear measurements.</t>
        </r>
      </text>
    </comment>
    <comment ref="GT8" authorId="0" shapeId="0">
      <text>
        <r>
          <rPr>
            <b/>
            <sz val="9"/>
            <color indexed="81"/>
            <rFont val="Tahoma"/>
            <family val="2"/>
          </rPr>
          <t>Dip up/down pole must be shown as a loop for this calculator to accurately capture  measurements</t>
        </r>
      </text>
    </comment>
    <comment ref="GX8" authorId="0" shapeId="0">
      <text>
        <r>
          <rPr>
            <b/>
            <sz val="9"/>
            <color indexed="81"/>
            <rFont val="Tahoma"/>
            <family val="2"/>
          </rPr>
          <t>Only use PAM to PAM to ensure Point to Point measurements are correct for Corning. Think linear measurements.</t>
        </r>
      </text>
    </comment>
    <comment ref="GY8" authorId="0" shapeId="0">
      <text>
        <r>
          <rPr>
            <b/>
            <sz val="9"/>
            <color indexed="81"/>
            <rFont val="Tahoma"/>
            <family val="2"/>
          </rPr>
          <t>Dip up/down pole must be shown as a loop for this calculator to accurately capture  measurements</t>
        </r>
      </text>
    </comment>
    <comment ref="HC8" authorId="0" shapeId="0">
      <text>
        <r>
          <rPr>
            <b/>
            <sz val="9"/>
            <color indexed="81"/>
            <rFont val="Tahoma"/>
            <family val="2"/>
          </rPr>
          <t>Only use PAM to PAM to ensure Point to Point measurements are correct for Corning. Think linear measurements.</t>
        </r>
      </text>
    </comment>
    <comment ref="HD8" authorId="0" shapeId="0">
      <text>
        <r>
          <rPr>
            <b/>
            <sz val="9"/>
            <color indexed="81"/>
            <rFont val="Tahoma"/>
            <family val="2"/>
          </rPr>
          <t>Dip up/down pole must be shown as a loop for this calculator to accurately capture  measurements</t>
        </r>
      </text>
    </comment>
    <comment ref="HH8" authorId="0" shapeId="0">
      <text>
        <r>
          <rPr>
            <b/>
            <sz val="9"/>
            <color indexed="81"/>
            <rFont val="Tahoma"/>
            <family val="2"/>
          </rPr>
          <t>Only use PAM to PAM to ensure Point to Point measurements are correct for Corning. Think linear measurements.</t>
        </r>
      </text>
    </comment>
    <comment ref="HI8" authorId="0" shapeId="0">
      <text>
        <r>
          <rPr>
            <b/>
            <sz val="9"/>
            <color indexed="81"/>
            <rFont val="Tahoma"/>
            <family val="2"/>
          </rPr>
          <t>Dip up/down pole must be shown as a loop for this calculator to accurately capture  measurements</t>
        </r>
      </text>
    </comment>
    <comment ref="HM8" authorId="0" shapeId="0">
      <text>
        <r>
          <rPr>
            <b/>
            <sz val="9"/>
            <color indexed="81"/>
            <rFont val="Tahoma"/>
            <family val="2"/>
          </rPr>
          <t>Only use PAM to PAM to ensure Point to Point measurements are correct for Corning. Think linear measurements.</t>
        </r>
      </text>
    </comment>
    <comment ref="HN8" authorId="0" shapeId="0">
      <text>
        <r>
          <rPr>
            <b/>
            <sz val="9"/>
            <color indexed="81"/>
            <rFont val="Tahoma"/>
            <family val="2"/>
          </rPr>
          <t>Dip up/down pole must be shown as a loop for this calculator to accurately capture  measurements</t>
        </r>
      </text>
    </comment>
    <comment ref="HR8" authorId="0" shapeId="0">
      <text>
        <r>
          <rPr>
            <b/>
            <sz val="9"/>
            <color indexed="81"/>
            <rFont val="Tahoma"/>
            <family val="2"/>
          </rPr>
          <t>Only use PAM to PAM to ensure Point to Point measurements are correct for Corning. Think linear measurements.</t>
        </r>
      </text>
    </comment>
    <comment ref="HS8" authorId="0" shapeId="0">
      <text>
        <r>
          <rPr>
            <b/>
            <sz val="9"/>
            <color indexed="81"/>
            <rFont val="Tahoma"/>
            <family val="2"/>
          </rPr>
          <t>Dip up/down pole must be shown as a loop for this calculator to accurately capture  measurements</t>
        </r>
      </text>
    </comment>
    <comment ref="HW8" authorId="0" shapeId="0">
      <text>
        <r>
          <rPr>
            <b/>
            <sz val="9"/>
            <color indexed="81"/>
            <rFont val="Tahoma"/>
            <family val="2"/>
          </rPr>
          <t>Only use PAM to PAM to ensure Point to Point measurements are correct for Corning. Think linear measurements.</t>
        </r>
      </text>
    </comment>
    <comment ref="HX8" authorId="0" shapeId="0">
      <text>
        <r>
          <rPr>
            <b/>
            <sz val="9"/>
            <color indexed="81"/>
            <rFont val="Tahoma"/>
            <family val="2"/>
          </rPr>
          <t>Dip up/down pole must be shown as a loop for this calculator to accurately capture  measurements</t>
        </r>
      </text>
    </comment>
    <comment ref="IB8" authorId="0" shapeId="0">
      <text>
        <r>
          <rPr>
            <b/>
            <sz val="9"/>
            <color indexed="81"/>
            <rFont val="Tahoma"/>
            <family val="2"/>
          </rPr>
          <t>Only use PAM to PAM to ensure Point to Point measurements are correct for Corning. Think linear measurements.</t>
        </r>
      </text>
    </comment>
    <comment ref="IC8" authorId="0" shapeId="0">
      <text>
        <r>
          <rPr>
            <b/>
            <sz val="9"/>
            <color indexed="81"/>
            <rFont val="Tahoma"/>
            <family val="2"/>
          </rPr>
          <t>Dip up/down pole must be shown as a loop for this calculator to accurately capture  measurements</t>
        </r>
      </text>
    </comment>
    <comment ref="IG8" authorId="0" shapeId="0">
      <text>
        <r>
          <rPr>
            <b/>
            <sz val="9"/>
            <color indexed="81"/>
            <rFont val="Tahoma"/>
            <family val="2"/>
          </rPr>
          <t>Only use PAM to PAM to ensure Point to Point measurements are correct for Corning. Think linear measurements.</t>
        </r>
      </text>
    </comment>
    <comment ref="IH8" authorId="0" shapeId="0">
      <text>
        <r>
          <rPr>
            <b/>
            <sz val="9"/>
            <color indexed="81"/>
            <rFont val="Tahoma"/>
            <family val="2"/>
          </rPr>
          <t>Dip up/down pole must be shown as a loop for this calculator to accurately capture  measurements</t>
        </r>
      </text>
    </comment>
    <comment ref="IL8" authorId="0" shapeId="0">
      <text>
        <r>
          <rPr>
            <b/>
            <sz val="9"/>
            <color indexed="81"/>
            <rFont val="Tahoma"/>
            <family val="2"/>
          </rPr>
          <t>Only use PAM to PAM to ensure Point to Point measurements are correct for Corning. Think linear measurements.</t>
        </r>
      </text>
    </comment>
    <comment ref="IM8" authorId="0" shapeId="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authors>
    <author>CDT User</author>
    <author>ELLER, SCOTT</author>
    <author>LEWIS, CHARLES E</author>
  </authors>
  <commentList>
    <comment ref="B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text>
        <r>
          <rPr>
            <b/>
            <sz val="8"/>
            <color indexed="81"/>
            <rFont val="Tahoma"/>
            <family val="2"/>
          </rPr>
          <t>This will be added to Planning Load Block A for TOTAL</t>
        </r>
        <r>
          <rPr>
            <sz val="8"/>
            <color indexed="81"/>
            <rFont val="Tahoma"/>
            <family val="2"/>
          </rPr>
          <t xml:space="preserve">
</t>
        </r>
      </text>
    </comment>
    <comment ref="J6" authorId="0" shapeId="0">
      <text>
        <r>
          <rPr>
            <b/>
            <sz val="8"/>
            <color indexed="81"/>
            <rFont val="Tahoma"/>
            <family val="2"/>
          </rPr>
          <t>This is the PON OUT count that is not assigned in this cable reel.</t>
        </r>
        <r>
          <rPr>
            <sz val="8"/>
            <color indexed="81"/>
            <rFont val="Tahoma"/>
            <family val="2"/>
          </rPr>
          <t xml:space="preserve">
</t>
        </r>
      </text>
    </comment>
    <comment ref="P6" authorId="1" shapeId="0">
      <text>
        <r>
          <rPr>
            <b/>
            <sz val="9"/>
            <color indexed="81"/>
            <rFont val="Tahoma"/>
            <family val="2"/>
          </rPr>
          <t>REMEMBER: 2-Fbr Tethers are NOT available for RPX CABLE!</t>
        </r>
      </text>
    </comment>
    <comment ref="Q6" authorId="1" shapeId="0">
      <text>
        <r>
          <rPr>
            <b/>
            <sz val="9"/>
            <color indexed="81"/>
            <rFont val="Tahoma"/>
            <family val="2"/>
          </rPr>
          <t>REMEMBER: 2-Fbr Tethers are NOT available for RPX CABLE!</t>
        </r>
      </text>
    </comment>
    <comment ref="S6" authorId="1" shapeId="0">
      <text>
        <r>
          <rPr>
            <b/>
            <sz val="9"/>
            <color indexed="81"/>
            <rFont val="Tahoma"/>
            <family val="2"/>
          </rPr>
          <t>REMEMBER: 2-Fbr Tethers are NOT available for RPX CABLE!</t>
        </r>
      </text>
    </comment>
    <comment ref="T6" authorId="1" shapeId="0">
      <text>
        <r>
          <rPr>
            <b/>
            <sz val="9"/>
            <color indexed="81"/>
            <rFont val="Tahoma"/>
            <family val="2"/>
          </rPr>
          <t>REMEMBER: 2-Fbr Tethers are NOT available for RPX CABLE!</t>
        </r>
      </text>
    </comment>
    <comment ref="B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text>
        <r>
          <rPr>
            <b/>
            <sz val="8"/>
            <color indexed="81"/>
            <rFont val="Tahoma"/>
            <family val="2"/>
          </rPr>
          <t>Make sure you add this number to "TAT FIBERS ASSIGNED" for the total required in the Load Block on the prints.</t>
        </r>
      </text>
    </comment>
    <comment ref="G7" authorId="0" shapeId="0">
      <text>
        <r>
          <rPr>
            <b/>
            <sz val="8"/>
            <color indexed="81"/>
            <rFont val="Tahoma"/>
            <family val="2"/>
          </rPr>
          <t>Includes "DEAD" Count (No PON count assigned)</t>
        </r>
      </text>
    </comment>
    <comment ref="I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text>
        <r>
          <rPr>
            <b/>
            <sz val="9"/>
            <color indexed="81"/>
            <rFont val="Tahoma"/>
            <family val="2"/>
          </rPr>
          <t>REMEMBER: 6-Fbr Tethers are NOT available for RPX CABLE!</t>
        </r>
      </text>
    </comment>
    <comment ref="Q8" authorId="1" shapeId="0">
      <text>
        <r>
          <rPr>
            <b/>
            <sz val="9"/>
            <color indexed="81"/>
            <rFont val="Tahoma"/>
            <family val="2"/>
          </rPr>
          <t>REMEMBER: 6-Fbr Tethers are NOT available for RPX CABLE!</t>
        </r>
      </text>
    </comment>
    <comment ref="S8" authorId="1" shapeId="0">
      <text>
        <r>
          <rPr>
            <b/>
            <sz val="9"/>
            <color indexed="81"/>
            <rFont val="Tahoma"/>
            <family val="2"/>
          </rPr>
          <t>REMEMBER: 6-Fbr Tethers are NOT available for RPX CABLE!</t>
        </r>
      </text>
    </comment>
    <comment ref="T8" authorId="1" shapeId="0">
      <text>
        <r>
          <rPr>
            <b/>
            <sz val="9"/>
            <color indexed="81"/>
            <rFont val="Tahoma"/>
            <family val="2"/>
          </rPr>
          <t>REMEMBER: 6-Fbr Tethers are NOT available for AERIAL CABLE!</t>
        </r>
      </text>
    </comment>
    <comment ref="B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text>
        <r>
          <rPr>
            <b/>
            <sz val="8"/>
            <color indexed="81"/>
            <rFont val="Tahoma"/>
            <family val="2"/>
          </rPr>
          <t>These are "manufacturing rules" and general warnings</t>
        </r>
        <r>
          <rPr>
            <sz val="8"/>
            <color indexed="81"/>
            <rFont val="Tahoma"/>
            <family val="2"/>
          </rPr>
          <t xml:space="preserve">
</t>
        </r>
      </text>
    </comment>
    <comment ref="B1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text>
        <r>
          <rPr>
            <b/>
            <sz val="8"/>
            <color indexed="81"/>
            <rFont val="Tahoma"/>
            <family val="2"/>
          </rPr>
          <t>This number is a sum of TOTAL PLANNED plus the ASSIGNED TO TETHERS</t>
        </r>
        <r>
          <rPr>
            <sz val="8"/>
            <color indexed="81"/>
            <rFont val="Tahoma"/>
            <family val="2"/>
          </rPr>
          <t xml:space="preserve">
</t>
        </r>
      </text>
    </comment>
    <comment ref="Z14" authorId="0" shapeId="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text>
        <r>
          <rPr>
            <b/>
            <sz val="8"/>
            <color indexed="81"/>
            <rFont val="Tahoma"/>
            <family val="2"/>
          </rPr>
          <t>Counting from High count Backwards- this is Fiber Strand 133</t>
        </r>
      </text>
    </comment>
    <comment ref="AB14" authorId="0" shapeId="0">
      <text>
        <r>
          <rPr>
            <b/>
            <sz val="8"/>
            <color indexed="81"/>
            <rFont val="Tahoma"/>
            <family val="2"/>
          </rPr>
          <t>Counting from High count Backwards- this is Fiber Strand 144</t>
        </r>
        <r>
          <rPr>
            <sz val="8"/>
            <color indexed="81"/>
            <rFont val="Tahoma"/>
            <family val="2"/>
          </rPr>
          <t xml:space="preserve">
</t>
        </r>
      </text>
    </comment>
    <comment ref="C15" authorId="0" shapeId="0">
      <text>
        <r>
          <rPr>
            <b/>
            <sz val="8"/>
            <color indexed="81"/>
            <rFont val="Tahoma"/>
            <family val="2"/>
          </rPr>
          <t xml:space="preserve">Select if this tether will be used to feed a CFST or a lateral cable. </t>
        </r>
      </text>
    </comment>
    <comment ref="D15" authorId="0" shapeId="0">
      <text>
        <r>
          <rPr>
            <b/>
            <sz val="8"/>
            <color indexed="81"/>
            <rFont val="Tahoma"/>
            <family val="2"/>
          </rPr>
          <t>Note the Terminal Address to keep your locations straight</t>
        </r>
        <r>
          <rPr>
            <sz val="8"/>
            <color indexed="81"/>
            <rFont val="Tahoma"/>
            <family val="2"/>
          </rPr>
          <t xml:space="preserve">
</t>
        </r>
      </text>
    </comment>
    <comment ref="E15" authorId="0" shapeId="0">
      <text>
        <r>
          <rPr>
            <b/>
            <sz val="9"/>
            <color indexed="81"/>
            <rFont val="Calibri"/>
            <family val="2"/>
            <scheme val="minor"/>
          </rPr>
          <t>Pick the Tether Size for the location</t>
        </r>
        <r>
          <rPr>
            <sz val="8"/>
            <color indexed="81"/>
            <rFont val="Tahoma"/>
            <family val="2"/>
          </rPr>
          <t xml:space="preserve">
</t>
        </r>
      </text>
    </comment>
    <comment ref="F15" authorId="2" shapeId="0">
      <text>
        <r>
          <rPr>
            <b/>
            <sz val="9"/>
            <color indexed="81"/>
            <rFont val="Tahoma"/>
            <family val="2"/>
          </rPr>
          <t>Identify TCF or FST location.
Leave blank if tether is NOT for a TCF or FST!</t>
        </r>
      </text>
    </comment>
    <comment ref="H15" authorId="0" shapeId="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text>
        <r>
          <rPr>
            <b/>
            <sz val="8"/>
            <color indexed="81"/>
            <rFont val="Tahoma"/>
            <family val="2"/>
          </rPr>
          <t>If any of these numbers are negative, check your PON count and Cable size</t>
        </r>
      </text>
    </comment>
    <comment ref="J1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text>
        <r>
          <rPr>
            <b/>
            <sz val="9"/>
            <color indexed="81"/>
            <rFont val="Tahoma"/>
            <family val="2"/>
          </rPr>
          <t>Leave blank if using 10' Terminal Tail
Enter Tail length if greater than 10'</t>
        </r>
      </text>
    </comment>
    <comment ref="M15" authorId="0" shapeId="0">
      <text>
        <r>
          <rPr>
            <b/>
            <sz val="8"/>
            <color indexed="81"/>
            <rFont val="Tahoma"/>
            <family val="2"/>
          </rPr>
          <t>Make design notes such as slack coils, realingment loops,  or location notes</t>
        </r>
      </text>
    </comment>
    <comment ref="Z15" authorId="0" shapeId="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text>
        <r>
          <rPr>
            <b/>
            <sz val="8"/>
            <color indexed="81"/>
            <rFont val="Tahoma"/>
            <family val="2"/>
          </rPr>
          <t xml:space="preserve">Counting from High count Backwards- this is Fiber Strand 145
</t>
        </r>
      </text>
    </comment>
    <comment ref="AB15" authorId="0" shapeId="0">
      <text>
        <r>
          <rPr>
            <b/>
            <sz val="8"/>
            <color indexed="81"/>
            <rFont val="Tahoma"/>
            <family val="2"/>
          </rPr>
          <t>Counting from High count Backwards- this is Fiber Strand 156</t>
        </r>
      </text>
    </comment>
    <comment ref="J17" authorId="1" shapeId="0">
      <text>
        <r>
          <rPr>
            <b/>
            <sz val="9"/>
            <color indexed="81"/>
            <rFont val="Tahoma"/>
            <family val="2"/>
          </rPr>
          <t>If this highlights as an error, consider upsizing the Tether size for better ribbon utilization</t>
        </r>
      </text>
    </comment>
    <comment ref="J18" authorId="1" shapeId="0">
      <text>
        <r>
          <rPr>
            <b/>
            <sz val="9"/>
            <color indexed="81"/>
            <rFont val="Tahoma"/>
            <family val="2"/>
          </rPr>
          <t>If this highlights as an error, consider upsizing the Tether size for better ribbon utilization</t>
        </r>
      </text>
    </comment>
    <comment ref="J19" authorId="1" shapeId="0">
      <text>
        <r>
          <rPr>
            <b/>
            <sz val="9"/>
            <color indexed="81"/>
            <rFont val="Tahoma"/>
            <family val="2"/>
          </rPr>
          <t>If this highlights as an error, consider upsizing the Tether size for better ribbon utilization</t>
        </r>
      </text>
    </comment>
    <comment ref="J20" authorId="1" shapeId="0">
      <text>
        <r>
          <rPr>
            <b/>
            <sz val="9"/>
            <color indexed="81"/>
            <rFont val="Tahoma"/>
            <family val="2"/>
          </rPr>
          <t>If this highlights as an error, consider upsizing the Tether size for better ribbon utilization</t>
        </r>
      </text>
    </comment>
    <comment ref="J21" authorId="1" shapeId="0">
      <text>
        <r>
          <rPr>
            <b/>
            <sz val="9"/>
            <color indexed="81"/>
            <rFont val="Tahoma"/>
            <family val="2"/>
          </rPr>
          <t>If this highlights as an error, consider upsizing the Tether size for better ribbon utilization</t>
        </r>
      </text>
    </comment>
    <comment ref="J22" authorId="1" shapeId="0">
      <text>
        <r>
          <rPr>
            <b/>
            <sz val="9"/>
            <color indexed="81"/>
            <rFont val="Tahoma"/>
            <family val="2"/>
          </rPr>
          <t>If this highlights as an error, consider upsizing the Tether size for better ribbon utilization</t>
        </r>
      </text>
    </comment>
    <comment ref="J23" authorId="1" shapeId="0">
      <text>
        <r>
          <rPr>
            <b/>
            <sz val="9"/>
            <color indexed="81"/>
            <rFont val="Tahoma"/>
            <family val="2"/>
          </rPr>
          <t>If this highlights as an error, consider upsizing the Tether size for better ribbon utilization</t>
        </r>
      </text>
    </comment>
    <comment ref="J24" authorId="1" shapeId="0">
      <text>
        <r>
          <rPr>
            <b/>
            <sz val="9"/>
            <color indexed="81"/>
            <rFont val="Tahoma"/>
            <family val="2"/>
          </rPr>
          <t>If this highlights as an error, consider upsizing the Tether size for better ribbon utilization</t>
        </r>
      </text>
    </comment>
    <comment ref="J25" authorId="1" shapeId="0">
      <text>
        <r>
          <rPr>
            <b/>
            <sz val="9"/>
            <color indexed="81"/>
            <rFont val="Tahoma"/>
            <family val="2"/>
          </rPr>
          <t>If this highlights as an error, consider upsizing the Tether size for better ribbon utilization</t>
        </r>
      </text>
    </comment>
    <comment ref="J26" authorId="1" shapeId="0">
      <text>
        <r>
          <rPr>
            <b/>
            <sz val="9"/>
            <color indexed="81"/>
            <rFont val="Tahoma"/>
            <family val="2"/>
          </rPr>
          <t>If this highlights as an error, consider upsizing the Tether size for better ribbon utilization</t>
        </r>
      </text>
    </comment>
    <comment ref="J27" authorId="1" shapeId="0">
      <text>
        <r>
          <rPr>
            <b/>
            <sz val="9"/>
            <color indexed="81"/>
            <rFont val="Tahoma"/>
            <family val="2"/>
          </rPr>
          <t>If this highlights as an error, consider upsizing the Tether size for better ribbon utilization</t>
        </r>
      </text>
    </comment>
    <comment ref="J28" authorId="1" shapeId="0">
      <text>
        <r>
          <rPr>
            <b/>
            <sz val="9"/>
            <color indexed="81"/>
            <rFont val="Tahoma"/>
            <family val="2"/>
          </rPr>
          <t>If this highlights as an error, consider upsizing the Tether size for better ribbon utilization</t>
        </r>
      </text>
    </comment>
    <comment ref="J29" authorId="1" shapeId="0">
      <text>
        <r>
          <rPr>
            <b/>
            <sz val="9"/>
            <color indexed="81"/>
            <rFont val="Tahoma"/>
            <family val="2"/>
          </rPr>
          <t>If this highlights as an error, consider upsizing the Tether size for better ribbon utilization</t>
        </r>
      </text>
    </comment>
    <comment ref="J30" authorId="1" shapeId="0">
      <text>
        <r>
          <rPr>
            <b/>
            <sz val="9"/>
            <color indexed="81"/>
            <rFont val="Tahoma"/>
            <family val="2"/>
          </rPr>
          <t>If this highlights as an error, consider upsizing the Tether size for better ribbon utilization</t>
        </r>
      </text>
    </comment>
    <comment ref="J31" authorId="1" shapeId="0">
      <text>
        <r>
          <rPr>
            <b/>
            <sz val="9"/>
            <color indexed="81"/>
            <rFont val="Tahoma"/>
            <family val="2"/>
          </rPr>
          <t>If this highlights as an error, consider upsizing the Tether size for better ribbon utilization</t>
        </r>
      </text>
    </comment>
    <comment ref="J32" authorId="1" shapeId="0">
      <text>
        <r>
          <rPr>
            <b/>
            <sz val="9"/>
            <color indexed="81"/>
            <rFont val="Tahoma"/>
            <family val="2"/>
          </rPr>
          <t>If this highlights as an error, consider upsizing the Tether size for better ribbon utilization</t>
        </r>
      </text>
    </comment>
    <comment ref="J33" authorId="1" shapeId="0">
      <text>
        <r>
          <rPr>
            <b/>
            <sz val="9"/>
            <color indexed="81"/>
            <rFont val="Tahoma"/>
            <family val="2"/>
          </rPr>
          <t>If this highlights as an error, consider upsizing the Tether size for better ribbon utilization</t>
        </r>
      </text>
    </comment>
    <comment ref="J34" authorId="1" shapeId="0">
      <text>
        <r>
          <rPr>
            <b/>
            <sz val="9"/>
            <color indexed="81"/>
            <rFont val="Tahoma"/>
            <family val="2"/>
          </rPr>
          <t>If this highlights as an error, consider upsizing the Tether size for better ribbon utilization</t>
        </r>
      </text>
    </comment>
    <comment ref="C35" authorId="1" shapeId="0">
      <text>
        <r>
          <rPr>
            <b/>
            <sz val="9"/>
            <color indexed="81"/>
            <rFont val="Tahoma"/>
            <family val="2"/>
          </rPr>
          <t>DBL REV requires TWO rows!
TPL REV requires THREE rows!
QD REV requires FOUR rows!</t>
        </r>
      </text>
    </comment>
    <comment ref="J35" authorId="1" shapeId="0">
      <text>
        <r>
          <rPr>
            <b/>
            <sz val="9"/>
            <color indexed="81"/>
            <rFont val="Tahoma"/>
            <family val="2"/>
          </rPr>
          <t>If this highlights as an error, consider upsizing the Tether size for better ribbon utilization</t>
        </r>
      </text>
    </comment>
    <comment ref="C36" authorId="1" shapeId="0">
      <text>
        <r>
          <rPr>
            <b/>
            <sz val="9"/>
            <color indexed="81"/>
            <rFont val="Tahoma"/>
            <family val="2"/>
          </rPr>
          <t>DBL REV requires TWO rows!
TPL REV requires THREE rows!
QD REV requires FOUR rows!</t>
        </r>
      </text>
    </comment>
    <comment ref="J36" authorId="1" shapeId="0">
      <text>
        <r>
          <rPr>
            <b/>
            <sz val="9"/>
            <color indexed="81"/>
            <rFont val="Tahoma"/>
            <family val="2"/>
          </rPr>
          <t>If this highlights as an error, consider upsizing the Tether size for better ribbon utilization</t>
        </r>
      </text>
    </comment>
    <comment ref="C37" authorId="1" shapeId="0">
      <text>
        <r>
          <rPr>
            <b/>
            <sz val="9"/>
            <color indexed="81"/>
            <rFont val="Tahoma"/>
            <family val="2"/>
          </rPr>
          <t>DBL REV requires TWO rows!
TPL REV requires THREE rows!
QD REV requires FOUR rows!</t>
        </r>
      </text>
    </comment>
    <comment ref="J37" authorId="1" shapeId="0">
      <text>
        <r>
          <rPr>
            <b/>
            <sz val="9"/>
            <color indexed="81"/>
            <rFont val="Tahoma"/>
            <family val="2"/>
          </rPr>
          <t>If this highlights as an error, consider upsizing the Tether size for better ribbon utilization</t>
        </r>
      </text>
    </comment>
    <comment ref="C38" authorId="1" shapeId="0">
      <text>
        <r>
          <rPr>
            <b/>
            <sz val="9"/>
            <color indexed="81"/>
            <rFont val="Tahoma"/>
            <family val="2"/>
          </rPr>
          <t>DBL REV requires TWO rows!
TPL REV requires THREE rows!
QD REV requires FOUR rows!</t>
        </r>
      </text>
    </comment>
    <comment ref="J38" authorId="1" shapeId="0">
      <text>
        <r>
          <rPr>
            <b/>
            <sz val="9"/>
            <color indexed="81"/>
            <rFont val="Tahoma"/>
            <family val="2"/>
          </rPr>
          <t>If this highlights as an error, consider upsizing the Tether size for better ribbon utilization</t>
        </r>
      </text>
    </comment>
    <comment ref="C39" authorId="1" shapeId="0">
      <text>
        <r>
          <rPr>
            <b/>
            <sz val="9"/>
            <color indexed="81"/>
            <rFont val="Tahoma"/>
            <family val="2"/>
          </rPr>
          <t>DBL REV requires TWO rows!
TPL REV requires THREE rows!
QD REV requires FOUR rows!</t>
        </r>
      </text>
    </comment>
    <comment ref="J39" authorId="1" shapeId="0">
      <text>
        <r>
          <rPr>
            <b/>
            <sz val="9"/>
            <color indexed="81"/>
            <rFont val="Tahoma"/>
            <family val="2"/>
          </rPr>
          <t>If this highlights as an error, consider upsizing the Tether size for better ribbon utilization</t>
        </r>
      </text>
    </comment>
    <comment ref="C40" authorId="1" shapeId="0">
      <text>
        <r>
          <rPr>
            <b/>
            <sz val="9"/>
            <color indexed="81"/>
            <rFont val="Tahoma"/>
            <family val="2"/>
          </rPr>
          <t>DBL REV requires TWO rows!
TPL REV requires THREE rows!
QD REV requires FOUR rows!</t>
        </r>
      </text>
    </comment>
    <comment ref="J40" authorId="1" shapeId="0">
      <text>
        <r>
          <rPr>
            <b/>
            <sz val="9"/>
            <color indexed="81"/>
            <rFont val="Tahoma"/>
            <family val="2"/>
          </rPr>
          <t>If this highlights as an error, consider upsizing the Tether size for better ribbon utilization</t>
        </r>
      </text>
    </comment>
    <comment ref="C41" authorId="1" shapeId="0">
      <text>
        <r>
          <rPr>
            <b/>
            <sz val="9"/>
            <color indexed="81"/>
            <rFont val="Tahoma"/>
            <family val="2"/>
          </rPr>
          <t>DBL REV requires TWO rows!
TPL REV requires THREE rows!
QD REV requires FOUR rows!</t>
        </r>
      </text>
    </comment>
    <comment ref="J41" authorId="1" shapeId="0">
      <text>
        <r>
          <rPr>
            <b/>
            <sz val="9"/>
            <color indexed="81"/>
            <rFont val="Tahoma"/>
            <family val="2"/>
          </rPr>
          <t>If this highlights as an error, consider upsizing the Tether size for better ribbon utilization</t>
        </r>
      </text>
    </comment>
    <comment ref="B4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text>
        <r>
          <rPr>
            <b/>
            <sz val="8"/>
            <color indexed="81"/>
            <rFont val="Tahoma"/>
            <family val="2"/>
          </rPr>
          <t>This will be added to Planning Load Block A for TOTAL</t>
        </r>
        <r>
          <rPr>
            <sz val="8"/>
            <color indexed="81"/>
            <rFont val="Tahoma"/>
            <family val="2"/>
          </rPr>
          <t xml:space="preserve">
</t>
        </r>
      </text>
    </comment>
    <comment ref="J47" authorId="0" shapeId="0">
      <text>
        <r>
          <rPr>
            <b/>
            <sz val="8"/>
            <color indexed="81"/>
            <rFont val="Tahoma"/>
            <family val="2"/>
          </rPr>
          <t>This is the PON OUT count that is not assigned in this cable reel.</t>
        </r>
        <r>
          <rPr>
            <sz val="8"/>
            <color indexed="81"/>
            <rFont val="Tahoma"/>
            <family val="2"/>
          </rPr>
          <t xml:space="preserve">
</t>
        </r>
      </text>
    </comment>
    <comment ref="P47" authorId="1" shapeId="0">
      <text>
        <r>
          <rPr>
            <b/>
            <sz val="9"/>
            <color indexed="81"/>
            <rFont val="Tahoma"/>
            <family val="2"/>
          </rPr>
          <t>REMEMBER: 2-Fbr Tethers are NOT available for RPX CABLE!</t>
        </r>
      </text>
    </comment>
    <comment ref="Q47" authorId="1" shapeId="0">
      <text>
        <r>
          <rPr>
            <b/>
            <sz val="9"/>
            <color indexed="81"/>
            <rFont val="Tahoma"/>
            <family val="2"/>
          </rPr>
          <t>REMEMBER: 2-Fbr Tethers are NOT available for RPX CABLE!</t>
        </r>
      </text>
    </comment>
    <comment ref="S47" authorId="1" shapeId="0">
      <text>
        <r>
          <rPr>
            <b/>
            <sz val="9"/>
            <color indexed="81"/>
            <rFont val="Tahoma"/>
            <family val="2"/>
          </rPr>
          <t>REMEMBER: 2-Fbr Tethers are NOT available for RPX CABLE!</t>
        </r>
      </text>
    </comment>
    <comment ref="T47" authorId="1" shapeId="0">
      <text>
        <r>
          <rPr>
            <b/>
            <sz val="9"/>
            <color indexed="81"/>
            <rFont val="Tahoma"/>
            <family val="2"/>
          </rPr>
          <t>REMEMBER: 2-Fbr Tethers are NOT available for RPX CABLE!</t>
        </r>
      </text>
    </comment>
    <comment ref="B4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text>
        <r>
          <rPr>
            <b/>
            <sz val="8"/>
            <color indexed="81"/>
            <rFont val="Tahoma"/>
            <family val="2"/>
          </rPr>
          <t>Make sure you add this number to "TAT FIBERS ASSIGNED" for the total required in the Load Block on the prints.</t>
        </r>
      </text>
    </comment>
    <comment ref="G48" authorId="0" shapeId="0">
      <text>
        <r>
          <rPr>
            <b/>
            <sz val="8"/>
            <color indexed="81"/>
            <rFont val="Tahoma"/>
            <family val="2"/>
          </rPr>
          <t>Includes "DEAD" Count (No PON count assigned)</t>
        </r>
      </text>
    </comment>
    <comment ref="I4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text>
        <r>
          <rPr>
            <b/>
            <sz val="9"/>
            <color indexed="81"/>
            <rFont val="Tahoma"/>
            <family val="2"/>
          </rPr>
          <t>REMEMBER: 6-Fbr Tethers are NOT available for RPX CABLE!</t>
        </r>
      </text>
    </comment>
    <comment ref="Q49" authorId="1" shapeId="0">
      <text>
        <r>
          <rPr>
            <b/>
            <sz val="9"/>
            <color indexed="81"/>
            <rFont val="Tahoma"/>
            <family val="2"/>
          </rPr>
          <t>REMEMBER: 6-Fbr Tethers are NOT available for RPX CABLE!</t>
        </r>
      </text>
    </comment>
    <comment ref="S49" authorId="1" shapeId="0">
      <text>
        <r>
          <rPr>
            <b/>
            <sz val="9"/>
            <color indexed="81"/>
            <rFont val="Tahoma"/>
            <family val="2"/>
          </rPr>
          <t>REMEMBER: 6-Fbr Tethers are NOT available for RPX CABLE!</t>
        </r>
      </text>
    </comment>
    <comment ref="T49" authorId="1" shapeId="0">
      <text>
        <r>
          <rPr>
            <b/>
            <sz val="9"/>
            <color indexed="81"/>
            <rFont val="Tahoma"/>
            <family val="2"/>
          </rPr>
          <t>REMEMBER: 6-Fbr Tethers are NOT available for AERIAL CABLE!</t>
        </r>
      </text>
    </comment>
    <comment ref="B5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text>
        <r>
          <rPr>
            <b/>
            <sz val="8"/>
            <color indexed="81"/>
            <rFont val="Tahoma"/>
            <family val="2"/>
          </rPr>
          <t>These are "manufacturing rules" and general warnings</t>
        </r>
        <r>
          <rPr>
            <sz val="8"/>
            <color indexed="81"/>
            <rFont val="Tahoma"/>
            <family val="2"/>
          </rPr>
          <t xml:space="preserve">
</t>
        </r>
      </text>
    </comment>
    <comment ref="B5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text>
        <r>
          <rPr>
            <b/>
            <sz val="8"/>
            <color indexed="81"/>
            <rFont val="Tahoma"/>
            <family val="2"/>
          </rPr>
          <t>This number is a sum of TOTAL PLANNED plus the ASSIGNED TO TETHERS</t>
        </r>
        <r>
          <rPr>
            <sz val="8"/>
            <color indexed="81"/>
            <rFont val="Tahoma"/>
            <family val="2"/>
          </rPr>
          <t xml:space="preserve">
</t>
        </r>
      </text>
    </comment>
    <comment ref="Z55" authorId="0" shapeId="0">
      <text>
        <r>
          <rPr>
            <b/>
            <sz val="8"/>
            <color indexed="81"/>
            <rFont val="Tahoma"/>
            <family val="2"/>
          </rPr>
          <t>When using a 216, these are the 2-buffer tubes that can't be cross-assigned</t>
        </r>
        <r>
          <rPr>
            <sz val="8"/>
            <color indexed="81"/>
            <rFont val="Tahoma"/>
            <family val="2"/>
          </rPr>
          <t xml:space="preserve">
</t>
        </r>
      </text>
    </comment>
    <comment ref="AA55" authorId="0" shapeId="0">
      <text>
        <r>
          <rPr>
            <b/>
            <sz val="8"/>
            <color indexed="81"/>
            <rFont val="Tahoma"/>
            <family val="2"/>
          </rPr>
          <t>Counting from High count Backwards- this is Fiber Strand 133</t>
        </r>
      </text>
    </comment>
    <comment ref="AB55" authorId="0" shapeId="0">
      <text>
        <r>
          <rPr>
            <b/>
            <sz val="8"/>
            <color indexed="81"/>
            <rFont val="Tahoma"/>
            <family val="2"/>
          </rPr>
          <t>Counting from High count Backwards- this is Fiber Strand 144</t>
        </r>
        <r>
          <rPr>
            <sz val="8"/>
            <color indexed="81"/>
            <rFont val="Tahoma"/>
            <family val="2"/>
          </rPr>
          <t xml:space="preserve">
</t>
        </r>
      </text>
    </comment>
    <comment ref="C56" authorId="0" shapeId="0">
      <text>
        <r>
          <rPr>
            <b/>
            <sz val="8"/>
            <color indexed="81"/>
            <rFont val="Tahoma"/>
            <family val="2"/>
          </rPr>
          <t xml:space="preserve">Select if this tether will be used to feed a CFST or a lateral cable. </t>
        </r>
      </text>
    </comment>
    <comment ref="D56" authorId="0" shapeId="0">
      <text>
        <r>
          <rPr>
            <b/>
            <sz val="8"/>
            <color indexed="81"/>
            <rFont val="Tahoma"/>
            <family val="2"/>
          </rPr>
          <t>Note the Terminal Address to keep your locations straight</t>
        </r>
        <r>
          <rPr>
            <sz val="8"/>
            <color indexed="81"/>
            <rFont val="Tahoma"/>
            <family val="2"/>
          </rPr>
          <t xml:space="preserve">
</t>
        </r>
      </text>
    </comment>
    <comment ref="E56" authorId="0" shapeId="0">
      <text>
        <r>
          <rPr>
            <b/>
            <sz val="9"/>
            <color indexed="81"/>
            <rFont val="Calibri"/>
            <family val="2"/>
            <scheme val="minor"/>
          </rPr>
          <t>Pick the Tether Size for the location</t>
        </r>
        <r>
          <rPr>
            <sz val="8"/>
            <color indexed="81"/>
            <rFont val="Tahoma"/>
            <family val="2"/>
          </rPr>
          <t xml:space="preserve">
</t>
        </r>
      </text>
    </comment>
    <comment ref="F56" authorId="2" shapeId="0">
      <text>
        <r>
          <rPr>
            <b/>
            <sz val="9"/>
            <color indexed="81"/>
            <rFont val="Tahoma"/>
            <family val="2"/>
          </rPr>
          <t>Identify TCF or FST location.
Leave blank if tether is NOT for a TCF or FST!</t>
        </r>
      </text>
    </comment>
    <comment ref="H56" authorId="0" shapeId="0">
      <text>
        <r>
          <rPr>
            <b/>
            <sz val="8"/>
            <color indexed="81"/>
            <rFont val="Tahoma"/>
            <family val="2"/>
          </rPr>
          <t>If any of these numbers are negative, check your PON count and Cable size</t>
        </r>
        <r>
          <rPr>
            <sz val="8"/>
            <color indexed="81"/>
            <rFont val="Tahoma"/>
            <family val="2"/>
          </rPr>
          <t xml:space="preserve">
</t>
        </r>
      </text>
    </comment>
    <comment ref="I56" authorId="0" shapeId="0">
      <text>
        <r>
          <rPr>
            <b/>
            <sz val="8"/>
            <color indexed="81"/>
            <rFont val="Tahoma"/>
            <family val="2"/>
          </rPr>
          <t>If any of these numbers are negative, check your PON count and Cable size</t>
        </r>
      </text>
    </comment>
    <comment ref="J5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text>
        <r>
          <rPr>
            <b/>
            <sz val="9"/>
            <color indexed="81"/>
            <rFont val="Tahoma"/>
            <family val="2"/>
          </rPr>
          <t>Leave blank if using 10' Terminal Tail
Enter Tail length if greater than 10'</t>
        </r>
      </text>
    </comment>
    <comment ref="M56" authorId="0" shapeId="0">
      <text>
        <r>
          <rPr>
            <b/>
            <sz val="8"/>
            <color indexed="81"/>
            <rFont val="Tahoma"/>
            <family val="2"/>
          </rPr>
          <t>Make design notes such as slack coils, realingment loops,  or location notes</t>
        </r>
      </text>
    </comment>
    <comment ref="Z56" authorId="0" shapeId="0">
      <text>
        <r>
          <rPr>
            <b/>
            <sz val="8"/>
            <color indexed="81"/>
            <rFont val="Tahoma"/>
            <family val="2"/>
          </rPr>
          <t>When using a 216, these are the 2-buffer tubes that can't be cross-assigned</t>
        </r>
        <r>
          <rPr>
            <sz val="8"/>
            <color indexed="81"/>
            <rFont val="Tahoma"/>
            <family val="2"/>
          </rPr>
          <t xml:space="preserve">
</t>
        </r>
      </text>
    </comment>
    <comment ref="AA56" authorId="0" shapeId="0">
      <text>
        <r>
          <rPr>
            <b/>
            <sz val="8"/>
            <color indexed="81"/>
            <rFont val="Tahoma"/>
            <family val="2"/>
          </rPr>
          <t xml:space="preserve">Counting from High count Backwards- this is Fiber Strand 145
</t>
        </r>
      </text>
    </comment>
    <comment ref="AB56" authorId="0" shapeId="0">
      <text>
        <r>
          <rPr>
            <b/>
            <sz val="8"/>
            <color indexed="81"/>
            <rFont val="Tahoma"/>
            <family val="2"/>
          </rPr>
          <t>Counting from High count Backwards- this is Fiber Strand 156</t>
        </r>
      </text>
    </comment>
    <comment ref="J58" authorId="1" shapeId="0">
      <text>
        <r>
          <rPr>
            <b/>
            <sz val="9"/>
            <color indexed="81"/>
            <rFont val="Tahoma"/>
            <family val="2"/>
          </rPr>
          <t>If this highlights as an error, consider upsizing the Tether size for better ribbon utilization</t>
        </r>
      </text>
    </comment>
    <comment ref="J59" authorId="1" shapeId="0">
      <text>
        <r>
          <rPr>
            <b/>
            <sz val="9"/>
            <color indexed="81"/>
            <rFont val="Tahoma"/>
            <family val="2"/>
          </rPr>
          <t>If this highlights as an error, consider upsizing the Tether size for better ribbon utilization</t>
        </r>
      </text>
    </comment>
    <comment ref="J60" authorId="1" shapeId="0">
      <text>
        <r>
          <rPr>
            <b/>
            <sz val="9"/>
            <color indexed="81"/>
            <rFont val="Tahoma"/>
            <family val="2"/>
          </rPr>
          <t>If this highlights as an error, consider upsizing the Tether size for better ribbon utilization</t>
        </r>
      </text>
    </comment>
    <comment ref="J61" authorId="1" shapeId="0">
      <text>
        <r>
          <rPr>
            <b/>
            <sz val="9"/>
            <color indexed="81"/>
            <rFont val="Tahoma"/>
            <family val="2"/>
          </rPr>
          <t>If this highlights as an error, consider upsizing the Tether size for better ribbon utilization</t>
        </r>
      </text>
    </comment>
    <comment ref="J62" authorId="1" shapeId="0">
      <text>
        <r>
          <rPr>
            <b/>
            <sz val="9"/>
            <color indexed="81"/>
            <rFont val="Tahoma"/>
            <family val="2"/>
          </rPr>
          <t>If this highlights as an error, consider upsizing the Tether size for better ribbon utilization</t>
        </r>
      </text>
    </comment>
    <comment ref="J63" authorId="1" shapeId="0">
      <text>
        <r>
          <rPr>
            <b/>
            <sz val="9"/>
            <color indexed="81"/>
            <rFont val="Tahoma"/>
            <family val="2"/>
          </rPr>
          <t>If this highlights as an error, consider upsizing the Tether size for better ribbon utilization</t>
        </r>
      </text>
    </comment>
    <comment ref="J64" authorId="1" shapeId="0">
      <text>
        <r>
          <rPr>
            <b/>
            <sz val="9"/>
            <color indexed="81"/>
            <rFont val="Tahoma"/>
            <family val="2"/>
          </rPr>
          <t>If this highlights as an error, consider upsizing the Tether size for better ribbon utilization</t>
        </r>
      </text>
    </comment>
    <comment ref="J65" authorId="1" shapeId="0">
      <text>
        <r>
          <rPr>
            <b/>
            <sz val="9"/>
            <color indexed="81"/>
            <rFont val="Tahoma"/>
            <family val="2"/>
          </rPr>
          <t>If this highlights as an error, consider upsizing the Tether size for better ribbon utilization</t>
        </r>
      </text>
    </comment>
    <comment ref="J66" authorId="1" shapeId="0">
      <text>
        <r>
          <rPr>
            <b/>
            <sz val="9"/>
            <color indexed="81"/>
            <rFont val="Tahoma"/>
            <family val="2"/>
          </rPr>
          <t>If this highlights as an error, consider upsizing the Tether size for better ribbon utilization</t>
        </r>
      </text>
    </comment>
    <comment ref="J67" authorId="1" shapeId="0">
      <text>
        <r>
          <rPr>
            <b/>
            <sz val="9"/>
            <color indexed="81"/>
            <rFont val="Tahoma"/>
            <family val="2"/>
          </rPr>
          <t>If this highlights as an error, consider upsizing the Tether size for better ribbon utilization</t>
        </r>
      </text>
    </comment>
    <comment ref="J68" authorId="1" shapeId="0">
      <text>
        <r>
          <rPr>
            <b/>
            <sz val="9"/>
            <color indexed="81"/>
            <rFont val="Tahoma"/>
            <family val="2"/>
          </rPr>
          <t>If this highlights as an error, consider upsizing the Tether size for better ribbon utilization</t>
        </r>
      </text>
    </comment>
    <comment ref="J69" authorId="1" shapeId="0">
      <text>
        <r>
          <rPr>
            <b/>
            <sz val="9"/>
            <color indexed="81"/>
            <rFont val="Tahoma"/>
            <family val="2"/>
          </rPr>
          <t>If this highlights as an error, consider upsizing the Tether size for better ribbon utilization</t>
        </r>
      </text>
    </comment>
    <comment ref="J70" authorId="1" shapeId="0">
      <text>
        <r>
          <rPr>
            <b/>
            <sz val="9"/>
            <color indexed="81"/>
            <rFont val="Tahoma"/>
            <family val="2"/>
          </rPr>
          <t>If this highlights as an error, consider upsizing the Tether size for better ribbon utilization</t>
        </r>
      </text>
    </comment>
    <comment ref="J71" authorId="1" shapeId="0">
      <text>
        <r>
          <rPr>
            <b/>
            <sz val="9"/>
            <color indexed="81"/>
            <rFont val="Tahoma"/>
            <family val="2"/>
          </rPr>
          <t>If this highlights as an error, consider upsizing the Tether size for better ribbon utilization</t>
        </r>
      </text>
    </comment>
    <comment ref="J72" authorId="1" shapeId="0">
      <text>
        <r>
          <rPr>
            <b/>
            <sz val="9"/>
            <color indexed="81"/>
            <rFont val="Tahoma"/>
            <family val="2"/>
          </rPr>
          <t>If this highlights as an error, consider upsizing the Tether size for better ribbon utilization</t>
        </r>
      </text>
    </comment>
    <comment ref="J73" authorId="1" shapeId="0">
      <text>
        <r>
          <rPr>
            <b/>
            <sz val="9"/>
            <color indexed="81"/>
            <rFont val="Tahoma"/>
            <family val="2"/>
          </rPr>
          <t>If this highlights as an error, consider upsizing the Tether size for better ribbon utilization</t>
        </r>
      </text>
    </comment>
    <comment ref="J74" authorId="1" shapeId="0">
      <text>
        <r>
          <rPr>
            <b/>
            <sz val="9"/>
            <color indexed="81"/>
            <rFont val="Tahoma"/>
            <family val="2"/>
          </rPr>
          <t>If this highlights as an error, consider upsizing the Tether size for better ribbon utilization</t>
        </r>
      </text>
    </comment>
    <comment ref="J75" authorId="1" shapeId="0">
      <text>
        <r>
          <rPr>
            <b/>
            <sz val="9"/>
            <color indexed="81"/>
            <rFont val="Tahoma"/>
            <family val="2"/>
          </rPr>
          <t>If this highlights as an error, consider upsizing the Tether size for better ribbon utilization</t>
        </r>
      </text>
    </comment>
    <comment ref="C76" authorId="1" shapeId="0">
      <text>
        <r>
          <rPr>
            <b/>
            <sz val="9"/>
            <color indexed="81"/>
            <rFont val="Tahoma"/>
            <family val="2"/>
          </rPr>
          <t>DBL REV requires TWO rows!
TPL REV requires THREE rows!
QD REV requires FOUR rows!</t>
        </r>
      </text>
    </comment>
    <comment ref="J76" authorId="1" shapeId="0">
      <text>
        <r>
          <rPr>
            <b/>
            <sz val="9"/>
            <color indexed="81"/>
            <rFont val="Tahoma"/>
            <family val="2"/>
          </rPr>
          <t>If this highlights as an error, consider upsizing the Tether size for better ribbon utilization</t>
        </r>
      </text>
    </comment>
    <comment ref="C77" authorId="1" shapeId="0">
      <text>
        <r>
          <rPr>
            <b/>
            <sz val="9"/>
            <color indexed="81"/>
            <rFont val="Tahoma"/>
            <family val="2"/>
          </rPr>
          <t>DBL REV requires TWO rows!
TPL REV requires THREE rows!
QD REV requires FOUR rows!</t>
        </r>
      </text>
    </comment>
    <comment ref="J77" authorId="1" shapeId="0">
      <text>
        <r>
          <rPr>
            <b/>
            <sz val="9"/>
            <color indexed="81"/>
            <rFont val="Tahoma"/>
            <family val="2"/>
          </rPr>
          <t>If this highlights as an error, consider upsizing the Tether size for better ribbon utilization</t>
        </r>
      </text>
    </comment>
    <comment ref="C78" authorId="1" shapeId="0">
      <text>
        <r>
          <rPr>
            <b/>
            <sz val="9"/>
            <color indexed="81"/>
            <rFont val="Tahoma"/>
            <family val="2"/>
          </rPr>
          <t>DBL REV requires TWO rows!
TPL REV requires THREE rows!
QD REV requires FOUR rows!</t>
        </r>
      </text>
    </comment>
    <comment ref="J78" authorId="1" shapeId="0">
      <text>
        <r>
          <rPr>
            <b/>
            <sz val="9"/>
            <color indexed="81"/>
            <rFont val="Tahoma"/>
            <family val="2"/>
          </rPr>
          <t>If this highlights as an error, consider upsizing the Tether size for better ribbon utilization</t>
        </r>
      </text>
    </comment>
    <comment ref="C79" authorId="1" shapeId="0">
      <text>
        <r>
          <rPr>
            <b/>
            <sz val="9"/>
            <color indexed="81"/>
            <rFont val="Tahoma"/>
            <family val="2"/>
          </rPr>
          <t>DBL REV requires TWO rows!
TPL REV requires THREE rows!
QD REV requires FOUR rows!</t>
        </r>
      </text>
    </comment>
    <comment ref="J79" authorId="1" shapeId="0">
      <text>
        <r>
          <rPr>
            <b/>
            <sz val="9"/>
            <color indexed="81"/>
            <rFont val="Tahoma"/>
            <family val="2"/>
          </rPr>
          <t>If this highlights as an error, consider upsizing the Tether size for better ribbon utilization</t>
        </r>
      </text>
    </comment>
    <comment ref="C80" authorId="1" shapeId="0">
      <text>
        <r>
          <rPr>
            <b/>
            <sz val="9"/>
            <color indexed="81"/>
            <rFont val="Tahoma"/>
            <family val="2"/>
          </rPr>
          <t>DBL REV requires TWO rows!
TPL REV requires THREE rows!
QD REV requires FOUR rows!</t>
        </r>
      </text>
    </comment>
    <comment ref="J80" authorId="1" shapeId="0">
      <text>
        <r>
          <rPr>
            <b/>
            <sz val="9"/>
            <color indexed="81"/>
            <rFont val="Tahoma"/>
            <family val="2"/>
          </rPr>
          <t>If this highlights as an error, consider upsizing the Tether size for better ribbon utilization</t>
        </r>
      </text>
    </comment>
    <comment ref="C81" authorId="1" shapeId="0">
      <text>
        <r>
          <rPr>
            <b/>
            <sz val="9"/>
            <color indexed="81"/>
            <rFont val="Tahoma"/>
            <family val="2"/>
          </rPr>
          <t>DBL REV requires TWO rows!
TPL REV requires THREE rows!
QD REV requires FOUR rows!</t>
        </r>
      </text>
    </comment>
    <comment ref="J81" authorId="1" shapeId="0">
      <text>
        <r>
          <rPr>
            <b/>
            <sz val="9"/>
            <color indexed="81"/>
            <rFont val="Tahoma"/>
            <family val="2"/>
          </rPr>
          <t>If this highlights as an error, consider upsizing the Tether size for better ribbon utilization</t>
        </r>
      </text>
    </comment>
    <comment ref="C82" authorId="1" shapeId="0">
      <text>
        <r>
          <rPr>
            <b/>
            <sz val="9"/>
            <color indexed="81"/>
            <rFont val="Tahoma"/>
            <family val="2"/>
          </rPr>
          <t>DBL REV requires TWO rows!
TPL REV requires THREE rows!
QD REV requires FOUR rows!</t>
        </r>
      </text>
    </comment>
    <comment ref="J82" authorId="1" shapeId="0">
      <text>
        <r>
          <rPr>
            <b/>
            <sz val="9"/>
            <color indexed="81"/>
            <rFont val="Tahoma"/>
            <family val="2"/>
          </rPr>
          <t>If this highlights as an error, consider upsizing the Tether size for better ribbon utilization</t>
        </r>
      </text>
    </comment>
    <comment ref="B8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text>
        <r>
          <rPr>
            <b/>
            <sz val="8"/>
            <color indexed="81"/>
            <rFont val="Tahoma"/>
            <family val="2"/>
          </rPr>
          <t>This will be added to Planning Load Block A for TOTAL</t>
        </r>
        <r>
          <rPr>
            <sz val="8"/>
            <color indexed="81"/>
            <rFont val="Tahoma"/>
            <family val="2"/>
          </rPr>
          <t xml:space="preserve">
</t>
        </r>
      </text>
    </comment>
    <comment ref="J88" authorId="0" shapeId="0">
      <text>
        <r>
          <rPr>
            <b/>
            <sz val="8"/>
            <color indexed="81"/>
            <rFont val="Tahoma"/>
            <family val="2"/>
          </rPr>
          <t>This is the PON OUT count that is not assigned in this cable reel.</t>
        </r>
        <r>
          <rPr>
            <sz val="8"/>
            <color indexed="81"/>
            <rFont val="Tahoma"/>
            <family val="2"/>
          </rPr>
          <t xml:space="preserve">
</t>
        </r>
      </text>
    </comment>
    <comment ref="P88" authorId="1" shapeId="0">
      <text>
        <r>
          <rPr>
            <b/>
            <sz val="9"/>
            <color indexed="81"/>
            <rFont val="Tahoma"/>
            <family val="2"/>
          </rPr>
          <t>REMEMBER: 2-Fbr Tethers are NOT available for RPX CABLE!</t>
        </r>
      </text>
    </comment>
    <comment ref="Q88" authorId="1" shapeId="0">
      <text>
        <r>
          <rPr>
            <b/>
            <sz val="9"/>
            <color indexed="81"/>
            <rFont val="Tahoma"/>
            <family val="2"/>
          </rPr>
          <t>REMEMBER: 2-Fbr Tethers are NOT available for RPX CABLE!</t>
        </r>
      </text>
    </comment>
    <comment ref="S88" authorId="1" shapeId="0">
      <text>
        <r>
          <rPr>
            <b/>
            <sz val="9"/>
            <color indexed="81"/>
            <rFont val="Tahoma"/>
            <family val="2"/>
          </rPr>
          <t>REMEMBER: 2-Fbr Tethers are NOT available for RPX CABLE!</t>
        </r>
      </text>
    </comment>
    <comment ref="T88" authorId="1" shapeId="0">
      <text>
        <r>
          <rPr>
            <b/>
            <sz val="9"/>
            <color indexed="81"/>
            <rFont val="Tahoma"/>
            <family val="2"/>
          </rPr>
          <t>REMEMBER: 2-Fbr Tethers are NOT available for RPX CABLE!</t>
        </r>
      </text>
    </comment>
    <comment ref="B8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text>
        <r>
          <rPr>
            <b/>
            <sz val="8"/>
            <color indexed="81"/>
            <rFont val="Tahoma"/>
            <family val="2"/>
          </rPr>
          <t>Make sure you add this number to "TAT FIBERS ASSIGNED" for the total required in the Load Block on the prints.</t>
        </r>
      </text>
    </comment>
    <comment ref="G89" authorId="0" shapeId="0">
      <text>
        <r>
          <rPr>
            <b/>
            <sz val="8"/>
            <color indexed="81"/>
            <rFont val="Tahoma"/>
            <family val="2"/>
          </rPr>
          <t>Includes "DEAD" Count (No PON count assigned)</t>
        </r>
      </text>
    </comment>
    <comment ref="I8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text>
        <r>
          <rPr>
            <b/>
            <sz val="9"/>
            <color indexed="81"/>
            <rFont val="Tahoma"/>
            <family val="2"/>
          </rPr>
          <t>REMEMBER: 6-Fbr Tethers are NOT available for RPX CABLE!</t>
        </r>
      </text>
    </comment>
    <comment ref="Q90" authorId="1" shapeId="0">
      <text>
        <r>
          <rPr>
            <b/>
            <sz val="9"/>
            <color indexed="81"/>
            <rFont val="Tahoma"/>
            <family val="2"/>
          </rPr>
          <t>REMEMBER: 6-Fbr Tethers are NOT available for RPX CABLE!</t>
        </r>
      </text>
    </comment>
    <comment ref="S90" authorId="1" shapeId="0">
      <text>
        <r>
          <rPr>
            <b/>
            <sz val="9"/>
            <color indexed="81"/>
            <rFont val="Tahoma"/>
            <family val="2"/>
          </rPr>
          <t>REMEMBER: 6-Fbr Tethers are NOT available for RPX CABLE!</t>
        </r>
      </text>
    </comment>
    <comment ref="T90" authorId="1" shapeId="0">
      <text>
        <r>
          <rPr>
            <b/>
            <sz val="9"/>
            <color indexed="81"/>
            <rFont val="Tahoma"/>
            <family val="2"/>
          </rPr>
          <t>REMEMBER: 6-Fbr Tethers are NOT available for AERIAL CABLE!</t>
        </r>
      </text>
    </comment>
    <comment ref="B9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text>
        <r>
          <rPr>
            <b/>
            <sz val="8"/>
            <color indexed="81"/>
            <rFont val="Tahoma"/>
            <family val="2"/>
          </rPr>
          <t>These are "manufacturing rules" and general warnings</t>
        </r>
        <r>
          <rPr>
            <sz val="8"/>
            <color indexed="81"/>
            <rFont val="Tahoma"/>
            <family val="2"/>
          </rPr>
          <t xml:space="preserve">
</t>
        </r>
      </text>
    </comment>
    <comment ref="B9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text>
        <r>
          <rPr>
            <b/>
            <sz val="8"/>
            <color indexed="81"/>
            <rFont val="Tahoma"/>
            <family val="2"/>
          </rPr>
          <t>This number is a sum of TOTAL PLANNED plus the ASSIGNED TO TETHERS</t>
        </r>
        <r>
          <rPr>
            <sz val="8"/>
            <color indexed="81"/>
            <rFont val="Tahoma"/>
            <family val="2"/>
          </rPr>
          <t xml:space="preserve">
</t>
        </r>
      </text>
    </comment>
    <comment ref="Z96" authorId="0" shapeId="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text>
        <r>
          <rPr>
            <b/>
            <sz val="8"/>
            <color indexed="81"/>
            <rFont val="Tahoma"/>
            <family val="2"/>
          </rPr>
          <t>Counting from High count Backwards- this is Fiber Strand 133</t>
        </r>
      </text>
    </comment>
    <comment ref="AB96" authorId="0" shapeId="0">
      <text>
        <r>
          <rPr>
            <b/>
            <sz val="8"/>
            <color indexed="81"/>
            <rFont val="Tahoma"/>
            <family val="2"/>
          </rPr>
          <t>Counting from High count Backwards- this is Fiber Strand 144</t>
        </r>
        <r>
          <rPr>
            <sz val="8"/>
            <color indexed="81"/>
            <rFont val="Tahoma"/>
            <family val="2"/>
          </rPr>
          <t xml:space="preserve">
</t>
        </r>
      </text>
    </comment>
    <comment ref="C97" authorId="0" shapeId="0">
      <text>
        <r>
          <rPr>
            <b/>
            <sz val="8"/>
            <color indexed="81"/>
            <rFont val="Tahoma"/>
            <family val="2"/>
          </rPr>
          <t xml:space="preserve">Select if this tether will be used to feed a CFST or a lateral cable. </t>
        </r>
      </text>
    </comment>
    <comment ref="D97" authorId="0" shapeId="0">
      <text>
        <r>
          <rPr>
            <b/>
            <sz val="8"/>
            <color indexed="81"/>
            <rFont val="Tahoma"/>
            <family val="2"/>
          </rPr>
          <t>Note the Terminal Address to keep your locations straight</t>
        </r>
        <r>
          <rPr>
            <sz val="8"/>
            <color indexed="81"/>
            <rFont val="Tahoma"/>
            <family val="2"/>
          </rPr>
          <t xml:space="preserve">
</t>
        </r>
      </text>
    </comment>
    <comment ref="E97" authorId="0" shapeId="0">
      <text>
        <r>
          <rPr>
            <b/>
            <sz val="9"/>
            <color indexed="81"/>
            <rFont val="Calibri"/>
            <family val="2"/>
            <scheme val="minor"/>
          </rPr>
          <t>Pick the Tether Size for the location</t>
        </r>
        <r>
          <rPr>
            <sz val="8"/>
            <color indexed="81"/>
            <rFont val="Tahoma"/>
            <family val="2"/>
          </rPr>
          <t xml:space="preserve">
</t>
        </r>
      </text>
    </comment>
    <comment ref="F97" authorId="2" shapeId="0">
      <text>
        <r>
          <rPr>
            <b/>
            <sz val="9"/>
            <color indexed="81"/>
            <rFont val="Tahoma"/>
            <family val="2"/>
          </rPr>
          <t>Identify TCF or FST location.
Leave blank if tether is NOT for a TCF or FST!</t>
        </r>
      </text>
    </comment>
    <comment ref="H97" authorId="0" shapeId="0">
      <text>
        <r>
          <rPr>
            <b/>
            <sz val="8"/>
            <color indexed="81"/>
            <rFont val="Tahoma"/>
            <family val="2"/>
          </rPr>
          <t>If any of these numbers are negative, check your PON count and Cable size</t>
        </r>
        <r>
          <rPr>
            <sz val="8"/>
            <color indexed="81"/>
            <rFont val="Tahoma"/>
            <family val="2"/>
          </rPr>
          <t xml:space="preserve">
</t>
        </r>
      </text>
    </comment>
    <comment ref="I97" authorId="0" shapeId="0">
      <text>
        <r>
          <rPr>
            <b/>
            <sz val="8"/>
            <color indexed="81"/>
            <rFont val="Tahoma"/>
            <family val="2"/>
          </rPr>
          <t>If any of these numbers are negative, check your PON count and Cable size</t>
        </r>
      </text>
    </comment>
    <comment ref="J9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text>
        <r>
          <rPr>
            <b/>
            <sz val="9"/>
            <color indexed="81"/>
            <rFont val="Tahoma"/>
            <family val="2"/>
          </rPr>
          <t>Leave blank if using 10' Terminal Tail
Enter Tail length if greater than 10'</t>
        </r>
      </text>
    </comment>
    <comment ref="M97" authorId="0" shapeId="0">
      <text>
        <r>
          <rPr>
            <b/>
            <sz val="8"/>
            <color indexed="81"/>
            <rFont val="Tahoma"/>
            <family val="2"/>
          </rPr>
          <t>Make design notes such as slack coils, realingment loops,  or location notes</t>
        </r>
      </text>
    </comment>
    <comment ref="Z97" authorId="0" shapeId="0">
      <text>
        <r>
          <rPr>
            <b/>
            <sz val="8"/>
            <color indexed="81"/>
            <rFont val="Tahoma"/>
            <family val="2"/>
          </rPr>
          <t>When using a 216, these are the 2-buffer tubes that can't be cross-assigned</t>
        </r>
        <r>
          <rPr>
            <sz val="8"/>
            <color indexed="81"/>
            <rFont val="Tahoma"/>
            <family val="2"/>
          </rPr>
          <t xml:space="preserve">
</t>
        </r>
      </text>
    </comment>
    <comment ref="AA97" authorId="0" shapeId="0">
      <text>
        <r>
          <rPr>
            <b/>
            <sz val="8"/>
            <color indexed="81"/>
            <rFont val="Tahoma"/>
            <family val="2"/>
          </rPr>
          <t xml:space="preserve">Counting from High count Backwards- this is Fiber Strand 145
</t>
        </r>
      </text>
    </comment>
    <comment ref="AB97" authorId="0" shapeId="0">
      <text>
        <r>
          <rPr>
            <b/>
            <sz val="8"/>
            <color indexed="81"/>
            <rFont val="Tahoma"/>
            <family val="2"/>
          </rPr>
          <t>Counting from High count Backwards- this is Fiber Strand 156</t>
        </r>
      </text>
    </comment>
    <comment ref="J99" authorId="1" shapeId="0">
      <text>
        <r>
          <rPr>
            <b/>
            <sz val="9"/>
            <color indexed="81"/>
            <rFont val="Tahoma"/>
            <family val="2"/>
          </rPr>
          <t>If this highlights as an error, consider upsizing the Tether size for better ribbon utilization</t>
        </r>
      </text>
    </comment>
    <comment ref="J100" authorId="1" shapeId="0">
      <text>
        <r>
          <rPr>
            <b/>
            <sz val="9"/>
            <color indexed="81"/>
            <rFont val="Tahoma"/>
            <family val="2"/>
          </rPr>
          <t>If this highlights as an error, consider upsizing the Tether size for better ribbon utilization</t>
        </r>
      </text>
    </comment>
    <comment ref="J101" authorId="1" shapeId="0">
      <text>
        <r>
          <rPr>
            <b/>
            <sz val="9"/>
            <color indexed="81"/>
            <rFont val="Tahoma"/>
            <family val="2"/>
          </rPr>
          <t>If this highlights as an error, consider upsizing the Tether size for better ribbon utilization</t>
        </r>
      </text>
    </comment>
    <comment ref="J102" authorId="1" shapeId="0">
      <text>
        <r>
          <rPr>
            <b/>
            <sz val="9"/>
            <color indexed="81"/>
            <rFont val="Tahoma"/>
            <family val="2"/>
          </rPr>
          <t>If this highlights as an error, consider upsizing the Tether size for better ribbon utilization</t>
        </r>
      </text>
    </comment>
    <comment ref="J103" authorId="1" shapeId="0">
      <text>
        <r>
          <rPr>
            <b/>
            <sz val="9"/>
            <color indexed="81"/>
            <rFont val="Tahoma"/>
            <family val="2"/>
          </rPr>
          <t>If this highlights as an error, consider upsizing the Tether size for better ribbon utilization</t>
        </r>
      </text>
    </comment>
    <comment ref="J104" authorId="1" shapeId="0">
      <text>
        <r>
          <rPr>
            <b/>
            <sz val="9"/>
            <color indexed="81"/>
            <rFont val="Tahoma"/>
            <family val="2"/>
          </rPr>
          <t>If this highlights as an error, consider upsizing the Tether size for better ribbon utilization</t>
        </r>
      </text>
    </comment>
    <comment ref="J105" authorId="1" shapeId="0">
      <text>
        <r>
          <rPr>
            <b/>
            <sz val="9"/>
            <color indexed="81"/>
            <rFont val="Tahoma"/>
            <family val="2"/>
          </rPr>
          <t>If this highlights as an error, consider upsizing the Tether size for better ribbon utilization</t>
        </r>
      </text>
    </comment>
    <comment ref="J106" authorId="1" shapeId="0">
      <text>
        <r>
          <rPr>
            <b/>
            <sz val="9"/>
            <color indexed="81"/>
            <rFont val="Tahoma"/>
            <family val="2"/>
          </rPr>
          <t>If this highlights as an error, consider upsizing the Tether size for better ribbon utilization</t>
        </r>
      </text>
    </comment>
    <comment ref="J107" authorId="1" shapeId="0">
      <text>
        <r>
          <rPr>
            <b/>
            <sz val="9"/>
            <color indexed="81"/>
            <rFont val="Tahoma"/>
            <family val="2"/>
          </rPr>
          <t>If this highlights as an error, consider upsizing the Tether size for better ribbon utilization</t>
        </r>
      </text>
    </comment>
    <comment ref="J108" authorId="1" shapeId="0">
      <text>
        <r>
          <rPr>
            <b/>
            <sz val="9"/>
            <color indexed="81"/>
            <rFont val="Tahoma"/>
            <family val="2"/>
          </rPr>
          <t>If this highlights as an error, consider upsizing the Tether size for better ribbon utilization</t>
        </r>
      </text>
    </comment>
    <comment ref="J109" authorId="1" shapeId="0">
      <text>
        <r>
          <rPr>
            <b/>
            <sz val="9"/>
            <color indexed="81"/>
            <rFont val="Tahoma"/>
            <family val="2"/>
          </rPr>
          <t>If this highlights as an error, consider upsizing the Tether size for better ribbon utilization</t>
        </r>
      </text>
    </comment>
    <comment ref="J110" authorId="1" shapeId="0">
      <text>
        <r>
          <rPr>
            <b/>
            <sz val="9"/>
            <color indexed="81"/>
            <rFont val="Tahoma"/>
            <family val="2"/>
          </rPr>
          <t>If this highlights as an error, consider upsizing the Tether size for better ribbon utilization</t>
        </r>
      </text>
    </comment>
    <comment ref="J111" authorId="1" shapeId="0">
      <text>
        <r>
          <rPr>
            <b/>
            <sz val="9"/>
            <color indexed="81"/>
            <rFont val="Tahoma"/>
            <family val="2"/>
          </rPr>
          <t>If this highlights as an error, consider upsizing the Tether size for better ribbon utilization</t>
        </r>
      </text>
    </comment>
    <comment ref="J112" authorId="1" shapeId="0">
      <text>
        <r>
          <rPr>
            <b/>
            <sz val="9"/>
            <color indexed="81"/>
            <rFont val="Tahoma"/>
            <family val="2"/>
          </rPr>
          <t>If this highlights as an error, consider upsizing the Tether size for better ribbon utilization</t>
        </r>
      </text>
    </comment>
    <comment ref="J113" authorId="1" shapeId="0">
      <text>
        <r>
          <rPr>
            <b/>
            <sz val="9"/>
            <color indexed="81"/>
            <rFont val="Tahoma"/>
            <family val="2"/>
          </rPr>
          <t>If this highlights as an error, consider upsizing the Tether size for better ribbon utilization</t>
        </r>
      </text>
    </comment>
    <comment ref="J114" authorId="1" shapeId="0">
      <text>
        <r>
          <rPr>
            <b/>
            <sz val="9"/>
            <color indexed="81"/>
            <rFont val="Tahoma"/>
            <family val="2"/>
          </rPr>
          <t>If this highlights as an error, consider upsizing the Tether size for better ribbon utilization</t>
        </r>
      </text>
    </comment>
    <comment ref="J115" authorId="1" shapeId="0">
      <text>
        <r>
          <rPr>
            <b/>
            <sz val="9"/>
            <color indexed="81"/>
            <rFont val="Tahoma"/>
            <family val="2"/>
          </rPr>
          <t>If this highlights as an error, consider upsizing the Tether size for better ribbon utilization</t>
        </r>
      </text>
    </comment>
    <comment ref="J116" authorId="1" shapeId="0">
      <text>
        <r>
          <rPr>
            <b/>
            <sz val="9"/>
            <color indexed="81"/>
            <rFont val="Tahoma"/>
            <family val="2"/>
          </rPr>
          <t>If this highlights as an error, consider upsizing the Tether size for better ribbon utilization</t>
        </r>
      </text>
    </comment>
    <comment ref="C117" authorId="1" shapeId="0">
      <text>
        <r>
          <rPr>
            <b/>
            <sz val="9"/>
            <color indexed="81"/>
            <rFont val="Tahoma"/>
            <family val="2"/>
          </rPr>
          <t>DBL REV requires TWO rows!
TPL REV requires THREE rows!
QD REV requires FOUR rows!</t>
        </r>
      </text>
    </comment>
    <comment ref="J117" authorId="1" shapeId="0">
      <text>
        <r>
          <rPr>
            <b/>
            <sz val="9"/>
            <color indexed="81"/>
            <rFont val="Tahoma"/>
            <family val="2"/>
          </rPr>
          <t>If this highlights as an error, consider upsizing the Tether size for better ribbon utilization</t>
        </r>
      </text>
    </comment>
    <comment ref="C118" authorId="1" shapeId="0">
      <text>
        <r>
          <rPr>
            <b/>
            <sz val="9"/>
            <color indexed="81"/>
            <rFont val="Tahoma"/>
            <family val="2"/>
          </rPr>
          <t>DBL REV requires TWO rows!
TPL REV requires THREE rows!
QD REV requires FOUR rows!</t>
        </r>
      </text>
    </comment>
    <comment ref="J118" authorId="1" shapeId="0">
      <text>
        <r>
          <rPr>
            <b/>
            <sz val="9"/>
            <color indexed="81"/>
            <rFont val="Tahoma"/>
            <family val="2"/>
          </rPr>
          <t>If this highlights as an error, consider upsizing the Tether size for better ribbon utilization</t>
        </r>
      </text>
    </comment>
    <comment ref="C119" authorId="1" shapeId="0">
      <text>
        <r>
          <rPr>
            <b/>
            <sz val="9"/>
            <color indexed="81"/>
            <rFont val="Tahoma"/>
            <family val="2"/>
          </rPr>
          <t>DBL REV requires TWO rows!
TPL REV requires THREE rows!
QD REV requires FOUR rows!</t>
        </r>
      </text>
    </comment>
    <comment ref="J119" authorId="1" shapeId="0">
      <text>
        <r>
          <rPr>
            <b/>
            <sz val="9"/>
            <color indexed="81"/>
            <rFont val="Tahoma"/>
            <family val="2"/>
          </rPr>
          <t>If this highlights as an error, consider upsizing the Tether size for better ribbon utilization</t>
        </r>
      </text>
    </comment>
    <comment ref="C120" authorId="1" shapeId="0">
      <text>
        <r>
          <rPr>
            <b/>
            <sz val="9"/>
            <color indexed="81"/>
            <rFont val="Tahoma"/>
            <family val="2"/>
          </rPr>
          <t>DBL REV requires TWO rows!
TPL REV requires THREE rows!
QD REV requires FOUR rows!</t>
        </r>
      </text>
    </comment>
    <comment ref="J120" authorId="1" shapeId="0">
      <text>
        <r>
          <rPr>
            <b/>
            <sz val="9"/>
            <color indexed="81"/>
            <rFont val="Tahoma"/>
            <family val="2"/>
          </rPr>
          <t>If this highlights as an error, consider upsizing the Tether size for better ribbon utilization</t>
        </r>
      </text>
    </comment>
    <comment ref="C121" authorId="1" shapeId="0">
      <text>
        <r>
          <rPr>
            <b/>
            <sz val="9"/>
            <color indexed="81"/>
            <rFont val="Tahoma"/>
            <family val="2"/>
          </rPr>
          <t>DBL REV requires TWO rows!
TPL REV requires THREE rows!
QD REV requires FOUR rows!</t>
        </r>
      </text>
    </comment>
    <comment ref="J121" authorId="1" shapeId="0">
      <text>
        <r>
          <rPr>
            <b/>
            <sz val="9"/>
            <color indexed="81"/>
            <rFont val="Tahoma"/>
            <family val="2"/>
          </rPr>
          <t>If this highlights as an error, consider upsizing the Tether size for better ribbon utilization</t>
        </r>
      </text>
    </comment>
    <comment ref="C122" authorId="1" shapeId="0">
      <text>
        <r>
          <rPr>
            <b/>
            <sz val="9"/>
            <color indexed="81"/>
            <rFont val="Tahoma"/>
            <family val="2"/>
          </rPr>
          <t>DBL REV requires TWO rows!
TPL REV requires THREE rows!
QD REV requires FOUR rows!</t>
        </r>
      </text>
    </comment>
    <comment ref="J122" authorId="1" shapeId="0">
      <text>
        <r>
          <rPr>
            <b/>
            <sz val="9"/>
            <color indexed="81"/>
            <rFont val="Tahoma"/>
            <family val="2"/>
          </rPr>
          <t>If this highlights as an error, consider upsizing the Tether size for better ribbon utilization</t>
        </r>
      </text>
    </comment>
    <comment ref="C123" authorId="1" shapeId="0">
      <text>
        <r>
          <rPr>
            <b/>
            <sz val="9"/>
            <color indexed="81"/>
            <rFont val="Tahoma"/>
            <family val="2"/>
          </rPr>
          <t>DBL REV requires TWO rows!
TPL REV requires THREE rows!
QD REV requires FOUR rows!</t>
        </r>
      </text>
    </comment>
    <comment ref="J123" authorId="1" shapeId="0">
      <text>
        <r>
          <rPr>
            <b/>
            <sz val="9"/>
            <color indexed="81"/>
            <rFont val="Tahoma"/>
            <family val="2"/>
          </rPr>
          <t>If this highlights as an error, consider upsizing the Tether size for better ribbon utilization</t>
        </r>
      </text>
    </comment>
    <comment ref="B12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text>
        <r>
          <rPr>
            <b/>
            <sz val="8"/>
            <color indexed="81"/>
            <rFont val="Tahoma"/>
            <family val="2"/>
          </rPr>
          <t>This will be added to Planning Load Block A for TOTAL</t>
        </r>
        <r>
          <rPr>
            <sz val="8"/>
            <color indexed="81"/>
            <rFont val="Tahoma"/>
            <family val="2"/>
          </rPr>
          <t xml:space="preserve">
</t>
        </r>
      </text>
    </comment>
    <comment ref="J129" authorId="0" shapeId="0">
      <text>
        <r>
          <rPr>
            <b/>
            <sz val="8"/>
            <color indexed="81"/>
            <rFont val="Tahoma"/>
            <family val="2"/>
          </rPr>
          <t>This is the PON OUT count that is not assigned in this cable reel.</t>
        </r>
        <r>
          <rPr>
            <sz val="8"/>
            <color indexed="81"/>
            <rFont val="Tahoma"/>
            <family val="2"/>
          </rPr>
          <t xml:space="preserve">
</t>
        </r>
      </text>
    </comment>
    <comment ref="P129" authorId="1" shapeId="0">
      <text>
        <r>
          <rPr>
            <b/>
            <sz val="9"/>
            <color indexed="81"/>
            <rFont val="Tahoma"/>
            <family val="2"/>
          </rPr>
          <t>REMEMBER: 2-Fbr Tethers are NOT available for RPX CABLE!</t>
        </r>
      </text>
    </comment>
    <comment ref="Q129" authorId="1" shapeId="0">
      <text>
        <r>
          <rPr>
            <b/>
            <sz val="9"/>
            <color indexed="81"/>
            <rFont val="Tahoma"/>
            <family val="2"/>
          </rPr>
          <t>REMEMBER: 2-Fbr Tethers are NOT available for RPX CABLE!</t>
        </r>
      </text>
    </comment>
    <comment ref="S129" authorId="1" shapeId="0">
      <text>
        <r>
          <rPr>
            <b/>
            <sz val="9"/>
            <color indexed="81"/>
            <rFont val="Tahoma"/>
            <family val="2"/>
          </rPr>
          <t>REMEMBER: 2-Fbr Tethers are NOT available for RPX CABLE!</t>
        </r>
      </text>
    </comment>
    <comment ref="T129" authorId="1" shapeId="0">
      <text>
        <r>
          <rPr>
            <b/>
            <sz val="9"/>
            <color indexed="81"/>
            <rFont val="Tahoma"/>
            <family val="2"/>
          </rPr>
          <t>REMEMBER: 2-Fbr Tethers are NOT available for RPX CABLE!</t>
        </r>
      </text>
    </comment>
    <comment ref="B13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text>
        <r>
          <rPr>
            <b/>
            <sz val="8"/>
            <color indexed="81"/>
            <rFont val="Tahoma"/>
            <family val="2"/>
          </rPr>
          <t>Make sure you add this number to "TAT FIBERS ASSIGNED" for the total required in the Load Block on the prints.</t>
        </r>
      </text>
    </comment>
    <comment ref="G130" authorId="0" shapeId="0">
      <text>
        <r>
          <rPr>
            <b/>
            <sz val="8"/>
            <color indexed="81"/>
            <rFont val="Tahoma"/>
            <family val="2"/>
          </rPr>
          <t>Includes "DEAD" Count (No PON count assigned)</t>
        </r>
      </text>
    </comment>
    <comment ref="I13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text>
        <r>
          <rPr>
            <b/>
            <sz val="9"/>
            <color indexed="81"/>
            <rFont val="Tahoma"/>
            <family val="2"/>
          </rPr>
          <t>REMEMBER: 6-Fbr Tethers are NOT available for RPX CABLE!</t>
        </r>
      </text>
    </comment>
    <comment ref="Q131" authorId="1" shapeId="0">
      <text>
        <r>
          <rPr>
            <b/>
            <sz val="9"/>
            <color indexed="81"/>
            <rFont val="Tahoma"/>
            <family val="2"/>
          </rPr>
          <t>REMEMBER: 6-Fbr Tethers are NOT available for RPX CABLE!</t>
        </r>
      </text>
    </comment>
    <comment ref="S131" authorId="1" shapeId="0">
      <text>
        <r>
          <rPr>
            <b/>
            <sz val="9"/>
            <color indexed="81"/>
            <rFont val="Tahoma"/>
            <family val="2"/>
          </rPr>
          <t>REMEMBER: 6-Fbr Tethers are NOT available for RPX CABLE!</t>
        </r>
      </text>
    </comment>
    <comment ref="T131" authorId="1" shapeId="0">
      <text>
        <r>
          <rPr>
            <b/>
            <sz val="9"/>
            <color indexed="81"/>
            <rFont val="Tahoma"/>
            <family val="2"/>
          </rPr>
          <t>REMEMBER: 6-Fbr Tethers are NOT available for AERIAL CABLE!</t>
        </r>
      </text>
    </comment>
    <comment ref="B13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text>
        <r>
          <rPr>
            <b/>
            <sz val="8"/>
            <color indexed="81"/>
            <rFont val="Tahoma"/>
            <family val="2"/>
          </rPr>
          <t>These are "manufacturing rules" and general warnings</t>
        </r>
        <r>
          <rPr>
            <sz val="8"/>
            <color indexed="81"/>
            <rFont val="Tahoma"/>
            <family val="2"/>
          </rPr>
          <t xml:space="preserve">
</t>
        </r>
      </text>
    </comment>
    <comment ref="B13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text>
        <r>
          <rPr>
            <b/>
            <sz val="8"/>
            <color indexed="81"/>
            <rFont val="Tahoma"/>
            <family val="2"/>
          </rPr>
          <t>This number is a sum of TOTAL PLANNED plus the ASSIGNED TO TETHERS</t>
        </r>
        <r>
          <rPr>
            <sz val="8"/>
            <color indexed="81"/>
            <rFont val="Tahoma"/>
            <family val="2"/>
          </rPr>
          <t xml:space="preserve">
</t>
        </r>
      </text>
    </comment>
    <comment ref="Z137" authorId="0" shapeId="0">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text>
        <r>
          <rPr>
            <b/>
            <sz val="8"/>
            <color indexed="81"/>
            <rFont val="Tahoma"/>
            <family val="2"/>
          </rPr>
          <t>Counting from High count Backwards- this is Fiber Strand 133</t>
        </r>
      </text>
    </comment>
    <comment ref="AB137" authorId="0" shapeId="0">
      <text>
        <r>
          <rPr>
            <b/>
            <sz val="8"/>
            <color indexed="81"/>
            <rFont val="Tahoma"/>
            <family val="2"/>
          </rPr>
          <t>Counting from High count Backwards- this is Fiber Strand 144</t>
        </r>
        <r>
          <rPr>
            <sz val="8"/>
            <color indexed="81"/>
            <rFont val="Tahoma"/>
            <family val="2"/>
          </rPr>
          <t xml:space="preserve">
</t>
        </r>
      </text>
    </comment>
    <comment ref="C138" authorId="0" shapeId="0">
      <text>
        <r>
          <rPr>
            <b/>
            <sz val="8"/>
            <color indexed="81"/>
            <rFont val="Tahoma"/>
            <family val="2"/>
          </rPr>
          <t xml:space="preserve">Select if this tether will be used to feed a CFST or a lateral cable. </t>
        </r>
      </text>
    </comment>
    <comment ref="D138" authorId="0" shapeId="0">
      <text>
        <r>
          <rPr>
            <b/>
            <sz val="8"/>
            <color indexed="81"/>
            <rFont val="Tahoma"/>
            <family val="2"/>
          </rPr>
          <t>Note the Terminal Address to keep your locations straight</t>
        </r>
        <r>
          <rPr>
            <sz val="8"/>
            <color indexed="81"/>
            <rFont val="Tahoma"/>
            <family val="2"/>
          </rPr>
          <t xml:space="preserve">
</t>
        </r>
      </text>
    </comment>
    <comment ref="E138" authorId="0" shapeId="0">
      <text>
        <r>
          <rPr>
            <b/>
            <sz val="9"/>
            <color indexed="81"/>
            <rFont val="Calibri"/>
            <family val="2"/>
            <scheme val="minor"/>
          </rPr>
          <t>Pick the Tether Size for the location</t>
        </r>
        <r>
          <rPr>
            <sz val="8"/>
            <color indexed="81"/>
            <rFont val="Tahoma"/>
            <family val="2"/>
          </rPr>
          <t xml:space="preserve">
</t>
        </r>
      </text>
    </comment>
    <comment ref="F138" authorId="2" shapeId="0">
      <text>
        <r>
          <rPr>
            <b/>
            <sz val="9"/>
            <color indexed="81"/>
            <rFont val="Tahoma"/>
            <family val="2"/>
          </rPr>
          <t>Identify TCF or FST location.
Leave blank if tether is NOT for a TCF or FST!</t>
        </r>
      </text>
    </comment>
    <comment ref="H138" authorId="0" shapeId="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text>
        <r>
          <rPr>
            <b/>
            <sz val="8"/>
            <color indexed="81"/>
            <rFont val="Tahoma"/>
            <family val="2"/>
          </rPr>
          <t>If any of these numbers are negative, check your PON count and Cable size</t>
        </r>
      </text>
    </comment>
    <comment ref="J13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text>
        <r>
          <rPr>
            <b/>
            <sz val="9"/>
            <color indexed="81"/>
            <rFont val="Tahoma"/>
            <family val="2"/>
          </rPr>
          <t>Leave blank if using 10' Terminal Tail
Enter Tail length if greater than 10'</t>
        </r>
      </text>
    </comment>
    <comment ref="M138" authorId="0" shapeId="0">
      <text>
        <r>
          <rPr>
            <b/>
            <sz val="8"/>
            <color indexed="81"/>
            <rFont val="Tahoma"/>
            <family val="2"/>
          </rPr>
          <t>Make design notes such as slack coils, realingment loops,  or location notes</t>
        </r>
      </text>
    </comment>
    <comment ref="Z138" authorId="0" shapeId="0">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text>
        <r>
          <rPr>
            <b/>
            <sz val="8"/>
            <color indexed="81"/>
            <rFont val="Tahoma"/>
            <family val="2"/>
          </rPr>
          <t xml:space="preserve">Counting from High count Backwards- this is Fiber Strand 145
</t>
        </r>
      </text>
    </comment>
    <comment ref="AB138" authorId="0" shapeId="0">
      <text>
        <r>
          <rPr>
            <b/>
            <sz val="8"/>
            <color indexed="81"/>
            <rFont val="Tahoma"/>
            <family val="2"/>
          </rPr>
          <t>Counting from High count Backwards- this is Fiber Strand 156</t>
        </r>
      </text>
    </comment>
    <comment ref="J140" authorId="1" shapeId="0">
      <text>
        <r>
          <rPr>
            <b/>
            <sz val="9"/>
            <color indexed="81"/>
            <rFont val="Tahoma"/>
            <family val="2"/>
          </rPr>
          <t>If this highlights as an error, consider upsizing the Tether size for better ribbon utilization</t>
        </r>
      </text>
    </comment>
    <comment ref="J141" authorId="1" shapeId="0">
      <text>
        <r>
          <rPr>
            <b/>
            <sz val="9"/>
            <color indexed="81"/>
            <rFont val="Tahoma"/>
            <family val="2"/>
          </rPr>
          <t>If this highlights as an error, consider upsizing the Tether size for better ribbon utilization</t>
        </r>
      </text>
    </comment>
    <comment ref="J142" authorId="1" shapeId="0">
      <text>
        <r>
          <rPr>
            <b/>
            <sz val="9"/>
            <color indexed="81"/>
            <rFont val="Tahoma"/>
            <family val="2"/>
          </rPr>
          <t>If this highlights as an error, consider upsizing the Tether size for better ribbon utilization</t>
        </r>
      </text>
    </comment>
    <comment ref="J143" authorId="1" shapeId="0">
      <text>
        <r>
          <rPr>
            <b/>
            <sz val="9"/>
            <color indexed="81"/>
            <rFont val="Tahoma"/>
            <family val="2"/>
          </rPr>
          <t>If this highlights as an error, consider upsizing the Tether size for better ribbon utilization</t>
        </r>
      </text>
    </comment>
    <comment ref="J144" authorId="1" shapeId="0">
      <text>
        <r>
          <rPr>
            <b/>
            <sz val="9"/>
            <color indexed="81"/>
            <rFont val="Tahoma"/>
            <family val="2"/>
          </rPr>
          <t>If this highlights as an error, consider upsizing the Tether size for better ribbon utilization</t>
        </r>
      </text>
    </comment>
    <comment ref="J145" authorId="1" shapeId="0">
      <text>
        <r>
          <rPr>
            <b/>
            <sz val="9"/>
            <color indexed="81"/>
            <rFont val="Tahoma"/>
            <family val="2"/>
          </rPr>
          <t>If this highlights as an error, consider upsizing the Tether size for better ribbon utilization</t>
        </r>
      </text>
    </comment>
    <comment ref="J146" authorId="1" shapeId="0">
      <text>
        <r>
          <rPr>
            <b/>
            <sz val="9"/>
            <color indexed="81"/>
            <rFont val="Tahoma"/>
            <family val="2"/>
          </rPr>
          <t>If this highlights as an error, consider upsizing the Tether size for better ribbon utilization</t>
        </r>
      </text>
    </comment>
    <comment ref="J147" authorId="1" shapeId="0">
      <text>
        <r>
          <rPr>
            <b/>
            <sz val="9"/>
            <color indexed="81"/>
            <rFont val="Tahoma"/>
            <family val="2"/>
          </rPr>
          <t>If this highlights as an error, consider upsizing the Tether size for better ribbon utilization</t>
        </r>
      </text>
    </comment>
    <comment ref="J148" authorId="1" shapeId="0">
      <text>
        <r>
          <rPr>
            <b/>
            <sz val="9"/>
            <color indexed="81"/>
            <rFont val="Tahoma"/>
            <family val="2"/>
          </rPr>
          <t>If this highlights as an error, consider upsizing the Tether size for better ribbon utilization</t>
        </r>
      </text>
    </comment>
    <comment ref="J149" authorId="1" shapeId="0">
      <text>
        <r>
          <rPr>
            <b/>
            <sz val="9"/>
            <color indexed="81"/>
            <rFont val="Tahoma"/>
            <family val="2"/>
          </rPr>
          <t>If this highlights as an error, consider upsizing the Tether size for better ribbon utilization</t>
        </r>
      </text>
    </comment>
    <comment ref="J150" authorId="1" shapeId="0">
      <text>
        <r>
          <rPr>
            <b/>
            <sz val="9"/>
            <color indexed="81"/>
            <rFont val="Tahoma"/>
            <family val="2"/>
          </rPr>
          <t>If this highlights as an error, consider upsizing the Tether size for better ribbon utilization</t>
        </r>
      </text>
    </comment>
    <comment ref="J151" authorId="1" shapeId="0">
      <text>
        <r>
          <rPr>
            <b/>
            <sz val="9"/>
            <color indexed="81"/>
            <rFont val="Tahoma"/>
            <family val="2"/>
          </rPr>
          <t>If this highlights as an error, consider upsizing the Tether size for better ribbon utilization</t>
        </r>
      </text>
    </comment>
    <comment ref="J152" authorId="1" shapeId="0">
      <text>
        <r>
          <rPr>
            <b/>
            <sz val="9"/>
            <color indexed="81"/>
            <rFont val="Tahoma"/>
            <family val="2"/>
          </rPr>
          <t>If this highlights as an error, consider upsizing the Tether size for better ribbon utilization</t>
        </r>
      </text>
    </comment>
    <comment ref="J153" authorId="1" shapeId="0">
      <text>
        <r>
          <rPr>
            <b/>
            <sz val="9"/>
            <color indexed="81"/>
            <rFont val="Tahoma"/>
            <family val="2"/>
          </rPr>
          <t>If this highlights as an error, consider upsizing the Tether size for better ribbon utilization</t>
        </r>
      </text>
    </comment>
    <comment ref="J154" authorId="1" shapeId="0">
      <text>
        <r>
          <rPr>
            <b/>
            <sz val="9"/>
            <color indexed="81"/>
            <rFont val="Tahoma"/>
            <family val="2"/>
          </rPr>
          <t>If this highlights as an error, consider upsizing the Tether size for better ribbon utilization</t>
        </r>
      </text>
    </comment>
    <comment ref="J155" authorId="1" shapeId="0">
      <text>
        <r>
          <rPr>
            <b/>
            <sz val="9"/>
            <color indexed="81"/>
            <rFont val="Tahoma"/>
            <family val="2"/>
          </rPr>
          <t>If this highlights as an error, consider upsizing the Tether size for better ribbon utilization</t>
        </r>
      </text>
    </comment>
    <comment ref="J156" authorId="1" shapeId="0">
      <text>
        <r>
          <rPr>
            <b/>
            <sz val="9"/>
            <color indexed="81"/>
            <rFont val="Tahoma"/>
            <family val="2"/>
          </rPr>
          <t>If this highlights as an error, consider upsizing the Tether size for better ribbon utilization</t>
        </r>
      </text>
    </comment>
    <comment ref="J157" authorId="1" shapeId="0">
      <text>
        <r>
          <rPr>
            <b/>
            <sz val="9"/>
            <color indexed="81"/>
            <rFont val="Tahoma"/>
            <family val="2"/>
          </rPr>
          <t>If this highlights as an error, consider upsizing the Tether size for better ribbon utilization</t>
        </r>
      </text>
    </comment>
    <comment ref="C158" authorId="1" shapeId="0">
      <text>
        <r>
          <rPr>
            <b/>
            <sz val="9"/>
            <color indexed="81"/>
            <rFont val="Tahoma"/>
            <family val="2"/>
          </rPr>
          <t>DBL REV requires TWO rows!
TPL REV requires THREE rows!
QD REV requires FOUR rows!</t>
        </r>
      </text>
    </comment>
    <comment ref="J158" authorId="1" shapeId="0">
      <text>
        <r>
          <rPr>
            <b/>
            <sz val="9"/>
            <color indexed="81"/>
            <rFont val="Tahoma"/>
            <family val="2"/>
          </rPr>
          <t>If this highlights as an error, consider upsizing the Tether size for better ribbon utilization</t>
        </r>
      </text>
    </comment>
    <comment ref="C159" authorId="1" shapeId="0">
      <text>
        <r>
          <rPr>
            <b/>
            <sz val="9"/>
            <color indexed="81"/>
            <rFont val="Tahoma"/>
            <family val="2"/>
          </rPr>
          <t>DBL REV requires TWO rows!
TPL REV requires THREE rows!
QD REV requires FOUR rows!</t>
        </r>
      </text>
    </comment>
    <comment ref="J159" authorId="1" shapeId="0">
      <text>
        <r>
          <rPr>
            <b/>
            <sz val="9"/>
            <color indexed="81"/>
            <rFont val="Tahoma"/>
            <family val="2"/>
          </rPr>
          <t>If this highlights as an error, consider upsizing the Tether size for better ribbon utilization</t>
        </r>
      </text>
    </comment>
    <comment ref="C160" authorId="1" shapeId="0">
      <text>
        <r>
          <rPr>
            <b/>
            <sz val="9"/>
            <color indexed="81"/>
            <rFont val="Tahoma"/>
            <family val="2"/>
          </rPr>
          <t>DBL REV requires TWO rows!
TPL REV requires THREE rows!
QD REV requires FOUR rows!</t>
        </r>
      </text>
    </comment>
    <comment ref="J160" authorId="1" shapeId="0">
      <text>
        <r>
          <rPr>
            <b/>
            <sz val="9"/>
            <color indexed="81"/>
            <rFont val="Tahoma"/>
            <family val="2"/>
          </rPr>
          <t>If this highlights as an error, consider upsizing the Tether size for better ribbon utilization</t>
        </r>
      </text>
    </comment>
    <comment ref="C161" authorId="1" shapeId="0">
      <text>
        <r>
          <rPr>
            <b/>
            <sz val="9"/>
            <color indexed="81"/>
            <rFont val="Tahoma"/>
            <family val="2"/>
          </rPr>
          <t>DBL REV requires TWO rows!
TPL REV requires THREE rows!
QD REV requires FOUR rows!</t>
        </r>
      </text>
    </comment>
    <comment ref="J161" authorId="1" shapeId="0">
      <text>
        <r>
          <rPr>
            <b/>
            <sz val="9"/>
            <color indexed="81"/>
            <rFont val="Tahoma"/>
            <family val="2"/>
          </rPr>
          <t>If this highlights as an error, consider upsizing the Tether size for better ribbon utilization</t>
        </r>
      </text>
    </comment>
    <comment ref="C162" authorId="1" shapeId="0">
      <text>
        <r>
          <rPr>
            <b/>
            <sz val="9"/>
            <color indexed="81"/>
            <rFont val="Tahoma"/>
            <family val="2"/>
          </rPr>
          <t>DBL REV requires TWO rows!
TPL REV requires THREE rows!
QD REV requires FOUR rows!</t>
        </r>
      </text>
    </comment>
    <comment ref="J162" authorId="1" shapeId="0">
      <text>
        <r>
          <rPr>
            <b/>
            <sz val="9"/>
            <color indexed="81"/>
            <rFont val="Tahoma"/>
            <family val="2"/>
          </rPr>
          <t>If this highlights as an error, consider upsizing the Tether size for better ribbon utilization</t>
        </r>
      </text>
    </comment>
    <comment ref="C163" authorId="1" shapeId="0">
      <text>
        <r>
          <rPr>
            <b/>
            <sz val="9"/>
            <color indexed="81"/>
            <rFont val="Tahoma"/>
            <family val="2"/>
          </rPr>
          <t>DBL REV requires TWO rows!
TPL REV requires THREE rows!
QD REV requires FOUR rows!</t>
        </r>
      </text>
    </comment>
    <comment ref="J163" authorId="1" shapeId="0">
      <text>
        <r>
          <rPr>
            <b/>
            <sz val="9"/>
            <color indexed="81"/>
            <rFont val="Tahoma"/>
            <family val="2"/>
          </rPr>
          <t>If this highlights as an error, consider upsizing the Tether size for better ribbon utilization</t>
        </r>
      </text>
    </comment>
    <comment ref="C164" authorId="1" shapeId="0">
      <text>
        <r>
          <rPr>
            <b/>
            <sz val="9"/>
            <color indexed="81"/>
            <rFont val="Tahoma"/>
            <family val="2"/>
          </rPr>
          <t>DBL REV requires TWO rows!
TPL REV requires THREE rows!
QD REV requires FOUR rows!</t>
        </r>
      </text>
    </comment>
    <comment ref="J164" authorId="1" shapeId="0">
      <text>
        <r>
          <rPr>
            <b/>
            <sz val="9"/>
            <color indexed="81"/>
            <rFont val="Tahoma"/>
            <family val="2"/>
          </rPr>
          <t>If this highlights as an error, consider upsizing the Tether size for better ribbon utilization</t>
        </r>
      </text>
    </comment>
    <comment ref="B17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text>
        <r>
          <rPr>
            <b/>
            <sz val="8"/>
            <color indexed="81"/>
            <rFont val="Tahoma"/>
            <family val="2"/>
          </rPr>
          <t>This will be added to Planning Load Block A for TOTAL</t>
        </r>
        <r>
          <rPr>
            <sz val="8"/>
            <color indexed="81"/>
            <rFont val="Tahoma"/>
            <family val="2"/>
          </rPr>
          <t xml:space="preserve">
</t>
        </r>
      </text>
    </comment>
    <comment ref="J170" authorId="0" shapeId="0">
      <text>
        <r>
          <rPr>
            <b/>
            <sz val="8"/>
            <color indexed="81"/>
            <rFont val="Tahoma"/>
            <family val="2"/>
          </rPr>
          <t>This is the PON OUT count that is not assigned in this cable reel.</t>
        </r>
        <r>
          <rPr>
            <sz val="8"/>
            <color indexed="81"/>
            <rFont val="Tahoma"/>
            <family val="2"/>
          </rPr>
          <t xml:space="preserve">
</t>
        </r>
      </text>
    </comment>
    <comment ref="P170" authorId="1" shapeId="0">
      <text>
        <r>
          <rPr>
            <b/>
            <sz val="9"/>
            <color indexed="81"/>
            <rFont val="Tahoma"/>
            <family val="2"/>
          </rPr>
          <t>REMEMBER: 2-Fbr Tethers are NOT available for RPX CABLE!</t>
        </r>
      </text>
    </comment>
    <comment ref="Q170" authorId="1" shapeId="0">
      <text>
        <r>
          <rPr>
            <b/>
            <sz val="9"/>
            <color indexed="81"/>
            <rFont val="Tahoma"/>
            <family val="2"/>
          </rPr>
          <t>REMEMBER: 2-Fbr Tethers are NOT available for RPX CABLE!</t>
        </r>
      </text>
    </comment>
    <comment ref="S170" authorId="1" shapeId="0">
      <text>
        <r>
          <rPr>
            <b/>
            <sz val="9"/>
            <color indexed="81"/>
            <rFont val="Tahoma"/>
            <family val="2"/>
          </rPr>
          <t>REMEMBER: 2-Fbr Tethers are NOT available for RPX CABLE!</t>
        </r>
      </text>
    </comment>
    <comment ref="T170" authorId="1" shapeId="0">
      <text>
        <r>
          <rPr>
            <b/>
            <sz val="9"/>
            <color indexed="81"/>
            <rFont val="Tahoma"/>
            <family val="2"/>
          </rPr>
          <t>REMEMBER: 2-Fbr Tethers are NOT available for RPX CABLE!</t>
        </r>
      </text>
    </comment>
    <comment ref="B17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text>
        <r>
          <rPr>
            <b/>
            <sz val="8"/>
            <color indexed="81"/>
            <rFont val="Tahoma"/>
            <family val="2"/>
          </rPr>
          <t>Make sure you add this number to "TAT FIBERS ASSIGNED" for the total required in the Load Block on the prints.</t>
        </r>
      </text>
    </comment>
    <comment ref="G171" authorId="0" shapeId="0">
      <text>
        <r>
          <rPr>
            <b/>
            <sz val="8"/>
            <color indexed="81"/>
            <rFont val="Tahoma"/>
            <family val="2"/>
          </rPr>
          <t>Includes "DEAD" Count (No PON count assigned)</t>
        </r>
      </text>
    </comment>
    <comment ref="I17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text>
        <r>
          <rPr>
            <b/>
            <sz val="9"/>
            <color indexed="81"/>
            <rFont val="Tahoma"/>
            <family val="2"/>
          </rPr>
          <t>REMEMBER: 6-Fbr Tethers are NOT available for RPX CABLE!</t>
        </r>
      </text>
    </comment>
    <comment ref="Q172" authorId="1" shapeId="0">
      <text>
        <r>
          <rPr>
            <b/>
            <sz val="9"/>
            <color indexed="81"/>
            <rFont val="Tahoma"/>
            <family val="2"/>
          </rPr>
          <t>REMEMBER: 6-Fbr Tethers are NOT available for RPX CABLE!</t>
        </r>
      </text>
    </comment>
    <comment ref="S172" authorId="1" shapeId="0">
      <text>
        <r>
          <rPr>
            <b/>
            <sz val="9"/>
            <color indexed="81"/>
            <rFont val="Tahoma"/>
            <family val="2"/>
          </rPr>
          <t>REMEMBER: 6-Fbr Tethers are NOT available for RPX CABLE!</t>
        </r>
      </text>
    </comment>
    <comment ref="T172" authorId="1" shapeId="0">
      <text>
        <r>
          <rPr>
            <b/>
            <sz val="9"/>
            <color indexed="81"/>
            <rFont val="Tahoma"/>
            <family val="2"/>
          </rPr>
          <t>REMEMBER: 6-Fbr Tethers are NOT available for AERIAL CABLE!</t>
        </r>
      </text>
    </comment>
    <comment ref="B17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text>
        <r>
          <rPr>
            <b/>
            <sz val="8"/>
            <color indexed="81"/>
            <rFont val="Tahoma"/>
            <family val="2"/>
          </rPr>
          <t>These are "manufacturing rules" and general warnings</t>
        </r>
        <r>
          <rPr>
            <sz val="8"/>
            <color indexed="81"/>
            <rFont val="Tahoma"/>
            <family val="2"/>
          </rPr>
          <t xml:space="preserve">
</t>
        </r>
      </text>
    </comment>
    <comment ref="B17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text>
        <r>
          <rPr>
            <b/>
            <sz val="8"/>
            <color indexed="81"/>
            <rFont val="Tahoma"/>
            <family val="2"/>
          </rPr>
          <t>This number is a sum of TOTAL PLANNED plus the ASSIGNED TO TETHERS</t>
        </r>
        <r>
          <rPr>
            <sz val="8"/>
            <color indexed="81"/>
            <rFont val="Tahoma"/>
            <family val="2"/>
          </rPr>
          <t xml:space="preserve">
</t>
        </r>
      </text>
    </comment>
    <comment ref="Z1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text>
        <r>
          <rPr>
            <b/>
            <sz val="8"/>
            <color indexed="81"/>
            <rFont val="Tahoma"/>
            <family val="2"/>
          </rPr>
          <t>Counting from High count Backwards- this is Fiber Strand 133</t>
        </r>
      </text>
    </comment>
    <comment ref="AB178" authorId="0" shapeId="0">
      <text>
        <r>
          <rPr>
            <b/>
            <sz val="8"/>
            <color indexed="81"/>
            <rFont val="Tahoma"/>
            <family val="2"/>
          </rPr>
          <t>Counting from High count Backwards- this is Fiber Strand 144</t>
        </r>
        <r>
          <rPr>
            <sz val="8"/>
            <color indexed="81"/>
            <rFont val="Tahoma"/>
            <family val="2"/>
          </rPr>
          <t xml:space="preserve">
</t>
        </r>
      </text>
    </comment>
    <comment ref="C179" authorId="0" shapeId="0">
      <text>
        <r>
          <rPr>
            <b/>
            <sz val="8"/>
            <color indexed="81"/>
            <rFont val="Tahoma"/>
            <family val="2"/>
          </rPr>
          <t xml:space="preserve">Select if this tether will be used to feed a CFST or a lateral cable. </t>
        </r>
      </text>
    </comment>
    <comment ref="D179" authorId="0" shapeId="0">
      <text>
        <r>
          <rPr>
            <b/>
            <sz val="8"/>
            <color indexed="81"/>
            <rFont val="Tahoma"/>
            <family val="2"/>
          </rPr>
          <t>Note the Terminal Address to keep your locations straight</t>
        </r>
        <r>
          <rPr>
            <sz val="8"/>
            <color indexed="81"/>
            <rFont val="Tahoma"/>
            <family val="2"/>
          </rPr>
          <t xml:space="preserve">
</t>
        </r>
      </text>
    </comment>
    <comment ref="E179" authorId="0" shapeId="0">
      <text>
        <r>
          <rPr>
            <b/>
            <sz val="9"/>
            <color indexed="81"/>
            <rFont val="Calibri"/>
            <family val="2"/>
            <scheme val="minor"/>
          </rPr>
          <t>Pick the Tether Size for the location</t>
        </r>
        <r>
          <rPr>
            <sz val="8"/>
            <color indexed="81"/>
            <rFont val="Tahoma"/>
            <family val="2"/>
          </rPr>
          <t xml:space="preserve">
</t>
        </r>
      </text>
    </comment>
    <comment ref="F179" authorId="2" shapeId="0">
      <text>
        <r>
          <rPr>
            <b/>
            <sz val="9"/>
            <color indexed="81"/>
            <rFont val="Tahoma"/>
            <family val="2"/>
          </rPr>
          <t>Identify TCF or FST location.
Leave blank if tether is NOT for a TCF or FST!</t>
        </r>
      </text>
    </comment>
    <comment ref="H179" authorId="0" shapeId="0">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text>
        <r>
          <rPr>
            <b/>
            <sz val="8"/>
            <color indexed="81"/>
            <rFont val="Tahoma"/>
            <family val="2"/>
          </rPr>
          <t>If any of these numbers are negative, check your PON count and Cable size</t>
        </r>
      </text>
    </comment>
    <comment ref="J17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text>
        <r>
          <rPr>
            <b/>
            <sz val="9"/>
            <color indexed="81"/>
            <rFont val="Tahoma"/>
            <family val="2"/>
          </rPr>
          <t>Leave blank if using 10' Terminal Tail
Enter Tail length if greater than 10'</t>
        </r>
      </text>
    </comment>
    <comment ref="M179" authorId="0" shapeId="0">
      <text>
        <r>
          <rPr>
            <b/>
            <sz val="8"/>
            <color indexed="81"/>
            <rFont val="Tahoma"/>
            <family val="2"/>
          </rPr>
          <t>Make design notes such as slack coils, realingment loops,  or location notes</t>
        </r>
      </text>
    </comment>
    <comment ref="Z179" authorId="0" shapeId="0">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text>
        <r>
          <rPr>
            <b/>
            <sz val="8"/>
            <color indexed="81"/>
            <rFont val="Tahoma"/>
            <family val="2"/>
          </rPr>
          <t xml:space="preserve">Counting from High count Backwards- this is Fiber Strand 145
</t>
        </r>
      </text>
    </comment>
    <comment ref="AB179" authorId="0" shapeId="0">
      <text>
        <r>
          <rPr>
            <b/>
            <sz val="8"/>
            <color indexed="81"/>
            <rFont val="Tahoma"/>
            <family val="2"/>
          </rPr>
          <t>Counting from High count Backwards- this is Fiber Strand 156</t>
        </r>
      </text>
    </comment>
    <comment ref="J181" authorId="1" shapeId="0">
      <text>
        <r>
          <rPr>
            <b/>
            <sz val="9"/>
            <color indexed="81"/>
            <rFont val="Tahoma"/>
            <family val="2"/>
          </rPr>
          <t>If this highlights as an error, consider upsizing the Tether size for better ribbon utilization</t>
        </r>
      </text>
    </comment>
    <comment ref="J182" authorId="1" shapeId="0">
      <text>
        <r>
          <rPr>
            <b/>
            <sz val="9"/>
            <color indexed="81"/>
            <rFont val="Tahoma"/>
            <family val="2"/>
          </rPr>
          <t>If this highlights as an error, consider upsizing the Tether size for better ribbon utilization</t>
        </r>
      </text>
    </comment>
    <comment ref="J183" authorId="1" shapeId="0">
      <text>
        <r>
          <rPr>
            <b/>
            <sz val="9"/>
            <color indexed="81"/>
            <rFont val="Tahoma"/>
            <family val="2"/>
          </rPr>
          <t>If this highlights as an error, consider upsizing the Tether size for better ribbon utilization</t>
        </r>
      </text>
    </comment>
    <comment ref="J184" authorId="1" shapeId="0">
      <text>
        <r>
          <rPr>
            <b/>
            <sz val="9"/>
            <color indexed="81"/>
            <rFont val="Tahoma"/>
            <family val="2"/>
          </rPr>
          <t>If this highlights as an error, consider upsizing the Tether size for better ribbon utilization</t>
        </r>
      </text>
    </comment>
    <comment ref="J185" authorId="1" shapeId="0">
      <text>
        <r>
          <rPr>
            <b/>
            <sz val="9"/>
            <color indexed="81"/>
            <rFont val="Tahoma"/>
            <family val="2"/>
          </rPr>
          <t>If this highlights as an error, consider upsizing the Tether size for better ribbon utilization</t>
        </r>
      </text>
    </comment>
    <comment ref="J186" authorId="1" shapeId="0">
      <text>
        <r>
          <rPr>
            <b/>
            <sz val="9"/>
            <color indexed="81"/>
            <rFont val="Tahoma"/>
            <family val="2"/>
          </rPr>
          <t>If this highlights as an error, consider upsizing the Tether size for better ribbon utilization</t>
        </r>
      </text>
    </comment>
    <comment ref="J187" authorId="1" shapeId="0">
      <text>
        <r>
          <rPr>
            <b/>
            <sz val="9"/>
            <color indexed="81"/>
            <rFont val="Tahoma"/>
            <family val="2"/>
          </rPr>
          <t>If this highlights as an error, consider upsizing the Tether size for better ribbon utilization</t>
        </r>
      </text>
    </comment>
    <comment ref="J188" authorId="1" shapeId="0">
      <text>
        <r>
          <rPr>
            <b/>
            <sz val="9"/>
            <color indexed="81"/>
            <rFont val="Tahoma"/>
            <family val="2"/>
          </rPr>
          <t>If this highlights as an error, consider upsizing the Tether size for better ribbon utilization</t>
        </r>
      </text>
    </comment>
    <comment ref="J189" authorId="1" shapeId="0">
      <text>
        <r>
          <rPr>
            <b/>
            <sz val="9"/>
            <color indexed="81"/>
            <rFont val="Tahoma"/>
            <family val="2"/>
          </rPr>
          <t>If this highlights as an error, consider upsizing the Tether size for better ribbon utilization</t>
        </r>
      </text>
    </comment>
    <comment ref="J190" authorId="1" shapeId="0">
      <text>
        <r>
          <rPr>
            <b/>
            <sz val="9"/>
            <color indexed="81"/>
            <rFont val="Tahoma"/>
            <family val="2"/>
          </rPr>
          <t>If this highlights as an error, consider upsizing the Tether size for better ribbon utilization</t>
        </r>
      </text>
    </comment>
    <comment ref="J191" authorId="1" shapeId="0">
      <text>
        <r>
          <rPr>
            <b/>
            <sz val="9"/>
            <color indexed="81"/>
            <rFont val="Tahoma"/>
            <family val="2"/>
          </rPr>
          <t>If this highlights as an error, consider upsizing the Tether size for better ribbon utilization</t>
        </r>
      </text>
    </comment>
    <comment ref="J192" authorId="1" shapeId="0">
      <text>
        <r>
          <rPr>
            <b/>
            <sz val="9"/>
            <color indexed="81"/>
            <rFont val="Tahoma"/>
            <family val="2"/>
          </rPr>
          <t>If this highlights as an error, consider upsizing the Tether size for better ribbon utilization</t>
        </r>
      </text>
    </comment>
    <comment ref="J193" authorId="1" shapeId="0">
      <text>
        <r>
          <rPr>
            <b/>
            <sz val="9"/>
            <color indexed="81"/>
            <rFont val="Tahoma"/>
            <family val="2"/>
          </rPr>
          <t>If this highlights as an error, consider upsizing the Tether size for better ribbon utilization</t>
        </r>
      </text>
    </comment>
    <comment ref="J194" authorId="1" shapeId="0">
      <text>
        <r>
          <rPr>
            <b/>
            <sz val="9"/>
            <color indexed="81"/>
            <rFont val="Tahoma"/>
            <family val="2"/>
          </rPr>
          <t>If this highlights as an error, consider upsizing the Tether size for better ribbon utilization</t>
        </r>
      </text>
    </comment>
    <comment ref="J195" authorId="1" shapeId="0">
      <text>
        <r>
          <rPr>
            <b/>
            <sz val="9"/>
            <color indexed="81"/>
            <rFont val="Tahoma"/>
            <family val="2"/>
          </rPr>
          <t>If this highlights as an error, consider upsizing the Tether size for better ribbon utilization</t>
        </r>
      </text>
    </comment>
    <comment ref="J196" authorId="1" shapeId="0">
      <text>
        <r>
          <rPr>
            <b/>
            <sz val="9"/>
            <color indexed="81"/>
            <rFont val="Tahoma"/>
            <family val="2"/>
          </rPr>
          <t>If this highlights as an error, consider upsizing the Tether size for better ribbon utilization</t>
        </r>
      </text>
    </comment>
    <comment ref="J197" authorId="1" shapeId="0">
      <text>
        <r>
          <rPr>
            <b/>
            <sz val="9"/>
            <color indexed="81"/>
            <rFont val="Tahoma"/>
            <family val="2"/>
          </rPr>
          <t>If this highlights as an error, consider upsizing the Tether size for better ribbon utilization</t>
        </r>
      </text>
    </comment>
    <comment ref="J198" authorId="1" shapeId="0">
      <text>
        <r>
          <rPr>
            <b/>
            <sz val="9"/>
            <color indexed="81"/>
            <rFont val="Tahoma"/>
            <family val="2"/>
          </rPr>
          <t>If this highlights as an error, consider upsizing the Tether size for better ribbon utilization</t>
        </r>
      </text>
    </comment>
    <comment ref="C199" authorId="1" shapeId="0">
      <text>
        <r>
          <rPr>
            <b/>
            <sz val="9"/>
            <color indexed="81"/>
            <rFont val="Tahoma"/>
            <family val="2"/>
          </rPr>
          <t>DBL REV requires TWO rows!
TPL REV requires THREE rows!
QD REV requires FOUR rows!</t>
        </r>
      </text>
    </comment>
    <comment ref="J199" authorId="1" shapeId="0">
      <text>
        <r>
          <rPr>
            <b/>
            <sz val="9"/>
            <color indexed="81"/>
            <rFont val="Tahoma"/>
            <family val="2"/>
          </rPr>
          <t>If this highlights as an error, consider upsizing the Tether size for better ribbon utilization</t>
        </r>
      </text>
    </comment>
    <comment ref="C200" authorId="1" shapeId="0">
      <text>
        <r>
          <rPr>
            <b/>
            <sz val="9"/>
            <color indexed="81"/>
            <rFont val="Tahoma"/>
            <family val="2"/>
          </rPr>
          <t>DBL REV requires TWO rows!
TPL REV requires THREE rows!
QD REV requires FOUR rows!</t>
        </r>
      </text>
    </comment>
    <comment ref="J200" authorId="1" shapeId="0">
      <text>
        <r>
          <rPr>
            <b/>
            <sz val="9"/>
            <color indexed="81"/>
            <rFont val="Tahoma"/>
            <family val="2"/>
          </rPr>
          <t>If this highlights as an error, consider upsizing the Tether size for better ribbon utilization</t>
        </r>
      </text>
    </comment>
    <comment ref="C201" authorId="1" shapeId="0">
      <text>
        <r>
          <rPr>
            <b/>
            <sz val="9"/>
            <color indexed="81"/>
            <rFont val="Tahoma"/>
            <family val="2"/>
          </rPr>
          <t>DBL REV requires TWO rows!
TPL REV requires THREE rows!
QD REV requires FOUR rows!</t>
        </r>
      </text>
    </comment>
    <comment ref="J201" authorId="1" shapeId="0">
      <text>
        <r>
          <rPr>
            <b/>
            <sz val="9"/>
            <color indexed="81"/>
            <rFont val="Tahoma"/>
            <family val="2"/>
          </rPr>
          <t>If this highlights as an error, consider upsizing the Tether size for better ribbon utilization</t>
        </r>
      </text>
    </comment>
    <comment ref="C202" authorId="1" shapeId="0">
      <text>
        <r>
          <rPr>
            <b/>
            <sz val="9"/>
            <color indexed="81"/>
            <rFont val="Tahoma"/>
            <family val="2"/>
          </rPr>
          <t>DBL REV requires TWO rows!
TPL REV requires THREE rows!
QD REV requires FOUR rows!</t>
        </r>
      </text>
    </comment>
    <comment ref="J202" authorId="1" shapeId="0">
      <text>
        <r>
          <rPr>
            <b/>
            <sz val="9"/>
            <color indexed="81"/>
            <rFont val="Tahoma"/>
            <family val="2"/>
          </rPr>
          <t>If this highlights as an error, consider upsizing the Tether size for better ribbon utilization</t>
        </r>
      </text>
    </comment>
    <comment ref="C203" authorId="1" shapeId="0">
      <text>
        <r>
          <rPr>
            <b/>
            <sz val="9"/>
            <color indexed="81"/>
            <rFont val="Tahoma"/>
            <family val="2"/>
          </rPr>
          <t>DBL REV requires TWO rows!
TPL REV requires THREE rows!
QD REV requires FOUR rows!</t>
        </r>
      </text>
    </comment>
    <comment ref="J203" authorId="1" shapeId="0">
      <text>
        <r>
          <rPr>
            <b/>
            <sz val="9"/>
            <color indexed="81"/>
            <rFont val="Tahoma"/>
            <family val="2"/>
          </rPr>
          <t>If this highlights as an error, consider upsizing the Tether size for better ribbon utilization</t>
        </r>
      </text>
    </comment>
    <comment ref="C204" authorId="1" shapeId="0">
      <text>
        <r>
          <rPr>
            <b/>
            <sz val="9"/>
            <color indexed="81"/>
            <rFont val="Tahoma"/>
            <family val="2"/>
          </rPr>
          <t>DBL REV requires TWO rows!
TPL REV requires THREE rows!
QD REV requires FOUR rows!</t>
        </r>
      </text>
    </comment>
    <comment ref="J204" authorId="1" shapeId="0">
      <text>
        <r>
          <rPr>
            <b/>
            <sz val="9"/>
            <color indexed="81"/>
            <rFont val="Tahoma"/>
            <family val="2"/>
          </rPr>
          <t>If this highlights as an error, consider upsizing the Tether size for better ribbon utilization</t>
        </r>
      </text>
    </comment>
    <comment ref="C205" authorId="1" shapeId="0">
      <text>
        <r>
          <rPr>
            <b/>
            <sz val="9"/>
            <color indexed="81"/>
            <rFont val="Tahoma"/>
            <family val="2"/>
          </rPr>
          <t>DBL REV requires TWO rows!
TPL REV requires THREE rows!
QD REV requires FOUR rows!</t>
        </r>
      </text>
    </comment>
    <comment ref="J205" authorId="1" shapeId="0">
      <text>
        <r>
          <rPr>
            <b/>
            <sz val="9"/>
            <color indexed="81"/>
            <rFont val="Tahoma"/>
            <family val="2"/>
          </rPr>
          <t>If this highlights as an error, consider upsizing the Tether size for better ribbon utilization</t>
        </r>
      </text>
    </comment>
    <comment ref="B21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text>
        <r>
          <rPr>
            <b/>
            <sz val="8"/>
            <color indexed="81"/>
            <rFont val="Tahoma"/>
            <family val="2"/>
          </rPr>
          <t>This will be added to Planning Load Block A for TOTAL</t>
        </r>
        <r>
          <rPr>
            <sz val="8"/>
            <color indexed="81"/>
            <rFont val="Tahoma"/>
            <family val="2"/>
          </rPr>
          <t xml:space="preserve">
</t>
        </r>
      </text>
    </comment>
    <comment ref="J211" authorId="0" shapeId="0">
      <text>
        <r>
          <rPr>
            <b/>
            <sz val="8"/>
            <color indexed="81"/>
            <rFont val="Tahoma"/>
            <family val="2"/>
          </rPr>
          <t>This is the PON OUT count that is not assigned in this cable reel.</t>
        </r>
        <r>
          <rPr>
            <sz val="8"/>
            <color indexed="81"/>
            <rFont val="Tahoma"/>
            <family val="2"/>
          </rPr>
          <t xml:space="preserve">
</t>
        </r>
      </text>
    </comment>
    <comment ref="P211" authorId="1" shapeId="0">
      <text>
        <r>
          <rPr>
            <b/>
            <sz val="9"/>
            <color indexed="81"/>
            <rFont val="Tahoma"/>
            <family val="2"/>
          </rPr>
          <t>REMEMBER: 2-Fbr Tethers are NOT available for RPX CABLE!</t>
        </r>
      </text>
    </comment>
    <comment ref="Q211" authorId="1" shapeId="0">
      <text>
        <r>
          <rPr>
            <b/>
            <sz val="9"/>
            <color indexed="81"/>
            <rFont val="Tahoma"/>
            <family val="2"/>
          </rPr>
          <t>REMEMBER: 2-Fbr Tethers are NOT available for RPX CABLE!</t>
        </r>
      </text>
    </comment>
    <comment ref="S211" authorId="1" shapeId="0">
      <text>
        <r>
          <rPr>
            <b/>
            <sz val="9"/>
            <color indexed="81"/>
            <rFont val="Tahoma"/>
            <family val="2"/>
          </rPr>
          <t>REMEMBER: 2-Fbr Tethers are NOT available for RPX CABLE!</t>
        </r>
      </text>
    </comment>
    <comment ref="T211" authorId="1" shapeId="0">
      <text>
        <r>
          <rPr>
            <b/>
            <sz val="9"/>
            <color indexed="81"/>
            <rFont val="Tahoma"/>
            <family val="2"/>
          </rPr>
          <t>REMEMBER: 2-Fbr Tethers are NOT available for RPX CABLE!</t>
        </r>
      </text>
    </comment>
    <comment ref="B21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text>
        <r>
          <rPr>
            <b/>
            <sz val="8"/>
            <color indexed="81"/>
            <rFont val="Tahoma"/>
            <family val="2"/>
          </rPr>
          <t>Make sure you add this number to "TAT FIBERS ASSIGNED" for the total required in the Load Block on the prints.</t>
        </r>
      </text>
    </comment>
    <comment ref="G212" authorId="0" shapeId="0">
      <text>
        <r>
          <rPr>
            <b/>
            <sz val="8"/>
            <color indexed="81"/>
            <rFont val="Tahoma"/>
            <family val="2"/>
          </rPr>
          <t>Includes "DEAD" Count (No PON count assigned)</t>
        </r>
      </text>
    </comment>
    <comment ref="I21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text>
        <r>
          <rPr>
            <b/>
            <sz val="9"/>
            <color indexed="81"/>
            <rFont val="Tahoma"/>
            <family val="2"/>
          </rPr>
          <t>REMEMBER: 6-Fbr Tethers are NOT available for RPX CABLE!</t>
        </r>
      </text>
    </comment>
    <comment ref="Q213" authorId="1" shapeId="0">
      <text>
        <r>
          <rPr>
            <b/>
            <sz val="9"/>
            <color indexed="81"/>
            <rFont val="Tahoma"/>
            <family val="2"/>
          </rPr>
          <t>REMEMBER: 6-Fbr Tethers are NOT available for RPX CABLE!</t>
        </r>
      </text>
    </comment>
    <comment ref="S213" authorId="1" shapeId="0">
      <text>
        <r>
          <rPr>
            <b/>
            <sz val="9"/>
            <color indexed="81"/>
            <rFont val="Tahoma"/>
            <family val="2"/>
          </rPr>
          <t>REMEMBER: 6-Fbr Tethers are NOT available for RPX CABLE!</t>
        </r>
      </text>
    </comment>
    <comment ref="T213" authorId="1" shapeId="0">
      <text>
        <r>
          <rPr>
            <b/>
            <sz val="9"/>
            <color indexed="81"/>
            <rFont val="Tahoma"/>
            <family val="2"/>
          </rPr>
          <t>REMEMBER: 6-Fbr Tethers are NOT available for AERIAL CABLE!</t>
        </r>
      </text>
    </comment>
    <comment ref="B21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text>
        <r>
          <rPr>
            <b/>
            <sz val="8"/>
            <color indexed="81"/>
            <rFont val="Tahoma"/>
            <family val="2"/>
          </rPr>
          <t>These are "manufacturing rules" and general warnings</t>
        </r>
        <r>
          <rPr>
            <sz val="8"/>
            <color indexed="81"/>
            <rFont val="Tahoma"/>
            <family val="2"/>
          </rPr>
          <t xml:space="preserve">
</t>
        </r>
      </text>
    </comment>
    <comment ref="B21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text>
        <r>
          <rPr>
            <b/>
            <sz val="8"/>
            <color indexed="81"/>
            <rFont val="Tahoma"/>
            <family val="2"/>
          </rPr>
          <t>This number is a sum of TOTAL PLANNED plus the ASSIGNED TO TETHERS</t>
        </r>
        <r>
          <rPr>
            <sz val="8"/>
            <color indexed="81"/>
            <rFont val="Tahoma"/>
            <family val="2"/>
          </rPr>
          <t xml:space="preserve">
</t>
        </r>
      </text>
    </comment>
    <comment ref="Z219" authorId="0" shapeId="0">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text>
        <r>
          <rPr>
            <b/>
            <sz val="8"/>
            <color indexed="81"/>
            <rFont val="Tahoma"/>
            <family val="2"/>
          </rPr>
          <t>Counting from High count Backwards- this is Fiber Strand 133</t>
        </r>
      </text>
    </comment>
    <comment ref="AB219" authorId="0" shapeId="0">
      <text>
        <r>
          <rPr>
            <b/>
            <sz val="8"/>
            <color indexed="81"/>
            <rFont val="Tahoma"/>
            <family val="2"/>
          </rPr>
          <t>Counting from High count Backwards- this is Fiber Strand 144</t>
        </r>
        <r>
          <rPr>
            <sz val="8"/>
            <color indexed="81"/>
            <rFont val="Tahoma"/>
            <family val="2"/>
          </rPr>
          <t xml:space="preserve">
</t>
        </r>
      </text>
    </comment>
    <comment ref="C220" authorId="0" shapeId="0">
      <text>
        <r>
          <rPr>
            <b/>
            <sz val="8"/>
            <color indexed="81"/>
            <rFont val="Tahoma"/>
            <family val="2"/>
          </rPr>
          <t xml:space="preserve">Select if this tether will be used to feed a CFST or a lateral cable. </t>
        </r>
      </text>
    </comment>
    <comment ref="D220" authorId="0" shapeId="0">
      <text>
        <r>
          <rPr>
            <b/>
            <sz val="8"/>
            <color indexed="81"/>
            <rFont val="Tahoma"/>
            <family val="2"/>
          </rPr>
          <t>Note the Terminal Address to keep your locations straight</t>
        </r>
        <r>
          <rPr>
            <sz val="8"/>
            <color indexed="81"/>
            <rFont val="Tahoma"/>
            <family val="2"/>
          </rPr>
          <t xml:space="preserve">
</t>
        </r>
      </text>
    </comment>
    <comment ref="E220" authorId="0" shapeId="0">
      <text>
        <r>
          <rPr>
            <b/>
            <sz val="9"/>
            <color indexed="81"/>
            <rFont val="Calibri"/>
            <family val="2"/>
            <scheme val="minor"/>
          </rPr>
          <t>Pick the Tether Size for the location</t>
        </r>
        <r>
          <rPr>
            <sz val="8"/>
            <color indexed="81"/>
            <rFont val="Tahoma"/>
            <family val="2"/>
          </rPr>
          <t xml:space="preserve">
</t>
        </r>
      </text>
    </comment>
    <comment ref="F220" authorId="2" shapeId="0">
      <text>
        <r>
          <rPr>
            <b/>
            <sz val="9"/>
            <color indexed="81"/>
            <rFont val="Tahoma"/>
            <family val="2"/>
          </rPr>
          <t>Identify TCF or FST location.
Leave blank if tether is NOT for a TCF or FST!</t>
        </r>
      </text>
    </comment>
    <comment ref="H220" authorId="0" shapeId="0">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text>
        <r>
          <rPr>
            <b/>
            <sz val="8"/>
            <color indexed="81"/>
            <rFont val="Tahoma"/>
            <family val="2"/>
          </rPr>
          <t>If any of these numbers are negative, check your PON count and Cable size</t>
        </r>
      </text>
    </comment>
    <comment ref="J22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text>
        <r>
          <rPr>
            <b/>
            <sz val="9"/>
            <color indexed="81"/>
            <rFont val="Tahoma"/>
            <family val="2"/>
          </rPr>
          <t>Leave blank if using 10' Terminal Tail
Enter Tail length if greater than 10'</t>
        </r>
      </text>
    </comment>
    <comment ref="M220" authorId="0" shapeId="0">
      <text>
        <r>
          <rPr>
            <b/>
            <sz val="8"/>
            <color indexed="81"/>
            <rFont val="Tahoma"/>
            <family val="2"/>
          </rPr>
          <t>Make design notes such as slack coils, realingment loops,  or location notes</t>
        </r>
      </text>
    </comment>
    <comment ref="Z220" authorId="0" shapeId="0">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text>
        <r>
          <rPr>
            <b/>
            <sz val="8"/>
            <color indexed="81"/>
            <rFont val="Tahoma"/>
            <family val="2"/>
          </rPr>
          <t xml:space="preserve">Counting from High count Backwards- this is Fiber Strand 145
</t>
        </r>
      </text>
    </comment>
    <comment ref="AB220" authorId="0" shapeId="0">
      <text>
        <r>
          <rPr>
            <b/>
            <sz val="8"/>
            <color indexed="81"/>
            <rFont val="Tahoma"/>
            <family val="2"/>
          </rPr>
          <t>Counting from High count Backwards- this is Fiber Strand 156</t>
        </r>
      </text>
    </comment>
    <comment ref="J222" authorId="1" shapeId="0">
      <text>
        <r>
          <rPr>
            <b/>
            <sz val="9"/>
            <color indexed="81"/>
            <rFont val="Tahoma"/>
            <family val="2"/>
          </rPr>
          <t>If this highlights as an error, consider upsizing the Tether size for better ribbon utilization</t>
        </r>
      </text>
    </comment>
    <comment ref="J223" authorId="1" shapeId="0">
      <text>
        <r>
          <rPr>
            <b/>
            <sz val="9"/>
            <color indexed="81"/>
            <rFont val="Tahoma"/>
            <family val="2"/>
          </rPr>
          <t>If this highlights as an error, consider upsizing the Tether size for better ribbon utilization</t>
        </r>
      </text>
    </comment>
    <comment ref="J224" authorId="1" shapeId="0">
      <text>
        <r>
          <rPr>
            <b/>
            <sz val="9"/>
            <color indexed="81"/>
            <rFont val="Tahoma"/>
            <family val="2"/>
          </rPr>
          <t>If this highlights as an error, consider upsizing the Tether size for better ribbon utilization</t>
        </r>
      </text>
    </comment>
    <comment ref="J225" authorId="1" shapeId="0">
      <text>
        <r>
          <rPr>
            <b/>
            <sz val="9"/>
            <color indexed="81"/>
            <rFont val="Tahoma"/>
            <family val="2"/>
          </rPr>
          <t>If this highlights as an error, consider upsizing the Tether size for better ribbon utilization</t>
        </r>
      </text>
    </comment>
    <comment ref="J226" authorId="1" shapeId="0">
      <text>
        <r>
          <rPr>
            <b/>
            <sz val="9"/>
            <color indexed="81"/>
            <rFont val="Tahoma"/>
            <family val="2"/>
          </rPr>
          <t>If this highlights as an error, consider upsizing the Tether size for better ribbon utilization</t>
        </r>
      </text>
    </comment>
    <comment ref="J227" authorId="1" shapeId="0">
      <text>
        <r>
          <rPr>
            <b/>
            <sz val="9"/>
            <color indexed="81"/>
            <rFont val="Tahoma"/>
            <family val="2"/>
          </rPr>
          <t>If this highlights as an error, consider upsizing the Tether size for better ribbon utilization</t>
        </r>
      </text>
    </comment>
    <comment ref="J228" authorId="1" shapeId="0">
      <text>
        <r>
          <rPr>
            <b/>
            <sz val="9"/>
            <color indexed="81"/>
            <rFont val="Tahoma"/>
            <family val="2"/>
          </rPr>
          <t>If this highlights as an error, consider upsizing the Tether size for better ribbon utilization</t>
        </r>
      </text>
    </comment>
    <comment ref="J229" authorId="1" shapeId="0">
      <text>
        <r>
          <rPr>
            <b/>
            <sz val="9"/>
            <color indexed="81"/>
            <rFont val="Tahoma"/>
            <family val="2"/>
          </rPr>
          <t>If this highlights as an error, consider upsizing the Tether size for better ribbon utilization</t>
        </r>
      </text>
    </comment>
    <comment ref="J230" authorId="1" shapeId="0">
      <text>
        <r>
          <rPr>
            <b/>
            <sz val="9"/>
            <color indexed="81"/>
            <rFont val="Tahoma"/>
            <family val="2"/>
          </rPr>
          <t>If this highlights as an error, consider upsizing the Tether size for better ribbon utilization</t>
        </r>
      </text>
    </comment>
    <comment ref="J231" authorId="1" shapeId="0">
      <text>
        <r>
          <rPr>
            <b/>
            <sz val="9"/>
            <color indexed="81"/>
            <rFont val="Tahoma"/>
            <family val="2"/>
          </rPr>
          <t>If this highlights as an error, consider upsizing the Tether size for better ribbon utilization</t>
        </r>
      </text>
    </comment>
    <comment ref="J232" authorId="1" shapeId="0">
      <text>
        <r>
          <rPr>
            <b/>
            <sz val="9"/>
            <color indexed="81"/>
            <rFont val="Tahoma"/>
            <family val="2"/>
          </rPr>
          <t>If this highlights as an error, consider upsizing the Tether size for better ribbon utilization</t>
        </r>
      </text>
    </comment>
    <comment ref="J233" authorId="1" shapeId="0">
      <text>
        <r>
          <rPr>
            <b/>
            <sz val="9"/>
            <color indexed="81"/>
            <rFont val="Tahoma"/>
            <family val="2"/>
          </rPr>
          <t>If this highlights as an error, consider upsizing the Tether size for better ribbon utilization</t>
        </r>
      </text>
    </comment>
    <comment ref="J234" authorId="1" shapeId="0">
      <text>
        <r>
          <rPr>
            <b/>
            <sz val="9"/>
            <color indexed="81"/>
            <rFont val="Tahoma"/>
            <family val="2"/>
          </rPr>
          <t>If this highlights as an error, consider upsizing the Tether size for better ribbon utilization</t>
        </r>
      </text>
    </comment>
    <comment ref="J235" authorId="1" shapeId="0">
      <text>
        <r>
          <rPr>
            <b/>
            <sz val="9"/>
            <color indexed="81"/>
            <rFont val="Tahoma"/>
            <family val="2"/>
          </rPr>
          <t>If this highlights as an error, consider upsizing the Tether size for better ribbon utilization</t>
        </r>
      </text>
    </comment>
    <comment ref="J236" authorId="1" shapeId="0">
      <text>
        <r>
          <rPr>
            <b/>
            <sz val="9"/>
            <color indexed="81"/>
            <rFont val="Tahoma"/>
            <family val="2"/>
          </rPr>
          <t>If this highlights as an error, consider upsizing the Tether size for better ribbon utilization</t>
        </r>
      </text>
    </comment>
    <comment ref="J237" authorId="1" shapeId="0">
      <text>
        <r>
          <rPr>
            <b/>
            <sz val="9"/>
            <color indexed="81"/>
            <rFont val="Tahoma"/>
            <family val="2"/>
          </rPr>
          <t>If this highlights as an error, consider upsizing the Tether size for better ribbon utilization</t>
        </r>
      </text>
    </comment>
    <comment ref="J238" authorId="1" shapeId="0">
      <text>
        <r>
          <rPr>
            <b/>
            <sz val="9"/>
            <color indexed="81"/>
            <rFont val="Tahoma"/>
            <family val="2"/>
          </rPr>
          <t>If this highlights as an error, consider upsizing the Tether size for better ribbon utilization</t>
        </r>
      </text>
    </comment>
    <comment ref="J239" authorId="1" shapeId="0">
      <text>
        <r>
          <rPr>
            <b/>
            <sz val="9"/>
            <color indexed="81"/>
            <rFont val="Tahoma"/>
            <family val="2"/>
          </rPr>
          <t>If this highlights as an error, consider upsizing the Tether size for better ribbon utilization</t>
        </r>
      </text>
    </comment>
    <comment ref="C240" authorId="1" shapeId="0">
      <text>
        <r>
          <rPr>
            <b/>
            <sz val="9"/>
            <color indexed="81"/>
            <rFont val="Tahoma"/>
            <family val="2"/>
          </rPr>
          <t>DBL REV requires TWO rows!
TPL REV requires THREE rows!
QD REV requires FOUR rows!</t>
        </r>
      </text>
    </comment>
    <comment ref="J240" authorId="1" shapeId="0">
      <text>
        <r>
          <rPr>
            <b/>
            <sz val="9"/>
            <color indexed="81"/>
            <rFont val="Tahoma"/>
            <family val="2"/>
          </rPr>
          <t>If this highlights as an error, consider upsizing the Tether size for better ribbon utilization</t>
        </r>
      </text>
    </comment>
    <comment ref="C241" authorId="1" shapeId="0">
      <text>
        <r>
          <rPr>
            <b/>
            <sz val="9"/>
            <color indexed="81"/>
            <rFont val="Tahoma"/>
            <family val="2"/>
          </rPr>
          <t>DBL REV requires TWO rows!
TPL REV requires THREE rows!
QD REV requires FOUR rows!</t>
        </r>
      </text>
    </comment>
    <comment ref="J241" authorId="1" shapeId="0">
      <text>
        <r>
          <rPr>
            <b/>
            <sz val="9"/>
            <color indexed="81"/>
            <rFont val="Tahoma"/>
            <family val="2"/>
          </rPr>
          <t>If this highlights as an error, consider upsizing the Tether size for better ribbon utilization</t>
        </r>
      </text>
    </comment>
    <comment ref="C242" authorId="1" shapeId="0">
      <text>
        <r>
          <rPr>
            <b/>
            <sz val="9"/>
            <color indexed="81"/>
            <rFont val="Tahoma"/>
            <family val="2"/>
          </rPr>
          <t>DBL REV requires TWO rows!
TPL REV requires THREE rows!
QD REV requires FOUR rows!</t>
        </r>
      </text>
    </comment>
    <comment ref="J242" authorId="1" shapeId="0">
      <text>
        <r>
          <rPr>
            <b/>
            <sz val="9"/>
            <color indexed="81"/>
            <rFont val="Tahoma"/>
            <family val="2"/>
          </rPr>
          <t>If this highlights as an error, consider upsizing the Tether size for better ribbon utilization</t>
        </r>
      </text>
    </comment>
    <comment ref="C243" authorId="1" shapeId="0">
      <text>
        <r>
          <rPr>
            <b/>
            <sz val="9"/>
            <color indexed="81"/>
            <rFont val="Tahoma"/>
            <family val="2"/>
          </rPr>
          <t>DBL REV requires TWO rows!
TPL REV requires THREE rows!
QD REV requires FOUR rows!</t>
        </r>
      </text>
    </comment>
    <comment ref="J243" authorId="1" shapeId="0">
      <text>
        <r>
          <rPr>
            <b/>
            <sz val="9"/>
            <color indexed="81"/>
            <rFont val="Tahoma"/>
            <family val="2"/>
          </rPr>
          <t>If this highlights as an error, consider upsizing the Tether size for better ribbon utilization</t>
        </r>
      </text>
    </comment>
    <comment ref="C244" authorId="1" shapeId="0">
      <text>
        <r>
          <rPr>
            <b/>
            <sz val="9"/>
            <color indexed="81"/>
            <rFont val="Tahoma"/>
            <family val="2"/>
          </rPr>
          <t>DBL REV requires TWO rows!
TPL REV requires THREE rows!
QD REV requires FOUR rows!</t>
        </r>
      </text>
    </comment>
    <comment ref="J244" authorId="1" shapeId="0">
      <text>
        <r>
          <rPr>
            <b/>
            <sz val="9"/>
            <color indexed="81"/>
            <rFont val="Tahoma"/>
            <family val="2"/>
          </rPr>
          <t>If this highlights as an error, consider upsizing the Tether size for better ribbon utilization</t>
        </r>
      </text>
    </comment>
    <comment ref="C245" authorId="1" shapeId="0">
      <text>
        <r>
          <rPr>
            <b/>
            <sz val="9"/>
            <color indexed="81"/>
            <rFont val="Tahoma"/>
            <family val="2"/>
          </rPr>
          <t>DBL REV requires TWO rows!
TPL REV requires THREE rows!
QD REV requires FOUR rows!</t>
        </r>
      </text>
    </comment>
    <comment ref="J245" authorId="1" shapeId="0">
      <text>
        <r>
          <rPr>
            <b/>
            <sz val="9"/>
            <color indexed="81"/>
            <rFont val="Tahoma"/>
            <family val="2"/>
          </rPr>
          <t>If this highlights as an error, consider upsizing the Tether size for better ribbon utilization</t>
        </r>
      </text>
    </comment>
    <comment ref="C246" authorId="1" shapeId="0">
      <text>
        <r>
          <rPr>
            <b/>
            <sz val="9"/>
            <color indexed="81"/>
            <rFont val="Tahoma"/>
            <family val="2"/>
          </rPr>
          <t>DBL REV requires TWO rows!
TPL REV requires THREE rows!
QD REV requires FOUR rows!</t>
        </r>
      </text>
    </comment>
    <comment ref="J246" authorId="1" shapeId="0">
      <text>
        <r>
          <rPr>
            <b/>
            <sz val="9"/>
            <color indexed="81"/>
            <rFont val="Tahoma"/>
            <family val="2"/>
          </rPr>
          <t>If this highlights as an error, consider upsizing the Tether size for better ribbon utilization</t>
        </r>
      </text>
    </comment>
    <comment ref="B25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text>
        <r>
          <rPr>
            <b/>
            <sz val="8"/>
            <color indexed="81"/>
            <rFont val="Tahoma"/>
            <family val="2"/>
          </rPr>
          <t>This will be added to Planning Load Block A for TOTAL</t>
        </r>
        <r>
          <rPr>
            <sz val="8"/>
            <color indexed="81"/>
            <rFont val="Tahoma"/>
            <family val="2"/>
          </rPr>
          <t xml:space="preserve">
</t>
        </r>
      </text>
    </comment>
    <comment ref="J252" authorId="0" shapeId="0">
      <text>
        <r>
          <rPr>
            <b/>
            <sz val="8"/>
            <color indexed="81"/>
            <rFont val="Tahoma"/>
            <family val="2"/>
          </rPr>
          <t>This is the PON OUT count that is not assigned in this cable reel.</t>
        </r>
        <r>
          <rPr>
            <sz val="8"/>
            <color indexed="81"/>
            <rFont val="Tahoma"/>
            <family val="2"/>
          </rPr>
          <t xml:space="preserve">
</t>
        </r>
      </text>
    </comment>
    <comment ref="P252" authorId="1" shapeId="0">
      <text>
        <r>
          <rPr>
            <b/>
            <sz val="9"/>
            <color indexed="81"/>
            <rFont val="Tahoma"/>
            <family val="2"/>
          </rPr>
          <t>REMEMBER: 2-Fbr Tethers are NOT available for RPX CABLE!</t>
        </r>
      </text>
    </comment>
    <comment ref="Q252" authorId="1" shapeId="0">
      <text>
        <r>
          <rPr>
            <b/>
            <sz val="9"/>
            <color indexed="81"/>
            <rFont val="Tahoma"/>
            <family val="2"/>
          </rPr>
          <t>REMEMBER: 2-Fbr Tethers are NOT available for RPX CABLE!</t>
        </r>
      </text>
    </comment>
    <comment ref="S252" authorId="1" shapeId="0">
      <text>
        <r>
          <rPr>
            <b/>
            <sz val="9"/>
            <color indexed="81"/>
            <rFont val="Tahoma"/>
            <family val="2"/>
          </rPr>
          <t>REMEMBER: 2-Fbr Tethers are NOT available for RPX CABLE!</t>
        </r>
      </text>
    </comment>
    <comment ref="T252" authorId="1" shapeId="0">
      <text>
        <r>
          <rPr>
            <b/>
            <sz val="9"/>
            <color indexed="81"/>
            <rFont val="Tahoma"/>
            <family val="2"/>
          </rPr>
          <t>REMEMBER: 2-Fbr Tethers are NOT available for RPX CABLE!</t>
        </r>
      </text>
    </comment>
    <comment ref="B25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text>
        <r>
          <rPr>
            <b/>
            <sz val="8"/>
            <color indexed="81"/>
            <rFont val="Tahoma"/>
            <family val="2"/>
          </rPr>
          <t>Make sure you add this number to "TAT FIBERS ASSIGNED" for the total required in the Load Block on the prints.</t>
        </r>
      </text>
    </comment>
    <comment ref="G253" authorId="0" shapeId="0">
      <text>
        <r>
          <rPr>
            <b/>
            <sz val="8"/>
            <color indexed="81"/>
            <rFont val="Tahoma"/>
            <family val="2"/>
          </rPr>
          <t>Includes "DEAD" Count (No PON count assigned)</t>
        </r>
      </text>
    </comment>
    <comment ref="I25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text>
        <r>
          <rPr>
            <b/>
            <sz val="9"/>
            <color indexed="81"/>
            <rFont val="Tahoma"/>
            <family val="2"/>
          </rPr>
          <t>REMEMBER: 6-Fbr Tethers are NOT available for RPX CABLE!</t>
        </r>
      </text>
    </comment>
    <comment ref="Q254" authorId="1" shapeId="0">
      <text>
        <r>
          <rPr>
            <b/>
            <sz val="9"/>
            <color indexed="81"/>
            <rFont val="Tahoma"/>
            <family val="2"/>
          </rPr>
          <t>REMEMBER: 6-Fbr Tethers are NOT available for RPX CABLE!</t>
        </r>
      </text>
    </comment>
    <comment ref="S254" authorId="1" shapeId="0">
      <text>
        <r>
          <rPr>
            <b/>
            <sz val="9"/>
            <color indexed="81"/>
            <rFont val="Tahoma"/>
            <family val="2"/>
          </rPr>
          <t>REMEMBER: 6-Fbr Tethers are NOT available for RPX CABLE!</t>
        </r>
      </text>
    </comment>
    <comment ref="T254" authorId="1" shapeId="0">
      <text>
        <r>
          <rPr>
            <b/>
            <sz val="9"/>
            <color indexed="81"/>
            <rFont val="Tahoma"/>
            <family val="2"/>
          </rPr>
          <t>REMEMBER: 6-Fbr Tethers are NOT available for AERIAL CABLE!</t>
        </r>
      </text>
    </comment>
    <comment ref="B25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text>
        <r>
          <rPr>
            <b/>
            <sz val="8"/>
            <color indexed="81"/>
            <rFont val="Tahoma"/>
            <family val="2"/>
          </rPr>
          <t>These are "manufacturing rules" and general warnings</t>
        </r>
        <r>
          <rPr>
            <sz val="8"/>
            <color indexed="81"/>
            <rFont val="Tahoma"/>
            <family val="2"/>
          </rPr>
          <t xml:space="preserve">
</t>
        </r>
      </text>
    </comment>
    <comment ref="B25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text>
        <r>
          <rPr>
            <b/>
            <sz val="8"/>
            <color indexed="81"/>
            <rFont val="Tahoma"/>
            <family val="2"/>
          </rPr>
          <t>This number is a sum of TOTAL PLANNED plus the ASSIGNED TO TETHERS</t>
        </r>
        <r>
          <rPr>
            <sz val="8"/>
            <color indexed="81"/>
            <rFont val="Tahoma"/>
            <family val="2"/>
          </rPr>
          <t xml:space="preserve">
</t>
        </r>
      </text>
    </comment>
    <comment ref="Z260" authorId="0" shapeId="0">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text>
        <r>
          <rPr>
            <b/>
            <sz val="8"/>
            <color indexed="81"/>
            <rFont val="Tahoma"/>
            <family val="2"/>
          </rPr>
          <t>Counting from High count Backwards- this is Fiber Strand 133</t>
        </r>
      </text>
    </comment>
    <comment ref="AB260" authorId="0" shapeId="0">
      <text>
        <r>
          <rPr>
            <b/>
            <sz val="8"/>
            <color indexed="81"/>
            <rFont val="Tahoma"/>
            <family val="2"/>
          </rPr>
          <t>Counting from High count Backwards- this is Fiber Strand 144</t>
        </r>
        <r>
          <rPr>
            <sz val="8"/>
            <color indexed="81"/>
            <rFont val="Tahoma"/>
            <family val="2"/>
          </rPr>
          <t xml:space="preserve">
</t>
        </r>
      </text>
    </comment>
    <comment ref="C261" authorId="0" shapeId="0">
      <text>
        <r>
          <rPr>
            <b/>
            <sz val="8"/>
            <color indexed="81"/>
            <rFont val="Tahoma"/>
            <family val="2"/>
          </rPr>
          <t xml:space="preserve">Select if this tether will be used to feed a CFST or a lateral cable. </t>
        </r>
      </text>
    </comment>
    <comment ref="D261" authorId="0" shapeId="0">
      <text>
        <r>
          <rPr>
            <b/>
            <sz val="8"/>
            <color indexed="81"/>
            <rFont val="Tahoma"/>
            <family val="2"/>
          </rPr>
          <t>Note the Terminal Address to keep your locations straight</t>
        </r>
        <r>
          <rPr>
            <sz val="8"/>
            <color indexed="81"/>
            <rFont val="Tahoma"/>
            <family val="2"/>
          </rPr>
          <t xml:space="preserve">
</t>
        </r>
      </text>
    </comment>
    <comment ref="E261" authorId="0" shapeId="0">
      <text>
        <r>
          <rPr>
            <b/>
            <sz val="9"/>
            <color indexed="81"/>
            <rFont val="Calibri"/>
            <family val="2"/>
            <scheme val="minor"/>
          </rPr>
          <t>Pick the Tether Size for the location</t>
        </r>
        <r>
          <rPr>
            <sz val="8"/>
            <color indexed="81"/>
            <rFont val="Tahoma"/>
            <family val="2"/>
          </rPr>
          <t xml:space="preserve">
</t>
        </r>
      </text>
    </comment>
    <comment ref="F261" authorId="2" shapeId="0">
      <text>
        <r>
          <rPr>
            <b/>
            <sz val="9"/>
            <color indexed="81"/>
            <rFont val="Tahoma"/>
            <family val="2"/>
          </rPr>
          <t>Identify TCF or FST location.
Leave blank if tether is NOT for a TCF or FST!</t>
        </r>
      </text>
    </comment>
    <comment ref="H261" authorId="0" shapeId="0">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text>
        <r>
          <rPr>
            <b/>
            <sz val="8"/>
            <color indexed="81"/>
            <rFont val="Tahoma"/>
            <family val="2"/>
          </rPr>
          <t>If any of these numbers are negative, check your PON count and Cable size</t>
        </r>
      </text>
    </comment>
    <comment ref="J26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text>
        <r>
          <rPr>
            <b/>
            <sz val="9"/>
            <color indexed="81"/>
            <rFont val="Tahoma"/>
            <family val="2"/>
          </rPr>
          <t>Leave blank if using 10' Terminal Tail
Enter Tail length if greater than 10'</t>
        </r>
      </text>
    </comment>
    <comment ref="M261" authorId="0" shapeId="0">
      <text>
        <r>
          <rPr>
            <b/>
            <sz val="8"/>
            <color indexed="81"/>
            <rFont val="Tahoma"/>
            <family val="2"/>
          </rPr>
          <t>Make design notes such as slack coils, realingment loops,  or location notes</t>
        </r>
      </text>
    </comment>
    <comment ref="Z261" authorId="0" shapeId="0">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text>
        <r>
          <rPr>
            <b/>
            <sz val="8"/>
            <color indexed="81"/>
            <rFont val="Tahoma"/>
            <family val="2"/>
          </rPr>
          <t xml:space="preserve">Counting from High count Backwards- this is Fiber Strand 145
</t>
        </r>
      </text>
    </comment>
    <comment ref="AB261" authorId="0" shapeId="0">
      <text>
        <r>
          <rPr>
            <b/>
            <sz val="8"/>
            <color indexed="81"/>
            <rFont val="Tahoma"/>
            <family val="2"/>
          </rPr>
          <t>Counting from High count Backwards- this is Fiber Strand 156</t>
        </r>
      </text>
    </comment>
    <comment ref="J263" authorId="1" shapeId="0">
      <text>
        <r>
          <rPr>
            <b/>
            <sz val="9"/>
            <color indexed="81"/>
            <rFont val="Tahoma"/>
            <family val="2"/>
          </rPr>
          <t>If this highlights as an error, consider upsizing the Tether size for better ribbon utilization</t>
        </r>
      </text>
    </comment>
    <comment ref="J264" authorId="1" shapeId="0">
      <text>
        <r>
          <rPr>
            <b/>
            <sz val="9"/>
            <color indexed="81"/>
            <rFont val="Tahoma"/>
            <family val="2"/>
          </rPr>
          <t>If this highlights as an error, consider upsizing the Tether size for better ribbon utilization</t>
        </r>
      </text>
    </comment>
    <comment ref="J265" authorId="1" shapeId="0">
      <text>
        <r>
          <rPr>
            <b/>
            <sz val="9"/>
            <color indexed="81"/>
            <rFont val="Tahoma"/>
            <family val="2"/>
          </rPr>
          <t>If this highlights as an error, consider upsizing the Tether size for better ribbon utilization</t>
        </r>
      </text>
    </comment>
    <comment ref="J266" authorId="1" shapeId="0">
      <text>
        <r>
          <rPr>
            <b/>
            <sz val="9"/>
            <color indexed="81"/>
            <rFont val="Tahoma"/>
            <family val="2"/>
          </rPr>
          <t>If this highlights as an error, consider upsizing the Tether size for better ribbon utilization</t>
        </r>
      </text>
    </comment>
    <comment ref="J267" authorId="1" shapeId="0">
      <text>
        <r>
          <rPr>
            <b/>
            <sz val="9"/>
            <color indexed="81"/>
            <rFont val="Tahoma"/>
            <family val="2"/>
          </rPr>
          <t>If this highlights as an error, consider upsizing the Tether size for better ribbon utilization</t>
        </r>
      </text>
    </comment>
    <comment ref="J268" authorId="1" shapeId="0">
      <text>
        <r>
          <rPr>
            <b/>
            <sz val="9"/>
            <color indexed="81"/>
            <rFont val="Tahoma"/>
            <family val="2"/>
          </rPr>
          <t>If this highlights as an error, consider upsizing the Tether size for better ribbon utilization</t>
        </r>
      </text>
    </comment>
    <comment ref="J269" authorId="1" shapeId="0">
      <text>
        <r>
          <rPr>
            <b/>
            <sz val="9"/>
            <color indexed="81"/>
            <rFont val="Tahoma"/>
            <family val="2"/>
          </rPr>
          <t>If this highlights as an error, consider upsizing the Tether size for better ribbon utilization</t>
        </r>
      </text>
    </comment>
    <comment ref="J270" authorId="1" shapeId="0">
      <text>
        <r>
          <rPr>
            <b/>
            <sz val="9"/>
            <color indexed="81"/>
            <rFont val="Tahoma"/>
            <family val="2"/>
          </rPr>
          <t>If this highlights as an error, consider upsizing the Tether size for better ribbon utilization</t>
        </r>
      </text>
    </comment>
    <comment ref="J271" authorId="1" shapeId="0">
      <text>
        <r>
          <rPr>
            <b/>
            <sz val="9"/>
            <color indexed="81"/>
            <rFont val="Tahoma"/>
            <family val="2"/>
          </rPr>
          <t>If this highlights as an error, consider upsizing the Tether size for better ribbon utilization</t>
        </r>
      </text>
    </comment>
    <comment ref="J272" authorId="1" shapeId="0">
      <text>
        <r>
          <rPr>
            <b/>
            <sz val="9"/>
            <color indexed="81"/>
            <rFont val="Tahoma"/>
            <family val="2"/>
          </rPr>
          <t>If this highlights as an error, consider upsizing the Tether size for better ribbon utilization</t>
        </r>
      </text>
    </comment>
    <comment ref="J273" authorId="1" shapeId="0">
      <text>
        <r>
          <rPr>
            <b/>
            <sz val="9"/>
            <color indexed="81"/>
            <rFont val="Tahoma"/>
            <family val="2"/>
          </rPr>
          <t>If this highlights as an error, consider upsizing the Tether size for better ribbon utilization</t>
        </r>
      </text>
    </comment>
    <comment ref="J274" authorId="1" shapeId="0">
      <text>
        <r>
          <rPr>
            <b/>
            <sz val="9"/>
            <color indexed="81"/>
            <rFont val="Tahoma"/>
            <family val="2"/>
          </rPr>
          <t>If this highlights as an error, consider upsizing the Tether size for better ribbon utilization</t>
        </r>
      </text>
    </comment>
    <comment ref="J275" authorId="1" shapeId="0">
      <text>
        <r>
          <rPr>
            <b/>
            <sz val="9"/>
            <color indexed="81"/>
            <rFont val="Tahoma"/>
            <family val="2"/>
          </rPr>
          <t>If this highlights as an error, consider upsizing the Tether size for better ribbon utilization</t>
        </r>
      </text>
    </comment>
    <comment ref="J276" authorId="1" shapeId="0">
      <text>
        <r>
          <rPr>
            <b/>
            <sz val="9"/>
            <color indexed="81"/>
            <rFont val="Tahoma"/>
            <family val="2"/>
          </rPr>
          <t>If this highlights as an error, consider upsizing the Tether size for better ribbon utilization</t>
        </r>
      </text>
    </comment>
    <comment ref="J277" authorId="1" shapeId="0">
      <text>
        <r>
          <rPr>
            <b/>
            <sz val="9"/>
            <color indexed="81"/>
            <rFont val="Tahoma"/>
            <family val="2"/>
          </rPr>
          <t>If this highlights as an error, consider upsizing the Tether size for better ribbon utilization</t>
        </r>
      </text>
    </comment>
    <comment ref="J278" authorId="1" shapeId="0">
      <text>
        <r>
          <rPr>
            <b/>
            <sz val="9"/>
            <color indexed="81"/>
            <rFont val="Tahoma"/>
            <family val="2"/>
          </rPr>
          <t>If this highlights as an error, consider upsizing the Tether size for better ribbon utilization</t>
        </r>
      </text>
    </comment>
    <comment ref="J279" authorId="1" shapeId="0">
      <text>
        <r>
          <rPr>
            <b/>
            <sz val="9"/>
            <color indexed="81"/>
            <rFont val="Tahoma"/>
            <family val="2"/>
          </rPr>
          <t>If this highlights as an error, consider upsizing the Tether size for better ribbon utilization</t>
        </r>
      </text>
    </comment>
    <comment ref="J280" authorId="1" shapeId="0">
      <text>
        <r>
          <rPr>
            <b/>
            <sz val="9"/>
            <color indexed="81"/>
            <rFont val="Tahoma"/>
            <family val="2"/>
          </rPr>
          <t>If this highlights as an error, consider upsizing the Tether size for better ribbon utilization</t>
        </r>
      </text>
    </comment>
    <comment ref="C281" authorId="1" shapeId="0">
      <text>
        <r>
          <rPr>
            <b/>
            <sz val="9"/>
            <color indexed="81"/>
            <rFont val="Tahoma"/>
            <family val="2"/>
          </rPr>
          <t>DBL REV requires TWO rows!
TPL REV requires THREE rows!
QD REV requires FOUR rows!</t>
        </r>
      </text>
    </comment>
    <comment ref="J281" authorId="1" shapeId="0">
      <text>
        <r>
          <rPr>
            <b/>
            <sz val="9"/>
            <color indexed="81"/>
            <rFont val="Tahoma"/>
            <family val="2"/>
          </rPr>
          <t>If this highlights as an error, consider upsizing the Tether size for better ribbon utilization</t>
        </r>
      </text>
    </comment>
    <comment ref="C282" authorId="1" shapeId="0">
      <text>
        <r>
          <rPr>
            <b/>
            <sz val="9"/>
            <color indexed="81"/>
            <rFont val="Tahoma"/>
            <family val="2"/>
          </rPr>
          <t>DBL REV requires TWO rows!
TPL REV requires THREE rows!
QD REV requires FOUR rows!</t>
        </r>
      </text>
    </comment>
    <comment ref="J282" authorId="1" shapeId="0">
      <text>
        <r>
          <rPr>
            <b/>
            <sz val="9"/>
            <color indexed="81"/>
            <rFont val="Tahoma"/>
            <family val="2"/>
          </rPr>
          <t>If this highlights as an error, consider upsizing the Tether size for better ribbon utilization</t>
        </r>
      </text>
    </comment>
    <comment ref="C283" authorId="1" shapeId="0">
      <text>
        <r>
          <rPr>
            <b/>
            <sz val="9"/>
            <color indexed="81"/>
            <rFont val="Tahoma"/>
            <family val="2"/>
          </rPr>
          <t>DBL REV requires TWO rows!
TPL REV requires THREE rows!
QD REV requires FOUR rows!</t>
        </r>
      </text>
    </comment>
    <comment ref="J283" authorId="1" shapeId="0">
      <text>
        <r>
          <rPr>
            <b/>
            <sz val="9"/>
            <color indexed="81"/>
            <rFont val="Tahoma"/>
            <family val="2"/>
          </rPr>
          <t>If this highlights as an error, consider upsizing the Tether size for better ribbon utilization</t>
        </r>
      </text>
    </comment>
    <comment ref="C284" authorId="1" shapeId="0">
      <text>
        <r>
          <rPr>
            <b/>
            <sz val="9"/>
            <color indexed="81"/>
            <rFont val="Tahoma"/>
            <family val="2"/>
          </rPr>
          <t>DBL REV requires TWO rows!
TPL REV requires THREE rows!
QD REV requires FOUR rows!</t>
        </r>
      </text>
    </comment>
    <comment ref="J284" authorId="1" shapeId="0">
      <text>
        <r>
          <rPr>
            <b/>
            <sz val="9"/>
            <color indexed="81"/>
            <rFont val="Tahoma"/>
            <family val="2"/>
          </rPr>
          <t>If this highlights as an error, consider upsizing the Tether size for better ribbon utilization</t>
        </r>
      </text>
    </comment>
    <comment ref="C285" authorId="1" shapeId="0">
      <text>
        <r>
          <rPr>
            <b/>
            <sz val="9"/>
            <color indexed="81"/>
            <rFont val="Tahoma"/>
            <family val="2"/>
          </rPr>
          <t>DBL REV requires TWO rows!
TPL REV requires THREE rows!
QD REV requires FOUR rows!</t>
        </r>
      </text>
    </comment>
    <comment ref="J285" authorId="1" shapeId="0">
      <text>
        <r>
          <rPr>
            <b/>
            <sz val="9"/>
            <color indexed="81"/>
            <rFont val="Tahoma"/>
            <family val="2"/>
          </rPr>
          <t>If this highlights as an error, consider upsizing the Tether size for better ribbon utilization</t>
        </r>
      </text>
    </comment>
    <comment ref="C286" authorId="1" shapeId="0">
      <text>
        <r>
          <rPr>
            <b/>
            <sz val="9"/>
            <color indexed="81"/>
            <rFont val="Tahoma"/>
            <family val="2"/>
          </rPr>
          <t>DBL REV requires TWO rows!
TPL REV requires THREE rows!
QD REV requires FOUR rows!</t>
        </r>
      </text>
    </comment>
    <comment ref="J286" authorId="1" shapeId="0">
      <text>
        <r>
          <rPr>
            <b/>
            <sz val="9"/>
            <color indexed="81"/>
            <rFont val="Tahoma"/>
            <family val="2"/>
          </rPr>
          <t>If this highlights as an error, consider upsizing the Tether size for better ribbon utilization</t>
        </r>
      </text>
    </comment>
    <comment ref="C287" authorId="1" shapeId="0">
      <text>
        <r>
          <rPr>
            <b/>
            <sz val="9"/>
            <color indexed="81"/>
            <rFont val="Tahoma"/>
            <family val="2"/>
          </rPr>
          <t>DBL REV requires TWO rows!
TPL REV requires THREE rows!
QD REV requires FOUR rows!</t>
        </r>
      </text>
    </comment>
    <comment ref="J287" authorId="1" shapeId="0">
      <text>
        <r>
          <rPr>
            <b/>
            <sz val="9"/>
            <color indexed="81"/>
            <rFont val="Tahoma"/>
            <family val="2"/>
          </rPr>
          <t>If this highlights as an error, consider upsizing the Tether size for better ribbon utilization</t>
        </r>
      </text>
    </comment>
    <comment ref="B29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text>
        <r>
          <rPr>
            <b/>
            <sz val="8"/>
            <color indexed="81"/>
            <rFont val="Tahoma"/>
            <family val="2"/>
          </rPr>
          <t>This will be added to Planning Load Block A for TOTAL</t>
        </r>
        <r>
          <rPr>
            <sz val="8"/>
            <color indexed="81"/>
            <rFont val="Tahoma"/>
            <family val="2"/>
          </rPr>
          <t xml:space="preserve">
</t>
        </r>
      </text>
    </comment>
    <comment ref="J293" authorId="0" shapeId="0">
      <text>
        <r>
          <rPr>
            <b/>
            <sz val="8"/>
            <color indexed="81"/>
            <rFont val="Tahoma"/>
            <family val="2"/>
          </rPr>
          <t>This is the PON OUT count that is not assigned in this cable reel.</t>
        </r>
        <r>
          <rPr>
            <sz val="8"/>
            <color indexed="81"/>
            <rFont val="Tahoma"/>
            <family val="2"/>
          </rPr>
          <t xml:space="preserve">
</t>
        </r>
      </text>
    </comment>
    <comment ref="P293" authorId="1" shapeId="0">
      <text>
        <r>
          <rPr>
            <b/>
            <sz val="9"/>
            <color indexed="81"/>
            <rFont val="Tahoma"/>
            <family val="2"/>
          </rPr>
          <t>REMEMBER: 2-Fbr Tethers are NOT available for RPX CABLE!</t>
        </r>
      </text>
    </comment>
    <comment ref="Q293" authorId="1" shapeId="0">
      <text>
        <r>
          <rPr>
            <b/>
            <sz val="9"/>
            <color indexed="81"/>
            <rFont val="Tahoma"/>
            <family val="2"/>
          </rPr>
          <t>REMEMBER: 2-Fbr Tethers are NOT available for RPX CABLE!</t>
        </r>
      </text>
    </comment>
    <comment ref="S293" authorId="1" shapeId="0">
      <text>
        <r>
          <rPr>
            <b/>
            <sz val="9"/>
            <color indexed="81"/>
            <rFont val="Tahoma"/>
            <family val="2"/>
          </rPr>
          <t>REMEMBER: 2-Fbr Tethers are NOT available for RPX CABLE!</t>
        </r>
      </text>
    </comment>
    <comment ref="T293" authorId="1" shapeId="0">
      <text>
        <r>
          <rPr>
            <b/>
            <sz val="9"/>
            <color indexed="81"/>
            <rFont val="Tahoma"/>
            <family val="2"/>
          </rPr>
          <t>REMEMBER: 2-Fbr Tethers are NOT available for RPX CABLE!</t>
        </r>
      </text>
    </comment>
    <comment ref="B29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text>
        <r>
          <rPr>
            <b/>
            <sz val="8"/>
            <color indexed="81"/>
            <rFont val="Tahoma"/>
            <family val="2"/>
          </rPr>
          <t>Make sure you add this number to "TAT FIBERS ASSIGNED" for the total required in the Load Block on the prints.</t>
        </r>
      </text>
    </comment>
    <comment ref="G294" authorId="0" shapeId="0">
      <text>
        <r>
          <rPr>
            <b/>
            <sz val="8"/>
            <color indexed="81"/>
            <rFont val="Tahoma"/>
            <family val="2"/>
          </rPr>
          <t>Includes "DEAD" Count (No PON count assigned)</t>
        </r>
      </text>
    </comment>
    <comment ref="I29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text>
        <r>
          <rPr>
            <b/>
            <sz val="9"/>
            <color indexed="81"/>
            <rFont val="Tahoma"/>
            <family val="2"/>
          </rPr>
          <t>REMEMBER: 6-Fbr Tethers are NOT available for RPX CABLE!</t>
        </r>
      </text>
    </comment>
    <comment ref="Q295" authorId="1" shapeId="0">
      <text>
        <r>
          <rPr>
            <b/>
            <sz val="9"/>
            <color indexed="81"/>
            <rFont val="Tahoma"/>
            <family val="2"/>
          </rPr>
          <t>REMEMBER: 6-Fbr Tethers are NOT available for RPX CABLE!</t>
        </r>
      </text>
    </comment>
    <comment ref="S295" authorId="1" shapeId="0">
      <text>
        <r>
          <rPr>
            <b/>
            <sz val="9"/>
            <color indexed="81"/>
            <rFont val="Tahoma"/>
            <family val="2"/>
          </rPr>
          <t>REMEMBER: 6-Fbr Tethers are NOT available for RPX CABLE!</t>
        </r>
      </text>
    </comment>
    <comment ref="T295" authorId="1" shapeId="0">
      <text>
        <r>
          <rPr>
            <b/>
            <sz val="9"/>
            <color indexed="81"/>
            <rFont val="Tahoma"/>
            <family val="2"/>
          </rPr>
          <t>REMEMBER: 6-Fbr Tethers are NOT available for AERIAL CABLE!</t>
        </r>
      </text>
    </comment>
    <comment ref="B29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text>
        <r>
          <rPr>
            <b/>
            <sz val="8"/>
            <color indexed="81"/>
            <rFont val="Tahoma"/>
            <family val="2"/>
          </rPr>
          <t>These are "manufacturing rules" and general warnings</t>
        </r>
        <r>
          <rPr>
            <sz val="8"/>
            <color indexed="81"/>
            <rFont val="Tahoma"/>
            <family val="2"/>
          </rPr>
          <t xml:space="preserve">
</t>
        </r>
      </text>
    </comment>
    <comment ref="B29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text>
        <r>
          <rPr>
            <b/>
            <sz val="8"/>
            <color indexed="81"/>
            <rFont val="Tahoma"/>
            <family val="2"/>
          </rPr>
          <t>This number is a sum of TOTAL PLANNED plus the ASSIGNED TO TETHERS</t>
        </r>
        <r>
          <rPr>
            <sz val="8"/>
            <color indexed="81"/>
            <rFont val="Tahoma"/>
            <family val="2"/>
          </rPr>
          <t xml:space="preserve">
</t>
        </r>
      </text>
    </comment>
    <comment ref="Z301" authorId="0" shapeId="0">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text>
        <r>
          <rPr>
            <b/>
            <sz val="8"/>
            <color indexed="81"/>
            <rFont val="Tahoma"/>
            <family val="2"/>
          </rPr>
          <t>Counting from High count Backwards- this is Fiber Strand 133</t>
        </r>
      </text>
    </comment>
    <comment ref="AB301" authorId="0" shapeId="0">
      <text>
        <r>
          <rPr>
            <b/>
            <sz val="8"/>
            <color indexed="81"/>
            <rFont val="Tahoma"/>
            <family val="2"/>
          </rPr>
          <t>Counting from High count Backwards- this is Fiber Strand 144</t>
        </r>
        <r>
          <rPr>
            <sz val="8"/>
            <color indexed="81"/>
            <rFont val="Tahoma"/>
            <family val="2"/>
          </rPr>
          <t xml:space="preserve">
</t>
        </r>
      </text>
    </comment>
    <comment ref="C302" authorId="0" shapeId="0">
      <text>
        <r>
          <rPr>
            <b/>
            <sz val="8"/>
            <color indexed="81"/>
            <rFont val="Tahoma"/>
            <family val="2"/>
          </rPr>
          <t xml:space="preserve">Select if this tether will be used to feed a CFST or a lateral cable. </t>
        </r>
      </text>
    </comment>
    <comment ref="D302" authorId="0" shapeId="0">
      <text>
        <r>
          <rPr>
            <b/>
            <sz val="8"/>
            <color indexed="81"/>
            <rFont val="Tahoma"/>
            <family val="2"/>
          </rPr>
          <t>Note the Terminal Address to keep your locations straight</t>
        </r>
        <r>
          <rPr>
            <sz val="8"/>
            <color indexed="81"/>
            <rFont val="Tahoma"/>
            <family val="2"/>
          </rPr>
          <t xml:space="preserve">
</t>
        </r>
      </text>
    </comment>
    <comment ref="E302" authorId="0" shapeId="0">
      <text>
        <r>
          <rPr>
            <b/>
            <sz val="9"/>
            <color indexed="81"/>
            <rFont val="Calibri"/>
            <family val="2"/>
            <scheme val="minor"/>
          </rPr>
          <t>Pick the Tether Size for the location</t>
        </r>
        <r>
          <rPr>
            <sz val="8"/>
            <color indexed="81"/>
            <rFont val="Tahoma"/>
            <family val="2"/>
          </rPr>
          <t xml:space="preserve">
</t>
        </r>
      </text>
    </comment>
    <comment ref="F302" authorId="2" shapeId="0">
      <text>
        <r>
          <rPr>
            <b/>
            <sz val="9"/>
            <color indexed="81"/>
            <rFont val="Tahoma"/>
            <family val="2"/>
          </rPr>
          <t>Identify TCF or FST location.
Leave blank if tether is NOT for a TCF or FST!</t>
        </r>
      </text>
    </comment>
    <comment ref="H302" authorId="0" shapeId="0">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text>
        <r>
          <rPr>
            <b/>
            <sz val="8"/>
            <color indexed="81"/>
            <rFont val="Tahoma"/>
            <family val="2"/>
          </rPr>
          <t>If any of these numbers are negative, check your PON count and Cable size</t>
        </r>
      </text>
    </comment>
    <comment ref="J30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text>
        <r>
          <rPr>
            <b/>
            <sz val="9"/>
            <color indexed="81"/>
            <rFont val="Tahoma"/>
            <family val="2"/>
          </rPr>
          <t>Leave blank if using 10' Terminal Tail
Enter Tail length if greater than 10'</t>
        </r>
      </text>
    </comment>
    <comment ref="M302" authorId="0" shapeId="0">
      <text>
        <r>
          <rPr>
            <b/>
            <sz val="8"/>
            <color indexed="81"/>
            <rFont val="Tahoma"/>
            <family val="2"/>
          </rPr>
          <t>Make design notes such as slack coils, realingment loops,  or location notes</t>
        </r>
      </text>
    </comment>
    <comment ref="Z302" authorId="0" shapeId="0">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text>
        <r>
          <rPr>
            <b/>
            <sz val="8"/>
            <color indexed="81"/>
            <rFont val="Tahoma"/>
            <family val="2"/>
          </rPr>
          <t xml:space="preserve">Counting from High count Backwards- this is Fiber Strand 145
</t>
        </r>
      </text>
    </comment>
    <comment ref="AB302" authorId="0" shapeId="0">
      <text>
        <r>
          <rPr>
            <b/>
            <sz val="8"/>
            <color indexed="81"/>
            <rFont val="Tahoma"/>
            <family val="2"/>
          </rPr>
          <t>Counting from High count Backwards- this is Fiber Strand 156</t>
        </r>
      </text>
    </comment>
    <comment ref="J304" authorId="1" shapeId="0">
      <text>
        <r>
          <rPr>
            <b/>
            <sz val="9"/>
            <color indexed="81"/>
            <rFont val="Tahoma"/>
            <family val="2"/>
          </rPr>
          <t>If this highlights as an error, consider upsizing the Tether size for better ribbon utilization</t>
        </r>
      </text>
    </comment>
    <comment ref="J305" authorId="1" shapeId="0">
      <text>
        <r>
          <rPr>
            <b/>
            <sz val="9"/>
            <color indexed="81"/>
            <rFont val="Tahoma"/>
            <family val="2"/>
          </rPr>
          <t>If this highlights as an error, consider upsizing the Tether size for better ribbon utilization</t>
        </r>
      </text>
    </comment>
    <comment ref="J306" authorId="1" shapeId="0">
      <text>
        <r>
          <rPr>
            <b/>
            <sz val="9"/>
            <color indexed="81"/>
            <rFont val="Tahoma"/>
            <family val="2"/>
          </rPr>
          <t>If this highlights as an error, consider upsizing the Tether size for better ribbon utilization</t>
        </r>
      </text>
    </comment>
    <comment ref="J307" authorId="1" shapeId="0">
      <text>
        <r>
          <rPr>
            <b/>
            <sz val="9"/>
            <color indexed="81"/>
            <rFont val="Tahoma"/>
            <family val="2"/>
          </rPr>
          <t>If this highlights as an error, consider upsizing the Tether size for better ribbon utilization</t>
        </r>
      </text>
    </comment>
    <comment ref="J308" authorId="1" shapeId="0">
      <text>
        <r>
          <rPr>
            <b/>
            <sz val="9"/>
            <color indexed="81"/>
            <rFont val="Tahoma"/>
            <family val="2"/>
          </rPr>
          <t>If this highlights as an error, consider upsizing the Tether size for better ribbon utilization</t>
        </r>
      </text>
    </comment>
    <comment ref="J309" authorId="1" shapeId="0">
      <text>
        <r>
          <rPr>
            <b/>
            <sz val="9"/>
            <color indexed="81"/>
            <rFont val="Tahoma"/>
            <family val="2"/>
          </rPr>
          <t>If this highlights as an error, consider upsizing the Tether size for better ribbon utilization</t>
        </r>
      </text>
    </comment>
    <comment ref="J310" authorId="1" shapeId="0">
      <text>
        <r>
          <rPr>
            <b/>
            <sz val="9"/>
            <color indexed="81"/>
            <rFont val="Tahoma"/>
            <family val="2"/>
          </rPr>
          <t>If this highlights as an error, consider upsizing the Tether size for better ribbon utilization</t>
        </r>
      </text>
    </comment>
    <comment ref="J311" authorId="1" shapeId="0">
      <text>
        <r>
          <rPr>
            <b/>
            <sz val="9"/>
            <color indexed="81"/>
            <rFont val="Tahoma"/>
            <family val="2"/>
          </rPr>
          <t>If this highlights as an error, consider upsizing the Tether size for better ribbon utilization</t>
        </r>
      </text>
    </comment>
    <comment ref="J312" authorId="1" shapeId="0">
      <text>
        <r>
          <rPr>
            <b/>
            <sz val="9"/>
            <color indexed="81"/>
            <rFont val="Tahoma"/>
            <family val="2"/>
          </rPr>
          <t>If this highlights as an error, consider upsizing the Tether size for better ribbon utilization</t>
        </r>
      </text>
    </comment>
    <comment ref="J313" authorId="1" shapeId="0">
      <text>
        <r>
          <rPr>
            <b/>
            <sz val="9"/>
            <color indexed="81"/>
            <rFont val="Tahoma"/>
            <family val="2"/>
          </rPr>
          <t>If this highlights as an error, consider upsizing the Tether size for better ribbon utilization</t>
        </r>
      </text>
    </comment>
    <comment ref="J314" authorId="1" shapeId="0">
      <text>
        <r>
          <rPr>
            <b/>
            <sz val="9"/>
            <color indexed="81"/>
            <rFont val="Tahoma"/>
            <family val="2"/>
          </rPr>
          <t>If this highlights as an error, consider upsizing the Tether size for better ribbon utilization</t>
        </r>
      </text>
    </comment>
    <comment ref="J315" authorId="1" shapeId="0">
      <text>
        <r>
          <rPr>
            <b/>
            <sz val="9"/>
            <color indexed="81"/>
            <rFont val="Tahoma"/>
            <family val="2"/>
          </rPr>
          <t>If this highlights as an error, consider upsizing the Tether size for better ribbon utilization</t>
        </r>
      </text>
    </comment>
    <comment ref="J316" authorId="1" shapeId="0">
      <text>
        <r>
          <rPr>
            <b/>
            <sz val="9"/>
            <color indexed="81"/>
            <rFont val="Tahoma"/>
            <family val="2"/>
          </rPr>
          <t>If this highlights as an error, consider upsizing the Tether size for better ribbon utilization</t>
        </r>
      </text>
    </comment>
    <comment ref="J317" authorId="1" shapeId="0">
      <text>
        <r>
          <rPr>
            <b/>
            <sz val="9"/>
            <color indexed="81"/>
            <rFont val="Tahoma"/>
            <family val="2"/>
          </rPr>
          <t>If this highlights as an error, consider upsizing the Tether size for better ribbon utilization</t>
        </r>
      </text>
    </comment>
    <comment ref="J318" authorId="1" shapeId="0">
      <text>
        <r>
          <rPr>
            <b/>
            <sz val="9"/>
            <color indexed="81"/>
            <rFont val="Tahoma"/>
            <family val="2"/>
          </rPr>
          <t>If this highlights as an error, consider upsizing the Tether size for better ribbon utilization</t>
        </r>
      </text>
    </comment>
    <comment ref="J319" authorId="1" shapeId="0">
      <text>
        <r>
          <rPr>
            <b/>
            <sz val="9"/>
            <color indexed="81"/>
            <rFont val="Tahoma"/>
            <family val="2"/>
          </rPr>
          <t>If this highlights as an error, consider upsizing the Tether size for better ribbon utilization</t>
        </r>
      </text>
    </comment>
    <comment ref="J320" authorId="1" shapeId="0">
      <text>
        <r>
          <rPr>
            <b/>
            <sz val="9"/>
            <color indexed="81"/>
            <rFont val="Tahoma"/>
            <family val="2"/>
          </rPr>
          <t>If this highlights as an error, consider upsizing the Tether size for better ribbon utilization</t>
        </r>
      </text>
    </comment>
    <comment ref="J321" authorId="1" shapeId="0">
      <text>
        <r>
          <rPr>
            <b/>
            <sz val="9"/>
            <color indexed="81"/>
            <rFont val="Tahoma"/>
            <family val="2"/>
          </rPr>
          <t>If this highlights as an error, consider upsizing the Tether size for better ribbon utilization</t>
        </r>
      </text>
    </comment>
    <comment ref="C322" authorId="1" shapeId="0">
      <text>
        <r>
          <rPr>
            <b/>
            <sz val="9"/>
            <color indexed="81"/>
            <rFont val="Tahoma"/>
            <family val="2"/>
          </rPr>
          <t>DBL REV requires TWO rows!
TPL REV requires THREE rows!
QD REV requires FOUR rows!</t>
        </r>
      </text>
    </comment>
    <comment ref="J322" authorId="1" shapeId="0">
      <text>
        <r>
          <rPr>
            <b/>
            <sz val="9"/>
            <color indexed="81"/>
            <rFont val="Tahoma"/>
            <family val="2"/>
          </rPr>
          <t>If this highlights as an error, consider upsizing the Tether size for better ribbon utilization</t>
        </r>
      </text>
    </comment>
    <comment ref="C323" authorId="1" shapeId="0">
      <text>
        <r>
          <rPr>
            <b/>
            <sz val="9"/>
            <color indexed="81"/>
            <rFont val="Tahoma"/>
            <family val="2"/>
          </rPr>
          <t>DBL REV requires TWO rows!
TPL REV requires THREE rows!
QD REV requires FOUR rows!</t>
        </r>
      </text>
    </comment>
    <comment ref="J323" authorId="1" shapeId="0">
      <text>
        <r>
          <rPr>
            <b/>
            <sz val="9"/>
            <color indexed="81"/>
            <rFont val="Tahoma"/>
            <family val="2"/>
          </rPr>
          <t>If this highlights as an error, consider upsizing the Tether size for better ribbon utilization</t>
        </r>
      </text>
    </comment>
    <comment ref="C324" authorId="1" shapeId="0">
      <text>
        <r>
          <rPr>
            <b/>
            <sz val="9"/>
            <color indexed="81"/>
            <rFont val="Tahoma"/>
            <family val="2"/>
          </rPr>
          <t>DBL REV requires TWO rows!
TPL REV requires THREE rows!
QD REV requires FOUR rows!</t>
        </r>
      </text>
    </comment>
    <comment ref="J324" authorId="1" shapeId="0">
      <text>
        <r>
          <rPr>
            <b/>
            <sz val="9"/>
            <color indexed="81"/>
            <rFont val="Tahoma"/>
            <family val="2"/>
          </rPr>
          <t>If this highlights as an error, consider upsizing the Tether size for better ribbon utilization</t>
        </r>
      </text>
    </comment>
    <comment ref="C325" authorId="1" shapeId="0">
      <text>
        <r>
          <rPr>
            <b/>
            <sz val="9"/>
            <color indexed="81"/>
            <rFont val="Tahoma"/>
            <family val="2"/>
          </rPr>
          <t>DBL REV requires TWO rows!
TPL REV requires THREE rows!
QD REV requires FOUR rows!</t>
        </r>
      </text>
    </comment>
    <comment ref="J325" authorId="1" shapeId="0">
      <text>
        <r>
          <rPr>
            <b/>
            <sz val="9"/>
            <color indexed="81"/>
            <rFont val="Tahoma"/>
            <family val="2"/>
          </rPr>
          <t>If this highlights as an error, consider upsizing the Tether size for better ribbon utilization</t>
        </r>
      </text>
    </comment>
    <comment ref="C326" authorId="1" shapeId="0">
      <text>
        <r>
          <rPr>
            <b/>
            <sz val="9"/>
            <color indexed="81"/>
            <rFont val="Tahoma"/>
            <family val="2"/>
          </rPr>
          <t>DBL REV requires TWO rows!
TPL REV requires THREE rows!
QD REV requires FOUR rows!</t>
        </r>
      </text>
    </comment>
    <comment ref="J326" authorId="1" shapeId="0">
      <text>
        <r>
          <rPr>
            <b/>
            <sz val="9"/>
            <color indexed="81"/>
            <rFont val="Tahoma"/>
            <family val="2"/>
          </rPr>
          <t>If this highlights as an error, consider upsizing the Tether size for better ribbon utilization</t>
        </r>
      </text>
    </comment>
    <comment ref="C327" authorId="1" shapeId="0">
      <text>
        <r>
          <rPr>
            <b/>
            <sz val="9"/>
            <color indexed="81"/>
            <rFont val="Tahoma"/>
            <family val="2"/>
          </rPr>
          <t>DBL REV requires TWO rows!
TPL REV requires THREE rows!
QD REV requires FOUR rows!</t>
        </r>
      </text>
    </comment>
    <comment ref="J327" authorId="1" shapeId="0">
      <text>
        <r>
          <rPr>
            <b/>
            <sz val="9"/>
            <color indexed="81"/>
            <rFont val="Tahoma"/>
            <family val="2"/>
          </rPr>
          <t>If this highlights as an error, consider upsizing the Tether size for better ribbon utilization</t>
        </r>
      </text>
    </comment>
    <comment ref="C328" authorId="1" shapeId="0">
      <text>
        <r>
          <rPr>
            <b/>
            <sz val="9"/>
            <color indexed="81"/>
            <rFont val="Tahoma"/>
            <family val="2"/>
          </rPr>
          <t>DBL REV requires TWO rows!
TPL REV requires THREE rows!
QD REV requires FOUR rows!</t>
        </r>
      </text>
    </comment>
    <comment ref="J328" authorId="1" shapeId="0">
      <text>
        <r>
          <rPr>
            <b/>
            <sz val="9"/>
            <color indexed="81"/>
            <rFont val="Tahoma"/>
            <family val="2"/>
          </rPr>
          <t>If this highlights as an error, consider upsizing the Tether size for better ribbon utilization</t>
        </r>
      </text>
    </comment>
    <comment ref="B33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text>
        <r>
          <rPr>
            <b/>
            <sz val="8"/>
            <color indexed="81"/>
            <rFont val="Tahoma"/>
            <family val="2"/>
          </rPr>
          <t>This will be added to Planning Load Block A for TOTAL</t>
        </r>
        <r>
          <rPr>
            <sz val="8"/>
            <color indexed="81"/>
            <rFont val="Tahoma"/>
            <family val="2"/>
          </rPr>
          <t xml:space="preserve">
</t>
        </r>
      </text>
    </comment>
    <comment ref="J334" authorId="0" shapeId="0">
      <text>
        <r>
          <rPr>
            <b/>
            <sz val="8"/>
            <color indexed="81"/>
            <rFont val="Tahoma"/>
            <family val="2"/>
          </rPr>
          <t>This is the PON OUT count that is not assigned in this cable reel.</t>
        </r>
        <r>
          <rPr>
            <sz val="8"/>
            <color indexed="81"/>
            <rFont val="Tahoma"/>
            <family val="2"/>
          </rPr>
          <t xml:space="preserve">
</t>
        </r>
      </text>
    </comment>
    <comment ref="P334" authorId="1" shapeId="0">
      <text>
        <r>
          <rPr>
            <b/>
            <sz val="9"/>
            <color indexed="81"/>
            <rFont val="Tahoma"/>
            <family val="2"/>
          </rPr>
          <t>REMEMBER: 2-Fbr Tethers are NOT available for RPX CABLE!</t>
        </r>
      </text>
    </comment>
    <comment ref="Q334" authorId="1" shapeId="0">
      <text>
        <r>
          <rPr>
            <b/>
            <sz val="9"/>
            <color indexed="81"/>
            <rFont val="Tahoma"/>
            <family val="2"/>
          </rPr>
          <t>REMEMBER: 2-Fbr Tethers are NOT available for RPX CABLE!</t>
        </r>
      </text>
    </comment>
    <comment ref="S334" authorId="1" shapeId="0">
      <text>
        <r>
          <rPr>
            <b/>
            <sz val="9"/>
            <color indexed="81"/>
            <rFont val="Tahoma"/>
            <family val="2"/>
          </rPr>
          <t>REMEMBER: 2-Fbr Tethers are NOT available for RPX CABLE!</t>
        </r>
      </text>
    </comment>
    <comment ref="T334" authorId="1" shapeId="0">
      <text>
        <r>
          <rPr>
            <b/>
            <sz val="9"/>
            <color indexed="81"/>
            <rFont val="Tahoma"/>
            <family val="2"/>
          </rPr>
          <t>REMEMBER: 2-Fbr Tethers are NOT available for RPX CABLE!</t>
        </r>
      </text>
    </comment>
    <comment ref="B33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text>
        <r>
          <rPr>
            <b/>
            <sz val="8"/>
            <color indexed="81"/>
            <rFont val="Tahoma"/>
            <family val="2"/>
          </rPr>
          <t>Make sure you add this number to "TAT FIBERS ASSIGNED" for the total required in the Load Block on the prints.</t>
        </r>
      </text>
    </comment>
    <comment ref="G335" authorId="0" shapeId="0">
      <text>
        <r>
          <rPr>
            <b/>
            <sz val="8"/>
            <color indexed="81"/>
            <rFont val="Tahoma"/>
            <family val="2"/>
          </rPr>
          <t>Includes "DEAD" Count (No PON count assigned)</t>
        </r>
      </text>
    </comment>
    <comment ref="I33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text>
        <r>
          <rPr>
            <b/>
            <sz val="9"/>
            <color indexed="81"/>
            <rFont val="Tahoma"/>
            <family val="2"/>
          </rPr>
          <t>REMEMBER: 6-Fbr Tethers are NOT available for RPX CABLE!</t>
        </r>
      </text>
    </comment>
    <comment ref="Q336" authorId="1" shapeId="0">
      <text>
        <r>
          <rPr>
            <b/>
            <sz val="9"/>
            <color indexed="81"/>
            <rFont val="Tahoma"/>
            <family val="2"/>
          </rPr>
          <t>REMEMBER: 6-Fbr Tethers are NOT available for RPX CABLE!</t>
        </r>
      </text>
    </comment>
    <comment ref="S336" authorId="1" shapeId="0">
      <text>
        <r>
          <rPr>
            <b/>
            <sz val="9"/>
            <color indexed="81"/>
            <rFont val="Tahoma"/>
            <family val="2"/>
          </rPr>
          <t>REMEMBER: 6-Fbr Tethers are NOT available for RPX CABLE!</t>
        </r>
      </text>
    </comment>
    <comment ref="T336" authorId="1" shapeId="0">
      <text>
        <r>
          <rPr>
            <b/>
            <sz val="9"/>
            <color indexed="81"/>
            <rFont val="Tahoma"/>
            <family val="2"/>
          </rPr>
          <t>REMEMBER: 6-Fbr Tethers are NOT available for AERIAL CABLE!</t>
        </r>
      </text>
    </comment>
    <comment ref="B33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text>
        <r>
          <rPr>
            <b/>
            <sz val="8"/>
            <color indexed="81"/>
            <rFont val="Tahoma"/>
            <family val="2"/>
          </rPr>
          <t>These are "manufacturing rules" and general warnings</t>
        </r>
        <r>
          <rPr>
            <sz val="8"/>
            <color indexed="81"/>
            <rFont val="Tahoma"/>
            <family val="2"/>
          </rPr>
          <t xml:space="preserve">
</t>
        </r>
      </text>
    </comment>
    <comment ref="B34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text>
        <r>
          <rPr>
            <b/>
            <sz val="8"/>
            <color indexed="81"/>
            <rFont val="Tahoma"/>
            <family val="2"/>
          </rPr>
          <t>This number is a sum of TOTAL PLANNED plus the ASSIGNED TO TETHERS</t>
        </r>
        <r>
          <rPr>
            <sz val="8"/>
            <color indexed="81"/>
            <rFont val="Tahoma"/>
            <family val="2"/>
          </rPr>
          <t xml:space="preserve">
</t>
        </r>
      </text>
    </comment>
    <comment ref="Z342" authorId="0" shapeId="0">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text>
        <r>
          <rPr>
            <b/>
            <sz val="8"/>
            <color indexed="81"/>
            <rFont val="Tahoma"/>
            <family val="2"/>
          </rPr>
          <t>Counting from High count Backwards- this is Fiber Strand 133</t>
        </r>
      </text>
    </comment>
    <comment ref="AB342" authorId="0" shapeId="0">
      <text>
        <r>
          <rPr>
            <b/>
            <sz val="8"/>
            <color indexed="81"/>
            <rFont val="Tahoma"/>
            <family val="2"/>
          </rPr>
          <t>Counting from High count Backwards- this is Fiber Strand 144</t>
        </r>
        <r>
          <rPr>
            <sz val="8"/>
            <color indexed="81"/>
            <rFont val="Tahoma"/>
            <family val="2"/>
          </rPr>
          <t xml:space="preserve">
</t>
        </r>
      </text>
    </comment>
    <comment ref="C343" authorId="0" shapeId="0">
      <text>
        <r>
          <rPr>
            <b/>
            <sz val="8"/>
            <color indexed="81"/>
            <rFont val="Tahoma"/>
            <family val="2"/>
          </rPr>
          <t xml:space="preserve">Select if this tether will be used to feed a CFST or a lateral cable. </t>
        </r>
      </text>
    </comment>
    <comment ref="D343" authorId="0" shapeId="0">
      <text>
        <r>
          <rPr>
            <b/>
            <sz val="8"/>
            <color indexed="81"/>
            <rFont val="Tahoma"/>
            <family val="2"/>
          </rPr>
          <t>Note the Terminal Address to keep your locations straight</t>
        </r>
        <r>
          <rPr>
            <sz val="8"/>
            <color indexed="81"/>
            <rFont val="Tahoma"/>
            <family val="2"/>
          </rPr>
          <t xml:space="preserve">
</t>
        </r>
      </text>
    </comment>
    <comment ref="E343" authorId="0" shapeId="0">
      <text>
        <r>
          <rPr>
            <b/>
            <sz val="9"/>
            <color indexed="81"/>
            <rFont val="Calibri"/>
            <family val="2"/>
            <scheme val="minor"/>
          </rPr>
          <t>Pick the Tether Size for the location</t>
        </r>
        <r>
          <rPr>
            <sz val="8"/>
            <color indexed="81"/>
            <rFont val="Tahoma"/>
            <family val="2"/>
          </rPr>
          <t xml:space="preserve">
</t>
        </r>
      </text>
    </comment>
    <comment ref="F343" authorId="2" shapeId="0">
      <text>
        <r>
          <rPr>
            <b/>
            <sz val="9"/>
            <color indexed="81"/>
            <rFont val="Tahoma"/>
            <family val="2"/>
          </rPr>
          <t>Identify TCF or FST location.
Leave blank if tether is NOT for a TCF or FST!</t>
        </r>
      </text>
    </comment>
    <comment ref="H343" authorId="0" shapeId="0">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text>
        <r>
          <rPr>
            <b/>
            <sz val="8"/>
            <color indexed="81"/>
            <rFont val="Tahoma"/>
            <family val="2"/>
          </rPr>
          <t>If any of these numbers are negative, check your PON count and Cable size</t>
        </r>
      </text>
    </comment>
    <comment ref="J34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text>
        <r>
          <rPr>
            <b/>
            <sz val="9"/>
            <color indexed="81"/>
            <rFont val="Tahoma"/>
            <family val="2"/>
          </rPr>
          <t>Leave blank if using 10' Terminal Tail
Enter Tail length if greater than 10'</t>
        </r>
      </text>
    </comment>
    <comment ref="M343" authorId="0" shapeId="0">
      <text>
        <r>
          <rPr>
            <b/>
            <sz val="8"/>
            <color indexed="81"/>
            <rFont val="Tahoma"/>
            <family val="2"/>
          </rPr>
          <t>Make design notes such as slack coils, realingment loops,  or location notes</t>
        </r>
      </text>
    </comment>
    <comment ref="Z343" authorId="0" shapeId="0">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text>
        <r>
          <rPr>
            <b/>
            <sz val="8"/>
            <color indexed="81"/>
            <rFont val="Tahoma"/>
            <family val="2"/>
          </rPr>
          <t xml:space="preserve">Counting from High count Backwards- this is Fiber Strand 145
</t>
        </r>
      </text>
    </comment>
    <comment ref="AB343" authorId="0" shapeId="0">
      <text>
        <r>
          <rPr>
            <b/>
            <sz val="8"/>
            <color indexed="81"/>
            <rFont val="Tahoma"/>
            <family val="2"/>
          </rPr>
          <t>Counting from High count Backwards- this is Fiber Strand 156</t>
        </r>
      </text>
    </comment>
    <comment ref="J345" authorId="1" shapeId="0">
      <text>
        <r>
          <rPr>
            <b/>
            <sz val="9"/>
            <color indexed="81"/>
            <rFont val="Tahoma"/>
            <family val="2"/>
          </rPr>
          <t>If this highlights as an error, consider upsizing the Tether size for better ribbon utilization</t>
        </r>
      </text>
    </comment>
    <comment ref="J346" authorId="1" shapeId="0">
      <text>
        <r>
          <rPr>
            <b/>
            <sz val="9"/>
            <color indexed="81"/>
            <rFont val="Tahoma"/>
            <family val="2"/>
          </rPr>
          <t>If this highlights as an error, consider upsizing the Tether size for better ribbon utilization</t>
        </r>
      </text>
    </comment>
    <comment ref="J347" authorId="1" shapeId="0">
      <text>
        <r>
          <rPr>
            <b/>
            <sz val="9"/>
            <color indexed="81"/>
            <rFont val="Tahoma"/>
            <family val="2"/>
          </rPr>
          <t>If this highlights as an error, consider upsizing the Tether size for better ribbon utilization</t>
        </r>
      </text>
    </comment>
    <comment ref="J348" authorId="1" shapeId="0">
      <text>
        <r>
          <rPr>
            <b/>
            <sz val="9"/>
            <color indexed="81"/>
            <rFont val="Tahoma"/>
            <family val="2"/>
          </rPr>
          <t>If this highlights as an error, consider upsizing the Tether size for better ribbon utilization</t>
        </r>
      </text>
    </comment>
    <comment ref="J349" authorId="1" shapeId="0">
      <text>
        <r>
          <rPr>
            <b/>
            <sz val="9"/>
            <color indexed="81"/>
            <rFont val="Tahoma"/>
            <family val="2"/>
          </rPr>
          <t>If this highlights as an error, consider upsizing the Tether size for better ribbon utilization</t>
        </r>
      </text>
    </comment>
    <comment ref="J350" authorId="1" shapeId="0">
      <text>
        <r>
          <rPr>
            <b/>
            <sz val="9"/>
            <color indexed="81"/>
            <rFont val="Tahoma"/>
            <family val="2"/>
          </rPr>
          <t>If this highlights as an error, consider upsizing the Tether size for better ribbon utilization</t>
        </r>
      </text>
    </comment>
    <comment ref="J351" authorId="1" shapeId="0">
      <text>
        <r>
          <rPr>
            <b/>
            <sz val="9"/>
            <color indexed="81"/>
            <rFont val="Tahoma"/>
            <family val="2"/>
          </rPr>
          <t>If this highlights as an error, consider upsizing the Tether size for better ribbon utilization</t>
        </r>
      </text>
    </comment>
    <comment ref="J352" authorId="1" shapeId="0">
      <text>
        <r>
          <rPr>
            <b/>
            <sz val="9"/>
            <color indexed="81"/>
            <rFont val="Tahoma"/>
            <family val="2"/>
          </rPr>
          <t>If this highlights as an error, consider upsizing the Tether size for better ribbon utilization</t>
        </r>
      </text>
    </comment>
    <comment ref="J353" authorId="1" shapeId="0">
      <text>
        <r>
          <rPr>
            <b/>
            <sz val="9"/>
            <color indexed="81"/>
            <rFont val="Tahoma"/>
            <family val="2"/>
          </rPr>
          <t>If this highlights as an error, consider upsizing the Tether size for better ribbon utilization</t>
        </r>
      </text>
    </comment>
    <comment ref="J354" authorId="1" shapeId="0">
      <text>
        <r>
          <rPr>
            <b/>
            <sz val="9"/>
            <color indexed="81"/>
            <rFont val="Tahoma"/>
            <family val="2"/>
          </rPr>
          <t>If this highlights as an error, consider upsizing the Tether size for better ribbon utilization</t>
        </r>
      </text>
    </comment>
    <comment ref="J355" authorId="1" shapeId="0">
      <text>
        <r>
          <rPr>
            <b/>
            <sz val="9"/>
            <color indexed="81"/>
            <rFont val="Tahoma"/>
            <family val="2"/>
          </rPr>
          <t>If this highlights as an error, consider upsizing the Tether size for better ribbon utilization</t>
        </r>
      </text>
    </comment>
    <comment ref="J356" authorId="1" shapeId="0">
      <text>
        <r>
          <rPr>
            <b/>
            <sz val="9"/>
            <color indexed="81"/>
            <rFont val="Tahoma"/>
            <family val="2"/>
          </rPr>
          <t>If this highlights as an error, consider upsizing the Tether size for better ribbon utilization</t>
        </r>
      </text>
    </comment>
    <comment ref="J357" authorId="1" shapeId="0">
      <text>
        <r>
          <rPr>
            <b/>
            <sz val="9"/>
            <color indexed="81"/>
            <rFont val="Tahoma"/>
            <family val="2"/>
          </rPr>
          <t>If this highlights as an error, consider upsizing the Tether size for better ribbon utilization</t>
        </r>
      </text>
    </comment>
    <comment ref="J358" authorId="1" shapeId="0">
      <text>
        <r>
          <rPr>
            <b/>
            <sz val="9"/>
            <color indexed="81"/>
            <rFont val="Tahoma"/>
            <family val="2"/>
          </rPr>
          <t>If this highlights as an error, consider upsizing the Tether size for better ribbon utilization</t>
        </r>
      </text>
    </comment>
    <comment ref="J359" authorId="1" shapeId="0">
      <text>
        <r>
          <rPr>
            <b/>
            <sz val="9"/>
            <color indexed="81"/>
            <rFont val="Tahoma"/>
            <family val="2"/>
          </rPr>
          <t>If this highlights as an error, consider upsizing the Tether size for better ribbon utilization</t>
        </r>
      </text>
    </comment>
    <comment ref="J360" authorId="1" shapeId="0">
      <text>
        <r>
          <rPr>
            <b/>
            <sz val="9"/>
            <color indexed="81"/>
            <rFont val="Tahoma"/>
            <family val="2"/>
          </rPr>
          <t>If this highlights as an error, consider upsizing the Tether size for better ribbon utilization</t>
        </r>
      </text>
    </comment>
    <comment ref="J361" authorId="1" shapeId="0">
      <text>
        <r>
          <rPr>
            <b/>
            <sz val="9"/>
            <color indexed="81"/>
            <rFont val="Tahoma"/>
            <family val="2"/>
          </rPr>
          <t>If this highlights as an error, consider upsizing the Tether size for better ribbon utilization</t>
        </r>
      </text>
    </comment>
    <comment ref="J362" authorId="1" shapeId="0">
      <text>
        <r>
          <rPr>
            <b/>
            <sz val="9"/>
            <color indexed="81"/>
            <rFont val="Tahoma"/>
            <family val="2"/>
          </rPr>
          <t>If this highlights as an error, consider upsizing the Tether size for better ribbon utilization</t>
        </r>
      </text>
    </comment>
    <comment ref="C363" authorId="1" shapeId="0">
      <text>
        <r>
          <rPr>
            <b/>
            <sz val="9"/>
            <color indexed="81"/>
            <rFont val="Tahoma"/>
            <family val="2"/>
          </rPr>
          <t>DBL REV requires TWO rows!
TPL REV requires THREE rows!
QD REV requires FOUR rows!</t>
        </r>
      </text>
    </comment>
    <comment ref="J363" authorId="1" shapeId="0">
      <text>
        <r>
          <rPr>
            <b/>
            <sz val="9"/>
            <color indexed="81"/>
            <rFont val="Tahoma"/>
            <family val="2"/>
          </rPr>
          <t>If this highlights as an error, consider upsizing the Tether size for better ribbon utilization</t>
        </r>
      </text>
    </comment>
    <comment ref="C364" authorId="1" shapeId="0">
      <text>
        <r>
          <rPr>
            <b/>
            <sz val="9"/>
            <color indexed="81"/>
            <rFont val="Tahoma"/>
            <family val="2"/>
          </rPr>
          <t>DBL REV requires TWO rows!
TPL REV requires THREE rows!
QD REV requires FOUR rows!</t>
        </r>
      </text>
    </comment>
    <comment ref="J364" authorId="1" shapeId="0">
      <text>
        <r>
          <rPr>
            <b/>
            <sz val="9"/>
            <color indexed="81"/>
            <rFont val="Tahoma"/>
            <family val="2"/>
          </rPr>
          <t>If this highlights as an error, consider upsizing the Tether size for better ribbon utilization</t>
        </r>
      </text>
    </comment>
    <comment ref="C365" authorId="1" shapeId="0">
      <text>
        <r>
          <rPr>
            <b/>
            <sz val="9"/>
            <color indexed="81"/>
            <rFont val="Tahoma"/>
            <family val="2"/>
          </rPr>
          <t>DBL REV requires TWO rows!
TPL REV requires THREE rows!
QD REV requires FOUR rows!</t>
        </r>
      </text>
    </comment>
    <comment ref="J365" authorId="1" shapeId="0">
      <text>
        <r>
          <rPr>
            <b/>
            <sz val="9"/>
            <color indexed="81"/>
            <rFont val="Tahoma"/>
            <family val="2"/>
          </rPr>
          <t>If this highlights as an error, consider upsizing the Tether size for better ribbon utilization</t>
        </r>
      </text>
    </comment>
    <comment ref="C366" authorId="1" shapeId="0">
      <text>
        <r>
          <rPr>
            <b/>
            <sz val="9"/>
            <color indexed="81"/>
            <rFont val="Tahoma"/>
            <family val="2"/>
          </rPr>
          <t>DBL REV requires TWO rows!
TPL REV requires THREE rows!
QD REV requires FOUR rows!</t>
        </r>
      </text>
    </comment>
    <comment ref="J366" authorId="1" shapeId="0">
      <text>
        <r>
          <rPr>
            <b/>
            <sz val="9"/>
            <color indexed="81"/>
            <rFont val="Tahoma"/>
            <family val="2"/>
          </rPr>
          <t>If this highlights as an error, consider upsizing the Tether size for better ribbon utilization</t>
        </r>
      </text>
    </comment>
    <comment ref="C367" authorId="1" shapeId="0">
      <text>
        <r>
          <rPr>
            <b/>
            <sz val="9"/>
            <color indexed="81"/>
            <rFont val="Tahoma"/>
            <family val="2"/>
          </rPr>
          <t>DBL REV requires TWO rows!
TPL REV requires THREE rows!
QD REV requires FOUR rows!</t>
        </r>
      </text>
    </comment>
    <comment ref="J367" authorId="1" shapeId="0">
      <text>
        <r>
          <rPr>
            <b/>
            <sz val="9"/>
            <color indexed="81"/>
            <rFont val="Tahoma"/>
            <family val="2"/>
          </rPr>
          <t>If this highlights as an error, consider upsizing the Tether size for better ribbon utilization</t>
        </r>
      </text>
    </comment>
    <comment ref="C368" authorId="1" shapeId="0">
      <text>
        <r>
          <rPr>
            <b/>
            <sz val="9"/>
            <color indexed="81"/>
            <rFont val="Tahoma"/>
            <family val="2"/>
          </rPr>
          <t>DBL REV requires TWO rows!
TPL REV requires THREE rows!
QD REV requires FOUR rows!</t>
        </r>
      </text>
    </comment>
    <comment ref="J368" authorId="1" shapeId="0">
      <text>
        <r>
          <rPr>
            <b/>
            <sz val="9"/>
            <color indexed="81"/>
            <rFont val="Tahoma"/>
            <family val="2"/>
          </rPr>
          <t>If this highlights as an error, consider upsizing the Tether size for better ribbon utilization</t>
        </r>
      </text>
    </comment>
    <comment ref="C369" authorId="1" shapeId="0">
      <text>
        <r>
          <rPr>
            <b/>
            <sz val="9"/>
            <color indexed="81"/>
            <rFont val="Tahoma"/>
            <family val="2"/>
          </rPr>
          <t>DBL REV requires TWO rows!
TPL REV requires THREE rows!
QD REV requires FOUR rows!</t>
        </r>
      </text>
    </comment>
    <comment ref="J369" authorId="1" shapeId="0">
      <text>
        <r>
          <rPr>
            <b/>
            <sz val="9"/>
            <color indexed="81"/>
            <rFont val="Tahoma"/>
            <family val="2"/>
          </rPr>
          <t>If this highlights as an error, consider upsizing the Tether size for better ribbon utilization</t>
        </r>
      </text>
    </comment>
    <comment ref="B37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text>
        <r>
          <rPr>
            <b/>
            <sz val="8"/>
            <color indexed="81"/>
            <rFont val="Tahoma"/>
            <family val="2"/>
          </rPr>
          <t>This will be added to Planning Load Block A for TOTAL</t>
        </r>
        <r>
          <rPr>
            <sz val="8"/>
            <color indexed="81"/>
            <rFont val="Tahoma"/>
            <family val="2"/>
          </rPr>
          <t xml:space="preserve">
</t>
        </r>
      </text>
    </comment>
    <comment ref="J375" authorId="0" shapeId="0">
      <text>
        <r>
          <rPr>
            <b/>
            <sz val="8"/>
            <color indexed="81"/>
            <rFont val="Tahoma"/>
            <family val="2"/>
          </rPr>
          <t>This is the PON OUT count that is not assigned in this cable reel.</t>
        </r>
        <r>
          <rPr>
            <sz val="8"/>
            <color indexed="81"/>
            <rFont val="Tahoma"/>
            <family val="2"/>
          </rPr>
          <t xml:space="preserve">
</t>
        </r>
      </text>
    </comment>
    <comment ref="P375" authorId="1" shapeId="0">
      <text>
        <r>
          <rPr>
            <b/>
            <sz val="9"/>
            <color indexed="81"/>
            <rFont val="Tahoma"/>
            <family val="2"/>
          </rPr>
          <t>REMEMBER: 2-Fbr Tethers are NOT available for RPX CABLE!</t>
        </r>
      </text>
    </comment>
    <comment ref="Q375" authorId="1" shapeId="0">
      <text>
        <r>
          <rPr>
            <b/>
            <sz val="9"/>
            <color indexed="81"/>
            <rFont val="Tahoma"/>
            <family val="2"/>
          </rPr>
          <t>REMEMBER: 2-Fbr Tethers are NOT available for RPX CABLE!</t>
        </r>
      </text>
    </comment>
    <comment ref="S375" authorId="1" shapeId="0">
      <text>
        <r>
          <rPr>
            <b/>
            <sz val="9"/>
            <color indexed="81"/>
            <rFont val="Tahoma"/>
            <family val="2"/>
          </rPr>
          <t>REMEMBER: 2-Fbr Tethers are NOT available for RPX CABLE!</t>
        </r>
      </text>
    </comment>
    <comment ref="T375" authorId="1" shapeId="0">
      <text>
        <r>
          <rPr>
            <b/>
            <sz val="9"/>
            <color indexed="81"/>
            <rFont val="Tahoma"/>
            <family val="2"/>
          </rPr>
          <t>REMEMBER: 2-Fbr Tethers are NOT available for RPX CABLE!</t>
        </r>
      </text>
    </comment>
    <comment ref="B37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text>
        <r>
          <rPr>
            <b/>
            <sz val="8"/>
            <color indexed="81"/>
            <rFont val="Tahoma"/>
            <family val="2"/>
          </rPr>
          <t>Make sure you add this number to "TAT FIBERS ASSIGNED" for the total required in the Load Block on the prints.</t>
        </r>
      </text>
    </comment>
    <comment ref="G376" authorId="0" shapeId="0">
      <text>
        <r>
          <rPr>
            <b/>
            <sz val="8"/>
            <color indexed="81"/>
            <rFont val="Tahoma"/>
            <family val="2"/>
          </rPr>
          <t>Includes "DEAD" Count (No PON count assigned)</t>
        </r>
      </text>
    </comment>
    <comment ref="I37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text>
        <r>
          <rPr>
            <b/>
            <sz val="9"/>
            <color indexed="81"/>
            <rFont val="Tahoma"/>
            <family val="2"/>
          </rPr>
          <t>REMEMBER: 6-Fbr Tethers are NOT available for RPX CABLE!</t>
        </r>
      </text>
    </comment>
    <comment ref="Q377" authorId="1" shapeId="0">
      <text>
        <r>
          <rPr>
            <b/>
            <sz val="9"/>
            <color indexed="81"/>
            <rFont val="Tahoma"/>
            <family val="2"/>
          </rPr>
          <t>REMEMBER: 6-Fbr Tethers are NOT available for RPX CABLE!</t>
        </r>
      </text>
    </comment>
    <comment ref="S377" authorId="1" shapeId="0">
      <text>
        <r>
          <rPr>
            <b/>
            <sz val="9"/>
            <color indexed="81"/>
            <rFont val="Tahoma"/>
            <family val="2"/>
          </rPr>
          <t>REMEMBER: 6-Fbr Tethers are NOT available for RPX CABLE!</t>
        </r>
      </text>
    </comment>
    <comment ref="T377" authorId="1" shapeId="0">
      <text>
        <r>
          <rPr>
            <b/>
            <sz val="9"/>
            <color indexed="81"/>
            <rFont val="Tahoma"/>
            <family val="2"/>
          </rPr>
          <t>REMEMBER: 6-Fbr Tethers are NOT available for AERIAL CABLE!</t>
        </r>
      </text>
    </comment>
    <comment ref="B37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text>
        <r>
          <rPr>
            <b/>
            <sz val="8"/>
            <color indexed="81"/>
            <rFont val="Tahoma"/>
            <family val="2"/>
          </rPr>
          <t>These are "manufacturing rules" and general warnings</t>
        </r>
        <r>
          <rPr>
            <sz val="8"/>
            <color indexed="81"/>
            <rFont val="Tahoma"/>
            <family val="2"/>
          </rPr>
          <t xml:space="preserve">
</t>
        </r>
      </text>
    </comment>
    <comment ref="B38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text>
        <r>
          <rPr>
            <b/>
            <sz val="8"/>
            <color indexed="81"/>
            <rFont val="Tahoma"/>
            <family val="2"/>
          </rPr>
          <t>This number is a sum of TOTAL PLANNED plus the ASSIGNED TO TETHERS</t>
        </r>
        <r>
          <rPr>
            <sz val="8"/>
            <color indexed="81"/>
            <rFont val="Tahoma"/>
            <family val="2"/>
          </rPr>
          <t xml:space="preserve">
</t>
        </r>
      </text>
    </comment>
    <comment ref="Z383" authorId="0" shapeId="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text>
        <r>
          <rPr>
            <b/>
            <sz val="8"/>
            <color indexed="81"/>
            <rFont val="Tahoma"/>
            <family val="2"/>
          </rPr>
          <t>Counting from High count Backwards- this is Fiber Strand 133</t>
        </r>
      </text>
    </comment>
    <comment ref="AB383" authorId="0" shapeId="0">
      <text>
        <r>
          <rPr>
            <b/>
            <sz val="8"/>
            <color indexed="81"/>
            <rFont val="Tahoma"/>
            <family val="2"/>
          </rPr>
          <t>Counting from High count Backwards- this is Fiber Strand 144</t>
        </r>
        <r>
          <rPr>
            <sz val="8"/>
            <color indexed="81"/>
            <rFont val="Tahoma"/>
            <family val="2"/>
          </rPr>
          <t xml:space="preserve">
</t>
        </r>
      </text>
    </comment>
    <comment ref="C384" authorId="0" shapeId="0">
      <text>
        <r>
          <rPr>
            <b/>
            <sz val="8"/>
            <color indexed="81"/>
            <rFont val="Tahoma"/>
            <family val="2"/>
          </rPr>
          <t xml:space="preserve">Select if this tether will be used to feed a CFST or a lateral cable. </t>
        </r>
      </text>
    </comment>
    <comment ref="D384" authorId="0" shapeId="0">
      <text>
        <r>
          <rPr>
            <b/>
            <sz val="8"/>
            <color indexed="81"/>
            <rFont val="Tahoma"/>
            <family val="2"/>
          </rPr>
          <t>Note the Terminal Address to keep your locations straight</t>
        </r>
        <r>
          <rPr>
            <sz val="8"/>
            <color indexed="81"/>
            <rFont val="Tahoma"/>
            <family val="2"/>
          </rPr>
          <t xml:space="preserve">
</t>
        </r>
      </text>
    </comment>
    <comment ref="E384" authorId="0" shapeId="0">
      <text>
        <r>
          <rPr>
            <b/>
            <sz val="9"/>
            <color indexed="81"/>
            <rFont val="Calibri"/>
            <family val="2"/>
            <scheme val="minor"/>
          </rPr>
          <t>Pick the Tether Size for the location</t>
        </r>
        <r>
          <rPr>
            <sz val="8"/>
            <color indexed="81"/>
            <rFont val="Tahoma"/>
            <family val="2"/>
          </rPr>
          <t xml:space="preserve">
</t>
        </r>
      </text>
    </comment>
    <comment ref="F384" authorId="2" shapeId="0">
      <text>
        <r>
          <rPr>
            <b/>
            <sz val="9"/>
            <color indexed="81"/>
            <rFont val="Tahoma"/>
            <family val="2"/>
          </rPr>
          <t>Identify TCF or FST location.
Leave blank if tether is NOT for a TCF or FST!</t>
        </r>
      </text>
    </comment>
    <comment ref="H384" authorId="0" shapeId="0">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text>
        <r>
          <rPr>
            <b/>
            <sz val="8"/>
            <color indexed="81"/>
            <rFont val="Tahoma"/>
            <family val="2"/>
          </rPr>
          <t>If any of these numbers are negative, check your PON count and Cable size</t>
        </r>
      </text>
    </comment>
    <comment ref="J38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text>
        <r>
          <rPr>
            <b/>
            <sz val="9"/>
            <color indexed="81"/>
            <rFont val="Tahoma"/>
            <family val="2"/>
          </rPr>
          <t>Leave blank if using 10' Terminal Tail
Enter Tail length if greater than 10'</t>
        </r>
      </text>
    </comment>
    <comment ref="M384" authorId="0" shapeId="0">
      <text>
        <r>
          <rPr>
            <b/>
            <sz val="8"/>
            <color indexed="81"/>
            <rFont val="Tahoma"/>
            <family val="2"/>
          </rPr>
          <t>Make design notes such as slack coils, realingment loops,  or location notes</t>
        </r>
      </text>
    </comment>
    <comment ref="Z384" authorId="0" shapeId="0">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text>
        <r>
          <rPr>
            <b/>
            <sz val="8"/>
            <color indexed="81"/>
            <rFont val="Tahoma"/>
            <family val="2"/>
          </rPr>
          <t xml:space="preserve">Counting from High count Backwards- this is Fiber Strand 145
</t>
        </r>
      </text>
    </comment>
    <comment ref="AB384" authorId="0" shapeId="0">
      <text>
        <r>
          <rPr>
            <b/>
            <sz val="8"/>
            <color indexed="81"/>
            <rFont val="Tahoma"/>
            <family val="2"/>
          </rPr>
          <t>Counting from High count Backwards- this is Fiber Strand 156</t>
        </r>
      </text>
    </comment>
    <comment ref="J386" authorId="1" shapeId="0">
      <text>
        <r>
          <rPr>
            <b/>
            <sz val="9"/>
            <color indexed="81"/>
            <rFont val="Tahoma"/>
            <family val="2"/>
          </rPr>
          <t>If this highlights as an error, consider upsizing the Tether size for better ribbon utilization</t>
        </r>
      </text>
    </comment>
    <comment ref="J387" authorId="1" shapeId="0">
      <text>
        <r>
          <rPr>
            <b/>
            <sz val="9"/>
            <color indexed="81"/>
            <rFont val="Tahoma"/>
            <family val="2"/>
          </rPr>
          <t>If this highlights as an error, consider upsizing the Tether size for better ribbon utilization</t>
        </r>
      </text>
    </comment>
    <comment ref="J388" authorId="1" shapeId="0">
      <text>
        <r>
          <rPr>
            <b/>
            <sz val="9"/>
            <color indexed="81"/>
            <rFont val="Tahoma"/>
            <family val="2"/>
          </rPr>
          <t>If this highlights as an error, consider upsizing the Tether size for better ribbon utilization</t>
        </r>
      </text>
    </comment>
    <comment ref="J389" authorId="1" shapeId="0">
      <text>
        <r>
          <rPr>
            <b/>
            <sz val="9"/>
            <color indexed="81"/>
            <rFont val="Tahoma"/>
            <family val="2"/>
          </rPr>
          <t>If this highlights as an error, consider upsizing the Tether size for better ribbon utilization</t>
        </r>
      </text>
    </comment>
    <comment ref="J390" authorId="1" shapeId="0">
      <text>
        <r>
          <rPr>
            <b/>
            <sz val="9"/>
            <color indexed="81"/>
            <rFont val="Tahoma"/>
            <family val="2"/>
          </rPr>
          <t>If this highlights as an error, consider upsizing the Tether size for better ribbon utilization</t>
        </r>
      </text>
    </comment>
    <comment ref="J391" authorId="1" shapeId="0">
      <text>
        <r>
          <rPr>
            <b/>
            <sz val="9"/>
            <color indexed="81"/>
            <rFont val="Tahoma"/>
            <family val="2"/>
          </rPr>
          <t>If this highlights as an error, consider upsizing the Tether size for better ribbon utilization</t>
        </r>
      </text>
    </comment>
    <comment ref="J392" authorId="1" shapeId="0">
      <text>
        <r>
          <rPr>
            <b/>
            <sz val="9"/>
            <color indexed="81"/>
            <rFont val="Tahoma"/>
            <family val="2"/>
          </rPr>
          <t>If this highlights as an error, consider upsizing the Tether size for better ribbon utilization</t>
        </r>
      </text>
    </comment>
    <comment ref="J393" authorId="1" shapeId="0">
      <text>
        <r>
          <rPr>
            <b/>
            <sz val="9"/>
            <color indexed="81"/>
            <rFont val="Tahoma"/>
            <family val="2"/>
          </rPr>
          <t>If this highlights as an error, consider upsizing the Tether size for better ribbon utilization</t>
        </r>
      </text>
    </comment>
    <comment ref="J394" authorId="1" shapeId="0">
      <text>
        <r>
          <rPr>
            <b/>
            <sz val="9"/>
            <color indexed="81"/>
            <rFont val="Tahoma"/>
            <family val="2"/>
          </rPr>
          <t>If this highlights as an error, consider upsizing the Tether size for better ribbon utilization</t>
        </r>
      </text>
    </comment>
    <comment ref="J395" authorId="1" shapeId="0">
      <text>
        <r>
          <rPr>
            <b/>
            <sz val="9"/>
            <color indexed="81"/>
            <rFont val="Tahoma"/>
            <family val="2"/>
          </rPr>
          <t>If this highlights as an error, consider upsizing the Tether size for better ribbon utilization</t>
        </r>
      </text>
    </comment>
    <comment ref="J396" authorId="1" shapeId="0">
      <text>
        <r>
          <rPr>
            <b/>
            <sz val="9"/>
            <color indexed="81"/>
            <rFont val="Tahoma"/>
            <family val="2"/>
          </rPr>
          <t>If this highlights as an error, consider upsizing the Tether size for better ribbon utilization</t>
        </r>
      </text>
    </comment>
    <comment ref="J397" authorId="1" shapeId="0">
      <text>
        <r>
          <rPr>
            <b/>
            <sz val="9"/>
            <color indexed="81"/>
            <rFont val="Tahoma"/>
            <family val="2"/>
          </rPr>
          <t>If this highlights as an error, consider upsizing the Tether size for better ribbon utilization</t>
        </r>
      </text>
    </comment>
    <comment ref="J398" authorId="1" shapeId="0">
      <text>
        <r>
          <rPr>
            <b/>
            <sz val="9"/>
            <color indexed="81"/>
            <rFont val="Tahoma"/>
            <family val="2"/>
          </rPr>
          <t>If this highlights as an error, consider upsizing the Tether size for better ribbon utilization</t>
        </r>
      </text>
    </comment>
    <comment ref="J399" authorId="1" shapeId="0">
      <text>
        <r>
          <rPr>
            <b/>
            <sz val="9"/>
            <color indexed="81"/>
            <rFont val="Tahoma"/>
            <family val="2"/>
          </rPr>
          <t>If this highlights as an error, consider upsizing the Tether size for better ribbon utilization</t>
        </r>
      </text>
    </comment>
    <comment ref="J400" authorId="1" shapeId="0">
      <text>
        <r>
          <rPr>
            <b/>
            <sz val="9"/>
            <color indexed="81"/>
            <rFont val="Tahoma"/>
            <family val="2"/>
          </rPr>
          <t>If this highlights as an error, consider upsizing the Tether size for better ribbon utilization</t>
        </r>
      </text>
    </comment>
    <comment ref="J401" authorId="1" shapeId="0">
      <text>
        <r>
          <rPr>
            <b/>
            <sz val="9"/>
            <color indexed="81"/>
            <rFont val="Tahoma"/>
            <family val="2"/>
          </rPr>
          <t>If this highlights as an error, consider upsizing the Tether size for better ribbon utilization</t>
        </r>
      </text>
    </comment>
    <comment ref="J402" authorId="1" shapeId="0">
      <text>
        <r>
          <rPr>
            <b/>
            <sz val="9"/>
            <color indexed="81"/>
            <rFont val="Tahoma"/>
            <family val="2"/>
          </rPr>
          <t>If this highlights as an error, consider upsizing the Tether size for better ribbon utilization</t>
        </r>
      </text>
    </comment>
    <comment ref="J403" authorId="1" shapeId="0">
      <text>
        <r>
          <rPr>
            <b/>
            <sz val="9"/>
            <color indexed="81"/>
            <rFont val="Tahoma"/>
            <family val="2"/>
          </rPr>
          <t>If this highlights as an error, consider upsizing the Tether size for better ribbon utilization</t>
        </r>
      </text>
    </comment>
    <comment ref="C404" authorId="1" shapeId="0">
      <text>
        <r>
          <rPr>
            <b/>
            <sz val="9"/>
            <color indexed="81"/>
            <rFont val="Tahoma"/>
            <family val="2"/>
          </rPr>
          <t>DBL REV requires TWO rows!
TPL REV requires THREE rows!
QD REV requires FOUR rows!</t>
        </r>
      </text>
    </comment>
    <comment ref="J404" authorId="1" shapeId="0">
      <text>
        <r>
          <rPr>
            <b/>
            <sz val="9"/>
            <color indexed="81"/>
            <rFont val="Tahoma"/>
            <family val="2"/>
          </rPr>
          <t>If this highlights as an error, consider upsizing the Tether size for better ribbon utilization</t>
        </r>
      </text>
    </comment>
    <comment ref="C405" authorId="1" shapeId="0">
      <text>
        <r>
          <rPr>
            <b/>
            <sz val="9"/>
            <color indexed="81"/>
            <rFont val="Tahoma"/>
            <family val="2"/>
          </rPr>
          <t>DBL REV requires TWO rows!
TPL REV requires THREE rows!
QD REV requires FOUR rows!</t>
        </r>
      </text>
    </comment>
    <comment ref="J405" authorId="1" shapeId="0">
      <text>
        <r>
          <rPr>
            <b/>
            <sz val="9"/>
            <color indexed="81"/>
            <rFont val="Tahoma"/>
            <family val="2"/>
          </rPr>
          <t>If this highlights as an error, consider upsizing the Tether size for better ribbon utilization</t>
        </r>
      </text>
    </comment>
    <comment ref="C406" authorId="1" shapeId="0">
      <text>
        <r>
          <rPr>
            <b/>
            <sz val="9"/>
            <color indexed="81"/>
            <rFont val="Tahoma"/>
            <family val="2"/>
          </rPr>
          <t>DBL REV requires TWO rows!
TPL REV requires THREE rows!
QD REV requires FOUR rows!</t>
        </r>
      </text>
    </comment>
    <comment ref="J406" authorId="1" shapeId="0">
      <text>
        <r>
          <rPr>
            <b/>
            <sz val="9"/>
            <color indexed="81"/>
            <rFont val="Tahoma"/>
            <family val="2"/>
          </rPr>
          <t>If this highlights as an error, consider upsizing the Tether size for better ribbon utilization</t>
        </r>
      </text>
    </comment>
    <comment ref="C407" authorId="1" shapeId="0">
      <text>
        <r>
          <rPr>
            <b/>
            <sz val="9"/>
            <color indexed="81"/>
            <rFont val="Tahoma"/>
            <family val="2"/>
          </rPr>
          <t>DBL REV requires TWO rows!
TPL REV requires THREE rows!
QD REV requires FOUR rows!</t>
        </r>
      </text>
    </comment>
    <comment ref="J407" authorId="1" shapeId="0">
      <text>
        <r>
          <rPr>
            <b/>
            <sz val="9"/>
            <color indexed="81"/>
            <rFont val="Tahoma"/>
            <family val="2"/>
          </rPr>
          <t>If this highlights as an error, consider upsizing the Tether size for better ribbon utilization</t>
        </r>
      </text>
    </comment>
    <comment ref="C408" authorId="1" shapeId="0">
      <text>
        <r>
          <rPr>
            <b/>
            <sz val="9"/>
            <color indexed="81"/>
            <rFont val="Tahoma"/>
            <family val="2"/>
          </rPr>
          <t>DBL REV requires TWO rows!
TPL REV requires THREE rows!
QD REV requires FOUR rows!</t>
        </r>
      </text>
    </comment>
    <comment ref="J408" authorId="1" shapeId="0">
      <text>
        <r>
          <rPr>
            <b/>
            <sz val="9"/>
            <color indexed="81"/>
            <rFont val="Tahoma"/>
            <family val="2"/>
          </rPr>
          <t>If this highlights as an error, consider upsizing the Tether size for better ribbon utilization</t>
        </r>
      </text>
    </comment>
    <comment ref="C409" authorId="1" shapeId="0">
      <text>
        <r>
          <rPr>
            <b/>
            <sz val="9"/>
            <color indexed="81"/>
            <rFont val="Tahoma"/>
            <family val="2"/>
          </rPr>
          <t>DBL REV requires TWO rows!
TPL REV requires THREE rows!
QD REV requires FOUR rows!</t>
        </r>
      </text>
    </comment>
    <comment ref="J409" authorId="1" shapeId="0">
      <text>
        <r>
          <rPr>
            <b/>
            <sz val="9"/>
            <color indexed="81"/>
            <rFont val="Tahoma"/>
            <family val="2"/>
          </rPr>
          <t>If this highlights as an error, consider upsizing the Tether size for better ribbon utilization</t>
        </r>
      </text>
    </comment>
    <comment ref="C410" authorId="1" shapeId="0">
      <text>
        <r>
          <rPr>
            <b/>
            <sz val="9"/>
            <color indexed="81"/>
            <rFont val="Tahoma"/>
            <family val="2"/>
          </rPr>
          <t>DBL REV requires TWO rows!
TPL REV requires THREE rows!
QD REV requires FOUR rows!</t>
        </r>
      </text>
    </comment>
    <comment ref="J410" authorId="1" shapeId="0">
      <text>
        <r>
          <rPr>
            <b/>
            <sz val="9"/>
            <color indexed="81"/>
            <rFont val="Tahoma"/>
            <family val="2"/>
          </rPr>
          <t>If this highlights as an error, consider upsizing the Tether size for better ribbon utilization</t>
        </r>
      </text>
    </comment>
    <comment ref="B41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text>
        <r>
          <rPr>
            <b/>
            <sz val="8"/>
            <color indexed="81"/>
            <rFont val="Tahoma"/>
            <family val="2"/>
          </rPr>
          <t>This will be added to Planning Load Block A for TOTAL</t>
        </r>
        <r>
          <rPr>
            <sz val="8"/>
            <color indexed="81"/>
            <rFont val="Tahoma"/>
            <family val="2"/>
          </rPr>
          <t xml:space="preserve">
</t>
        </r>
      </text>
    </comment>
    <comment ref="J416" authorId="0" shapeId="0">
      <text>
        <r>
          <rPr>
            <b/>
            <sz val="8"/>
            <color indexed="81"/>
            <rFont val="Tahoma"/>
            <family val="2"/>
          </rPr>
          <t>This is the PON OUT count that is not assigned in this cable reel.</t>
        </r>
        <r>
          <rPr>
            <sz val="8"/>
            <color indexed="81"/>
            <rFont val="Tahoma"/>
            <family val="2"/>
          </rPr>
          <t xml:space="preserve">
</t>
        </r>
      </text>
    </comment>
    <comment ref="P416" authorId="1" shapeId="0">
      <text>
        <r>
          <rPr>
            <b/>
            <sz val="9"/>
            <color indexed="81"/>
            <rFont val="Tahoma"/>
            <family val="2"/>
          </rPr>
          <t>REMEMBER: 2-Fbr Tethers are NOT available for RPX CABLE!</t>
        </r>
      </text>
    </comment>
    <comment ref="Q416" authorId="1" shapeId="0">
      <text>
        <r>
          <rPr>
            <b/>
            <sz val="9"/>
            <color indexed="81"/>
            <rFont val="Tahoma"/>
            <family val="2"/>
          </rPr>
          <t>REMEMBER: 2-Fbr Tethers are NOT available for RPX CABLE!</t>
        </r>
      </text>
    </comment>
    <comment ref="S416" authorId="1" shapeId="0">
      <text>
        <r>
          <rPr>
            <b/>
            <sz val="9"/>
            <color indexed="81"/>
            <rFont val="Tahoma"/>
            <family val="2"/>
          </rPr>
          <t>REMEMBER: 2-Fbr Tethers are NOT available for RPX CABLE!</t>
        </r>
      </text>
    </comment>
    <comment ref="T416" authorId="1" shapeId="0">
      <text>
        <r>
          <rPr>
            <b/>
            <sz val="9"/>
            <color indexed="81"/>
            <rFont val="Tahoma"/>
            <family val="2"/>
          </rPr>
          <t>REMEMBER: 2-Fbr Tethers are NOT available for RPX CABLE!</t>
        </r>
      </text>
    </comment>
    <comment ref="B41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text>
        <r>
          <rPr>
            <b/>
            <sz val="8"/>
            <color indexed="81"/>
            <rFont val="Tahoma"/>
            <family val="2"/>
          </rPr>
          <t>Make sure you add this number to "TAT FIBERS ASSIGNED" for the total required in the Load Block on the prints.</t>
        </r>
      </text>
    </comment>
    <comment ref="G417" authorId="0" shapeId="0">
      <text>
        <r>
          <rPr>
            <b/>
            <sz val="8"/>
            <color indexed="81"/>
            <rFont val="Tahoma"/>
            <family val="2"/>
          </rPr>
          <t>Includes "DEAD" Count (No PON count assigned)</t>
        </r>
      </text>
    </comment>
    <comment ref="I41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text>
        <r>
          <rPr>
            <b/>
            <sz val="9"/>
            <color indexed="81"/>
            <rFont val="Tahoma"/>
            <family val="2"/>
          </rPr>
          <t>REMEMBER: 6-Fbr Tethers are NOT available for RPX CABLE!</t>
        </r>
      </text>
    </comment>
    <comment ref="Q418" authorId="1" shapeId="0">
      <text>
        <r>
          <rPr>
            <b/>
            <sz val="9"/>
            <color indexed="81"/>
            <rFont val="Tahoma"/>
            <family val="2"/>
          </rPr>
          <t>REMEMBER: 6-Fbr Tethers are NOT available for RPX CABLE!</t>
        </r>
      </text>
    </comment>
    <comment ref="S418" authorId="1" shapeId="0">
      <text>
        <r>
          <rPr>
            <b/>
            <sz val="9"/>
            <color indexed="81"/>
            <rFont val="Tahoma"/>
            <family val="2"/>
          </rPr>
          <t>REMEMBER: 6-Fbr Tethers are NOT available for RPX CABLE!</t>
        </r>
      </text>
    </comment>
    <comment ref="T418" authorId="1" shapeId="0">
      <text>
        <r>
          <rPr>
            <b/>
            <sz val="9"/>
            <color indexed="81"/>
            <rFont val="Tahoma"/>
            <family val="2"/>
          </rPr>
          <t>REMEMBER: 6-Fbr Tethers are NOT available for AERIAL CABLE!</t>
        </r>
      </text>
    </comment>
    <comment ref="B41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text>
        <r>
          <rPr>
            <b/>
            <sz val="8"/>
            <color indexed="81"/>
            <rFont val="Tahoma"/>
            <family val="2"/>
          </rPr>
          <t>These are "manufacturing rules" and general warnings</t>
        </r>
        <r>
          <rPr>
            <sz val="8"/>
            <color indexed="81"/>
            <rFont val="Tahoma"/>
            <family val="2"/>
          </rPr>
          <t xml:space="preserve">
</t>
        </r>
      </text>
    </comment>
    <comment ref="B42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text>
        <r>
          <rPr>
            <b/>
            <sz val="8"/>
            <color indexed="81"/>
            <rFont val="Tahoma"/>
            <family val="2"/>
          </rPr>
          <t>This number is a sum of TOTAL PLANNED plus the ASSIGNED TO TETHERS</t>
        </r>
        <r>
          <rPr>
            <sz val="8"/>
            <color indexed="81"/>
            <rFont val="Tahoma"/>
            <family val="2"/>
          </rPr>
          <t xml:space="preserve">
</t>
        </r>
      </text>
    </comment>
    <comment ref="Z424" authorId="0" shapeId="0">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text>
        <r>
          <rPr>
            <b/>
            <sz val="8"/>
            <color indexed="81"/>
            <rFont val="Tahoma"/>
            <family val="2"/>
          </rPr>
          <t>Counting from High count Backwards- this is Fiber Strand 133</t>
        </r>
      </text>
    </comment>
    <comment ref="AB424" authorId="0" shapeId="0">
      <text>
        <r>
          <rPr>
            <b/>
            <sz val="8"/>
            <color indexed="81"/>
            <rFont val="Tahoma"/>
            <family val="2"/>
          </rPr>
          <t>Counting from High count Backwards- this is Fiber Strand 144</t>
        </r>
        <r>
          <rPr>
            <sz val="8"/>
            <color indexed="81"/>
            <rFont val="Tahoma"/>
            <family val="2"/>
          </rPr>
          <t xml:space="preserve">
</t>
        </r>
      </text>
    </comment>
    <comment ref="C425" authorId="0" shapeId="0">
      <text>
        <r>
          <rPr>
            <b/>
            <sz val="8"/>
            <color indexed="81"/>
            <rFont val="Tahoma"/>
            <family val="2"/>
          </rPr>
          <t xml:space="preserve">Select if this tether will be used to feed a CFST or a lateral cable. </t>
        </r>
      </text>
    </comment>
    <comment ref="D425" authorId="0" shapeId="0">
      <text>
        <r>
          <rPr>
            <b/>
            <sz val="8"/>
            <color indexed="81"/>
            <rFont val="Tahoma"/>
            <family val="2"/>
          </rPr>
          <t>Note the Terminal Address to keep your locations straight</t>
        </r>
        <r>
          <rPr>
            <sz val="8"/>
            <color indexed="81"/>
            <rFont val="Tahoma"/>
            <family val="2"/>
          </rPr>
          <t xml:space="preserve">
</t>
        </r>
      </text>
    </comment>
    <comment ref="E425" authorId="0" shapeId="0">
      <text>
        <r>
          <rPr>
            <b/>
            <sz val="9"/>
            <color indexed="81"/>
            <rFont val="Calibri"/>
            <family val="2"/>
            <scheme val="minor"/>
          </rPr>
          <t>Pick the Tether Size for the location</t>
        </r>
        <r>
          <rPr>
            <sz val="8"/>
            <color indexed="81"/>
            <rFont val="Tahoma"/>
            <family val="2"/>
          </rPr>
          <t xml:space="preserve">
</t>
        </r>
      </text>
    </comment>
    <comment ref="F425" authorId="2" shapeId="0">
      <text>
        <r>
          <rPr>
            <b/>
            <sz val="9"/>
            <color indexed="81"/>
            <rFont val="Tahoma"/>
            <family val="2"/>
          </rPr>
          <t>Identify TCF or FST location.
Leave blank if tether is NOT for a TCF or FST!</t>
        </r>
      </text>
    </comment>
    <comment ref="H425" authorId="0" shapeId="0">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text>
        <r>
          <rPr>
            <b/>
            <sz val="8"/>
            <color indexed="81"/>
            <rFont val="Tahoma"/>
            <family val="2"/>
          </rPr>
          <t>If any of these numbers are negative, check your PON count and Cable size</t>
        </r>
      </text>
    </comment>
    <comment ref="J42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text>
        <r>
          <rPr>
            <b/>
            <sz val="9"/>
            <color indexed="81"/>
            <rFont val="Tahoma"/>
            <family val="2"/>
          </rPr>
          <t>Leave blank if using 10' Terminal Tail
Enter Tail length if greater than 10'</t>
        </r>
      </text>
    </comment>
    <comment ref="M425" authorId="0" shapeId="0">
      <text>
        <r>
          <rPr>
            <b/>
            <sz val="8"/>
            <color indexed="81"/>
            <rFont val="Tahoma"/>
            <family val="2"/>
          </rPr>
          <t>Make design notes such as slack coils, realingment loops,  or location notes</t>
        </r>
      </text>
    </comment>
    <comment ref="Z425" authorId="0" shapeId="0">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text>
        <r>
          <rPr>
            <b/>
            <sz val="8"/>
            <color indexed="81"/>
            <rFont val="Tahoma"/>
            <family val="2"/>
          </rPr>
          <t xml:space="preserve">Counting from High count Backwards- this is Fiber Strand 145
</t>
        </r>
      </text>
    </comment>
    <comment ref="AB425" authorId="0" shapeId="0">
      <text>
        <r>
          <rPr>
            <b/>
            <sz val="8"/>
            <color indexed="81"/>
            <rFont val="Tahoma"/>
            <family val="2"/>
          </rPr>
          <t>Counting from High count Backwards- this is Fiber Strand 156</t>
        </r>
      </text>
    </comment>
    <comment ref="J427" authorId="1" shapeId="0">
      <text>
        <r>
          <rPr>
            <b/>
            <sz val="9"/>
            <color indexed="81"/>
            <rFont val="Tahoma"/>
            <family val="2"/>
          </rPr>
          <t>If this highlights as an error, consider upsizing the Tether size for better ribbon utilization</t>
        </r>
      </text>
    </comment>
    <comment ref="J428" authorId="1" shapeId="0">
      <text>
        <r>
          <rPr>
            <b/>
            <sz val="9"/>
            <color indexed="81"/>
            <rFont val="Tahoma"/>
            <family val="2"/>
          </rPr>
          <t>If this highlights as an error, consider upsizing the Tether size for better ribbon utilization</t>
        </r>
      </text>
    </comment>
    <comment ref="J429" authorId="1" shapeId="0">
      <text>
        <r>
          <rPr>
            <b/>
            <sz val="9"/>
            <color indexed="81"/>
            <rFont val="Tahoma"/>
            <family val="2"/>
          </rPr>
          <t>If this highlights as an error, consider upsizing the Tether size for better ribbon utilization</t>
        </r>
      </text>
    </comment>
    <comment ref="J430" authorId="1" shapeId="0">
      <text>
        <r>
          <rPr>
            <b/>
            <sz val="9"/>
            <color indexed="81"/>
            <rFont val="Tahoma"/>
            <family val="2"/>
          </rPr>
          <t>If this highlights as an error, consider upsizing the Tether size for better ribbon utilization</t>
        </r>
      </text>
    </comment>
    <comment ref="J431" authorId="1" shapeId="0">
      <text>
        <r>
          <rPr>
            <b/>
            <sz val="9"/>
            <color indexed="81"/>
            <rFont val="Tahoma"/>
            <family val="2"/>
          </rPr>
          <t>If this highlights as an error, consider upsizing the Tether size for better ribbon utilization</t>
        </r>
      </text>
    </comment>
    <comment ref="J432" authorId="1" shapeId="0">
      <text>
        <r>
          <rPr>
            <b/>
            <sz val="9"/>
            <color indexed="81"/>
            <rFont val="Tahoma"/>
            <family val="2"/>
          </rPr>
          <t>If this highlights as an error, consider upsizing the Tether size for better ribbon utilization</t>
        </r>
      </text>
    </comment>
    <comment ref="J433" authorId="1" shapeId="0">
      <text>
        <r>
          <rPr>
            <b/>
            <sz val="9"/>
            <color indexed="81"/>
            <rFont val="Tahoma"/>
            <family val="2"/>
          </rPr>
          <t>If this highlights as an error, consider upsizing the Tether size for better ribbon utilization</t>
        </r>
      </text>
    </comment>
    <comment ref="J434" authorId="1" shapeId="0">
      <text>
        <r>
          <rPr>
            <b/>
            <sz val="9"/>
            <color indexed="81"/>
            <rFont val="Tahoma"/>
            <family val="2"/>
          </rPr>
          <t>If this highlights as an error, consider upsizing the Tether size for better ribbon utilization</t>
        </r>
      </text>
    </comment>
    <comment ref="J435" authorId="1" shapeId="0">
      <text>
        <r>
          <rPr>
            <b/>
            <sz val="9"/>
            <color indexed="81"/>
            <rFont val="Tahoma"/>
            <family val="2"/>
          </rPr>
          <t>If this highlights as an error, consider upsizing the Tether size for better ribbon utilization</t>
        </r>
      </text>
    </comment>
    <comment ref="J436" authorId="1" shapeId="0">
      <text>
        <r>
          <rPr>
            <b/>
            <sz val="9"/>
            <color indexed="81"/>
            <rFont val="Tahoma"/>
            <family val="2"/>
          </rPr>
          <t>If this highlights as an error, consider upsizing the Tether size for better ribbon utilization</t>
        </r>
      </text>
    </comment>
    <comment ref="J437" authorId="1" shapeId="0">
      <text>
        <r>
          <rPr>
            <b/>
            <sz val="9"/>
            <color indexed="81"/>
            <rFont val="Tahoma"/>
            <family val="2"/>
          </rPr>
          <t>If this highlights as an error, consider upsizing the Tether size for better ribbon utilization</t>
        </r>
      </text>
    </comment>
    <comment ref="J438" authorId="1" shapeId="0">
      <text>
        <r>
          <rPr>
            <b/>
            <sz val="9"/>
            <color indexed="81"/>
            <rFont val="Tahoma"/>
            <family val="2"/>
          </rPr>
          <t>If this highlights as an error, consider upsizing the Tether size for better ribbon utilization</t>
        </r>
      </text>
    </comment>
    <comment ref="J439" authorId="1" shapeId="0">
      <text>
        <r>
          <rPr>
            <b/>
            <sz val="9"/>
            <color indexed="81"/>
            <rFont val="Tahoma"/>
            <family val="2"/>
          </rPr>
          <t>If this highlights as an error, consider upsizing the Tether size for better ribbon utilization</t>
        </r>
      </text>
    </comment>
    <comment ref="J440" authorId="1" shapeId="0">
      <text>
        <r>
          <rPr>
            <b/>
            <sz val="9"/>
            <color indexed="81"/>
            <rFont val="Tahoma"/>
            <family val="2"/>
          </rPr>
          <t>If this highlights as an error, consider upsizing the Tether size for better ribbon utilization</t>
        </r>
      </text>
    </comment>
    <comment ref="J441" authorId="1" shapeId="0">
      <text>
        <r>
          <rPr>
            <b/>
            <sz val="9"/>
            <color indexed="81"/>
            <rFont val="Tahoma"/>
            <family val="2"/>
          </rPr>
          <t>If this highlights as an error, consider upsizing the Tether size for better ribbon utilization</t>
        </r>
      </text>
    </comment>
    <comment ref="J442" authorId="1" shapeId="0">
      <text>
        <r>
          <rPr>
            <b/>
            <sz val="9"/>
            <color indexed="81"/>
            <rFont val="Tahoma"/>
            <family val="2"/>
          </rPr>
          <t>If this highlights as an error, consider upsizing the Tether size for better ribbon utilization</t>
        </r>
      </text>
    </comment>
    <comment ref="J443" authorId="1" shapeId="0">
      <text>
        <r>
          <rPr>
            <b/>
            <sz val="9"/>
            <color indexed="81"/>
            <rFont val="Tahoma"/>
            <family val="2"/>
          </rPr>
          <t>If this highlights as an error, consider upsizing the Tether size for better ribbon utilization</t>
        </r>
      </text>
    </comment>
    <comment ref="J444" authorId="1" shapeId="0">
      <text>
        <r>
          <rPr>
            <b/>
            <sz val="9"/>
            <color indexed="81"/>
            <rFont val="Tahoma"/>
            <family val="2"/>
          </rPr>
          <t>If this highlights as an error, consider upsizing the Tether size for better ribbon utilization</t>
        </r>
      </text>
    </comment>
    <comment ref="C445" authorId="1" shapeId="0">
      <text>
        <r>
          <rPr>
            <b/>
            <sz val="9"/>
            <color indexed="81"/>
            <rFont val="Tahoma"/>
            <family val="2"/>
          </rPr>
          <t>DBL REV requires TWO rows!
TPL REV requires THREE rows!
QD REV requires FOUR rows!</t>
        </r>
      </text>
    </comment>
    <comment ref="J445" authorId="1" shapeId="0">
      <text>
        <r>
          <rPr>
            <b/>
            <sz val="9"/>
            <color indexed="81"/>
            <rFont val="Tahoma"/>
            <family val="2"/>
          </rPr>
          <t>If this highlights as an error, consider upsizing the Tether size for better ribbon utilization</t>
        </r>
      </text>
    </comment>
    <comment ref="C446" authorId="1" shapeId="0">
      <text>
        <r>
          <rPr>
            <b/>
            <sz val="9"/>
            <color indexed="81"/>
            <rFont val="Tahoma"/>
            <family val="2"/>
          </rPr>
          <t>DBL REV requires TWO rows!
TPL REV requires THREE rows!
QD REV requires FOUR rows!</t>
        </r>
      </text>
    </comment>
    <comment ref="J446" authorId="1" shapeId="0">
      <text>
        <r>
          <rPr>
            <b/>
            <sz val="9"/>
            <color indexed="81"/>
            <rFont val="Tahoma"/>
            <family val="2"/>
          </rPr>
          <t>If this highlights as an error, consider upsizing the Tether size for better ribbon utilization</t>
        </r>
      </text>
    </comment>
    <comment ref="C447" authorId="1" shapeId="0">
      <text>
        <r>
          <rPr>
            <b/>
            <sz val="9"/>
            <color indexed="81"/>
            <rFont val="Tahoma"/>
            <family val="2"/>
          </rPr>
          <t>DBL REV requires TWO rows!
TPL REV requires THREE rows!
QD REV requires FOUR rows!</t>
        </r>
      </text>
    </comment>
    <comment ref="J447" authorId="1" shapeId="0">
      <text>
        <r>
          <rPr>
            <b/>
            <sz val="9"/>
            <color indexed="81"/>
            <rFont val="Tahoma"/>
            <family val="2"/>
          </rPr>
          <t>If this highlights as an error, consider upsizing the Tether size for better ribbon utilization</t>
        </r>
      </text>
    </comment>
    <comment ref="C448" authorId="1" shapeId="0">
      <text>
        <r>
          <rPr>
            <b/>
            <sz val="9"/>
            <color indexed="81"/>
            <rFont val="Tahoma"/>
            <family val="2"/>
          </rPr>
          <t>DBL REV requires TWO rows!
TPL REV requires THREE rows!
QD REV requires FOUR rows!</t>
        </r>
      </text>
    </comment>
    <comment ref="J448" authorId="1" shapeId="0">
      <text>
        <r>
          <rPr>
            <b/>
            <sz val="9"/>
            <color indexed="81"/>
            <rFont val="Tahoma"/>
            <family val="2"/>
          </rPr>
          <t>If this highlights as an error, consider upsizing the Tether size for better ribbon utilization</t>
        </r>
      </text>
    </comment>
    <comment ref="C449" authorId="1" shapeId="0">
      <text>
        <r>
          <rPr>
            <b/>
            <sz val="9"/>
            <color indexed="81"/>
            <rFont val="Tahoma"/>
            <family val="2"/>
          </rPr>
          <t>DBL REV requires TWO rows!
TPL REV requires THREE rows!
QD REV requires FOUR rows!</t>
        </r>
      </text>
    </comment>
    <comment ref="J449" authorId="1" shapeId="0">
      <text>
        <r>
          <rPr>
            <b/>
            <sz val="9"/>
            <color indexed="81"/>
            <rFont val="Tahoma"/>
            <family val="2"/>
          </rPr>
          <t>If this highlights as an error, consider upsizing the Tether size for better ribbon utilization</t>
        </r>
      </text>
    </comment>
    <comment ref="C450" authorId="1" shapeId="0">
      <text>
        <r>
          <rPr>
            <b/>
            <sz val="9"/>
            <color indexed="81"/>
            <rFont val="Tahoma"/>
            <family val="2"/>
          </rPr>
          <t>DBL REV requires TWO rows!
TPL REV requires THREE rows!
QD REV requires FOUR rows!</t>
        </r>
      </text>
    </comment>
    <comment ref="J450" authorId="1" shapeId="0">
      <text>
        <r>
          <rPr>
            <b/>
            <sz val="9"/>
            <color indexed="81"/>
            <rFont val="Tahoma"/>
            <family val="2"/>
          </rPr>
          <t>If this highlights as an error, consider upsizing the Tether size for better ribbon utilization</t>
        </r>
      </text>
    </comment>
    <comment ref="C451" authorId="1" shapeId="0">
      <text>
        <r>
          <rPr>
            <b/>
            <sz val="9"/>
            <color indexed="81"/>
            <rFont val="Tahoma"/>
            <family val="2"/>
          </rPr>
          <t>DBL REV requires TWO rows!
TPL REV requires THREE rows!
QD REV requires FOUR rows!</t>
        </r>
      </text>
    </comment>
    <comment ref="J451" authorId="1" shapeId="0">
      <text>
        <r>
          <rPr>
            <b/>
            <sz val="9"/>
            <color indexed="81"/>
            <rFont val="Tahoma"/>
            <family val="2"/>
          </rPr>
          <t>If this highlights as an error, consider upsizing the Tether size for better ribbon utilization</t>
        </r>
      </text>
    </comment>
    <comment ref="B45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text>
        <r>
          <rPr>
            <b/>
            <sz val="8"/>
            <color indexed="81"/>
            <rFont val="Tahoma"/>
            <family val="2"/>
          </rPr>
          <t>This will be added to Planning Load Block A for TOTAL</t>
        </r>
        <r>
          <rPr>
            <sz val="8"/>
            <color indexed="81"/>
            <rFont val="Tahoma"/>
            <family val="2"/>
          </rPr>
          <t xml:space="preserve">
</t>
        </r>
      </text>
    </comment>
    <comment ref="J457" authorId="0" shapeId="0">
      <text>
        <r>
          <rPr>
            <b/>
            <sz val="8"/>
            <color indexed="81"/>
            <rFont val="Tahoma"/>
            <family val="2"/>
          </rPr>
          <t>This is the PON OUT count that is not assigned in this cable reel.</t>
        </r>
        <r>
          <rPr>
            <sz val="8"/>
            <color indexed="81"/>
            <rFont val="Tahoma"/>
            <family val="2"/>
          </rPr>
          <t xml:space="preserve">
</t>
        </r>
      </text>
    </comment>
    <comment ref="P457" authorId="1" shapeId="0">
      <text>
        <r>
          <rPr>
            <b/>
            <sz val="9"/>
            <color indexed="81"/>
            <rFont val="Tahoma"/>
            <family val="2"/>
          </rPr>
          <t>REMEMBER: 2-Fbr Tethers are NOT available for RPX CABLE!</t>
        </r>
      </text>
    </comment>
    <comment ref="Q457" authorId="1" shapeId="0">
      <text>
        <r>
          <rPr>
            <b/>
            <sz val="9"/>
            <color indexed="81"/>
            <rFont val="Tahoma"/>
            <family val="2"/>
          </rPr>
          <t>REMEMBER: 2-Fbr Tethers are NOT available for RPX CABLE!</t>
        </r>
      </text>
    </comment>
    <comment ref="S457" authorId="1" shapeId="0">
      <text>
        <r>
          <rPr>
            <b/>
            <sz val="9"/>
            <color indexed="81"/>
            <rFont val="Tahoma"/>
            <family val="2"/>
          </rPr>
          <t>REMEMBER: 2-Fbr Tethers are NOT available for RPX CABLE!</t>
        </r>
      </text>
    </comment>
    <comment ref="T457" authorId="1" shapeId="0">
      <text>
        <r>
          <rPr>
            <b/>
            <sz val="9"/>
            <color indexed="81"/>
            <rFont val="Tahoma"/>
            <family val="2"/>
          </rPr>
          <t>REMEMBER: 2-Fbr Tethers are NOT available for RPX CABLE!</t>
        </r>
      </text>
    </comment>
    <comment ref="B45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text>
        <r>
          <rPr>
            <b/>
            <sz val="8"/>
            <color indexed="81"/>
            <rFont val="Tahoma"/>
            <family val="2"/>
          </rPr>
          <t>Make sure you add this number to "TAT FIBERS ASSIGNED" for the total required in the Load Block on the prints.</t>
        </r>
      </text>
    </comment>
    <comment ref="G458" authorId="0" shapeId="0">
      <text>
        <r>
          <rPr>
            <b/>
            <sz val="8"/>
            <color indexed="81"/>
            <rFont val="Tahoma"/>
            <family val="2"/>
          </rPr>
          <t>Includes "DEAD" Count (No PON count assigned)</t>
        </r>
      </text>
    </comment>
    <comment ref="I45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text>
        <r>
          <rPr>
            <b/>
            <sz val="9"/>
            <color indexed="81"/>
            <rFont val="Tahoma"/>
            <family val="2"/>
          </rPr>
          <t>REMEMBER: 6-Fbr Tethers are NOT available for RPX CABLE!</t>
        </r>
      </text>
    </comment>
    <comment ref="Q459" authorId="1" shapeId="0">
      <text>
        <r>
          <rPr>
            <b/>
            <sz val="9"/>
            <color indexed="81"/>
            <rFont val="Tahoma"/>
            <family val="2"/>
          </rPr>
          <t>REMEMBER: 6-Fbr Tethers are NOT available for RPX CABLE!</t>
        </r>
      </text>
    </comment>
    <comment ref="S459" authorId="1" shapeId="0">
      <text>
        <r>
          <rPr>
            <b/>
            <sz val="9"/>
            <color indexed="81"/>
            <rFont val="Tahoma"/>
            <family val="2"/>
          </rPr>
          <t>REMEMBER: 6-Fbr Tethers are NOT available for RPX CABLE!</t>
        </r>
      </text>
    </comment>
    <comment ref="T459" authorId="1" shapeId="0">
      <text>
        <r>
          <rPr>
            <b/>
            <sz val="9"/>
            <color indexed="81"/>
            <rFont val="Tahoma"/>
            <family val="2"/>
          </rPr>
          <t>REMEMBER: 6-Fbr Tethers are NOT available for AERIAL CABLE!</t>
        </r>
      </text>
    </comment>
    <comment ref="B46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text>
        <r>
          <rPr>
            <b/>
            <sz val="8"/>
            <color indexed="81"/>
            <rFont val="Tahoma"/>
            <family val="2"/>
          </rPr>
          <t>These are "manufacturing rules" and general warnings</t>
        </r>
        <r>
          <rPr>
            <sz val="8"/>
            <color indexed="81"/>
            <rFont val="Tahoma"/>
            <family val="2"/>
          </rPr>
          <t xml:space="preserve">
</t>
        </r>
      </text>
    </comment>
    <comment ref="B46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text>
        <r>
          <rPr>
            <b/>
            <sz val="8"/>
            <color indexed="81"/>
            <rFont val="Tahoma"/>
            <family val="2"/>
          </rPr>
          <t>This number is a sum of TOTAL PLANNED plus the ASSIGNED TO TETHERS</t>
        </r>
        <r>
          <rPr>
            <sz val="8"/>
            <color indexed="81"/>
            <rFont val="Tahoma"/>
            <family val="2"/>
          </rPr>
          <t xml:space="preserve">
</t>
        </r>
      </text>
    </comment>
    <comment ref="Z465" authorId="0" shapeId="0">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text>
        <r>
          <rPr>
            <b/>
            <sz val="8"/>
            <color indexed="81"/>
            <rFont val="Tahoma"/>
            <family val="2"/>
          </rPr>
          <t>Counting from High count Backwards- this is Fiber Strand 133</t>
        </r>
      </text>
    </comment>
    <comment ref="AB465" authorId="0" shapeId="0">
      <text>
        <r>
          <rPr>
            <b/>
            <sz val="8"/>
            <color indexed="81"/>
            <rFont val="Tahoma"/>
            <family val="2"/>
          </rPr>
          <t>Counting from High count Backwards- this is Fiber Strand 144</t>
        </r>
        <r>
          <rPr>
            <sz val="8"/>
            <color indexed="81"/>
            <rFont val="Tahoma"/>
            <family val="2"/>
          </rPr>
          <t xml:space="preserve">
</t>
        </r>
      </text>
    </comment>
    <comment ref="C466" authorId="0" shapeId="0">
      <text>
        <r>
          <rPr>
            <b/>
            <sz val="8"/>
            <color indexed="81"/>
            <rFont val="Tahoma"/>
            <family val="2"/>
          </rPr>
          <t xml:space="preserve">Select if this tether will be used to feed a CFST or a lateral cable. </t>
        </r>
      </text>
    </comment>
    <comment ref="D466" authorId="0" shapeId="0">
      <text>
        <r>
          <rPr>
            <b/>
            <sz val="8"/>
            <color indexed="81"/>
            <rFont val="Tahoma"/>
            <family val="2"/>
          </rPr>
          <t>Note the Terminal Address to keep your locations straight</t>
        </r>
        <r>
          <rPr>
            <sz val="8"/>
            <color indexed="81"/>
            <rFont val="Tahoma"/>
            <family val="2"/>
          </rPr>
          <t xml:space="preserve">
</t>
        </r>
      </text>
    </comment>
    <comment ref="E466" authorId="0" shapeId="0">
      <text>
        <r>
          <rPr>
            <b/>
            <sz val="9"/>
            <color indexed="81"/>
            <rFont val="Calibri"/>
            <family val="2"/>
            <scheme val="minor"/>
          </rPr>
          <t>Pick the Tether Size for the location</t>
        </r>
        <r>
          <rPr>
            <sz val="8"/>
            <color indexed="81"/>
            <rFont val="Tahoma"/>
            <family val="2"/>
          </rPr>
          <t xml:space="preserve">
</t>
        </r>
      </text>
    </comment>
    <comment ref="F466" authorId="2" shapeId="0">
      <text>
        <r>
          <rPr>
            <b/>
            <sz val="9"/>
            <color indexed="81"/>
            <rFont val="Tahoma"/>
            <family val="2"/>
          </rPr>
          <t>Identify TCF or FST location.
Leave blank if tether is NOT for a TCF or FST!</t>
        </r>
      </text>
    </comment>
    <comment ref="H466" authorId="0" shapeId="0">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text>
        <r>
          <rPr>
            <b/>
            <sz val="8"/>
            <color indexed="81"/>
            <rFont val="Tahoma"/>
            <family val="2"/>
          </rPr>
          <t>If any of these numbers are negative, check your PON count and Cable size</t>
        </r>
      </text>
    </comment>
    <comment ref="J46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text>
        <r>
          <rPr>
            <b/>
            <sz val="9"/>
            <color indexed="81"/>
            <rFont val="Tahoma"/>
            <family val="2"/>
          </rPr>
          <t>Leave blank if using 10' Terminal Tail
Enter Tail length if greater than 10'</t>
        </r>
      </text>
    </comment>
    <comment ref="M466" authorId="0" shapeId="0">
      <text>
        <r>
          <rPr>
            <b/>
            <sz val="8"/>
            <color indexed="81"/>
            <rFont val="Tahoma"/>
            <family val="2"/>
          </rPr>
          <t>Make design notes such as slack coils, realingment loops,  or location notes</t>
        </r>
      </text>
    </comment>
    <comment ref="Z466" authorId="0" shapeId="0">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text>
        <r>
          <rPr>
            <b/>
            <sz val="8"/>
            <color indexed="81"/>
            <rFont val="Tahoma"/>
            <family val="2"/>
          </rPr>
          <t xml:space="preserve">Counting from High count Backwards- this is Fiber Strand 145
</t>
        </r>
      </text>
    </comment>
    <comment ref="AB466" authorId="0" shapeId="0">
      <text>
        <r>
          <rPr>
            <b/>
            <sz val="8"/>
            <color indexed="81"/>
            <rFont val="Tahoma"/>
            <family val="2"/>
          </rPr>
          <t>Counting from High count Backwards- this is Fiber Strand 156</t>
        </r>
      </text>
    </comment>
    <comment ref="J468" authorId="1" shapeId="0">
      <text>
        <r>
          <rPr>
            <b/>
            <sz val="9"/>
            <color indexed="81"/>
            <rFont val="Tahoma"/>
            <family val="2"/>
          </rPr>
          <t>If this highlights as an error, consider upsizing the Tether size for better ribbon utilization</t>
        </r>
      </text>
    </comment>
    <comment ref="J469" authorId="1" shapeId="0">
      <text>
        <r>
          <rPr>
            <b/>
            <sz val="9"/>
            <color indexed="81"/>
            <rFont val="Tahoma"/>
            <family val="2"/>
          </rPr>
          <t>If this highlights as an error, consider upsizing the Tether size for better ribbon utilization</t>
        </r>
      </text>
    </comment>
    <comment ref="J470" authorId="1" shapeId="0">
      <text>
        <r>
          <rPr>
            <b/>
            <sz val="9"/>
            <color indexed="81"/>
            <rFont val="Tahoma"/>
            <family val="2"/>
          </rPr>
          <t>If this highlights as an error, consider upsizing the Tether size for better ribbon utilization</t>
        </r>
      </text>
    </comment>
    <comment ref="J471" authorId="1" shapeId="0">
      <text>
        <r>
          <rPr>
            <b/>
            <sz val="9"/>
            <color indexed="81"/>
            <rFont val="Tahoma"/>
            <family val="2"/>
          </rPr>
          <t>If this highlights as an error, consider upsizing the Tether size for better ribbon utilization</t>
        </r>
      </text>
    </comment>
    <comment ref="J472" authorId="1" shapeId="0">
      <text>
        <r>
          <rPr>
            <b/>
            <sz val="9"/>
            <color indexed="81"/>
            <rFont val="Tahoma"/>
            <family val="2"/>
          </rPr>
          <t>If this highlights as an error, consider upsizing the Tether size for better ribbon utilization</t>
        </r>
      </text>
    </comment>
    <comment ref="J473" authorId="1" shapeId="0">
      <text>
        <r>
          <rPr>
            <b/>
            <sz val="9"/>
            <color indexed="81"/>
            <rFont val="Tahoma"/>
            <family val="2"/>
          </rPr>
          <t>If this highlights as an error, consider upsizing the Tether size for better ribbon utilization</t>
        </r>
      </text>
    </comment>
    <comment ref="J474" authorId="1" shapeId="0">
      <text>
        <r>
          <rPr>
            <b/>
            <sz val="9"/>
            <color indexed="81"/>
            <rFont val="Tahoma"/>
            <family val="2"/>
          </rPr>
          <t>If this highlights as an error, consider upsizing the Tether size for better ribbon utilization</t>
        </r>
      </text>
    </comment>
    <comment ref="J475" authorId="1" shapeId="0">
      <text>
        <r>
          <rPr>
            <b/>
            <sz val="9"/>
            <color indexed="81"/>
            <rFont val="Tahoma"/>
            <family val="2"/>
          </rPr>
          <t>If this highlights as an error, consider upsizing the Tether size for better ribbon utilization</t>
        </r>
      </text>
    </comment>
    <comment ref="J476" authorId="1" shapeId="0">
      <text>
        <r>
          <rPr>
            <b/>
            <sz val="9"/>
            <color indexed="81"/>
            <rFont val="Tahoma"/>
            <family val="2"/>
          </rPr>
          <t>If this highlights as an error, consider upsizing the Tether size for better ribbon utilization</t>
        </r>
      </text>
    </comment>
    <comment ref="J477" authorId="1" shapeId="0">
      <text>
        <r>
          <rPr>
            <b/>
            <sz val="9"/>
            <color indexed="81"/>
            <rFont val="Tahoma"/>
            <family val="2"/>
          </rPr>
          <t>If this highlights as an error, consider upsizing the Tether size for better ribbon utilization</t>
        </r>
      </text>
    </comment>
    <comment ref="J478" authorId="1" shapeId="0">
      <text>
        <r>
          <rPr>
            <b/>
            <sz val="9"/>
            <color indexed="81"/>
            <rFont val="Tahoma"/>
            <family val="2"/>
          </rPr>
          <t>If this highlights as an error, consider upsizing the Tether size for better ribbon utilization</t>
        </r>
      </text>
    </comment>
    <comment ref="J479" authorId="1" shapeId="0">
      <text>
        <r>
          <rPr>
            <b/>
            <sz val="9"/>
            <color indexed="81"/>
            <rFont val="Tahoma"/>
            <family val="2"/>
          </rPr>
          <t>If this highlights as an error, consider upsizing the Tether size for better ribbon utilization</t>
        </r>
      </text>
    </comment>
    <comment ref="J480" authorId="1" shapeId="0">
      <text>
        <r>
          <rPr>
            <b/>
            <sz val="9"/>
            <color indexed="81"/>
            <rFont val="Tahoma"/>
            <family val="2"/>
          </rPr>
          <t>If this highlights as an error, consider upsizing the Tether size for better ribbon utilization</t>
        </r>
      </text>
    </comment>
    <comment ref="J481" authorId="1" shapeId="0">
      <text>
        <r>
          <rPr>
            <b/>
            <sz val="9"/>
            <color indexed="81"/>
            <rFont val="Tahoma"/>
            <family val="2"/>
          </rPr>
          <t>If this highlights as an error, consider upsizing the Tether size for better ribbon utilization</t>
        </r>
      </text>
    </comment>
    <comment ref="J482" authorId="1" shapeId="0">
      <text>
        <r>
          <rPr>
            <b/>
            <sz val="9"/>
            <color indexed="81"/>
            <rFont val="Tahoma"/>
            <family val="2"/>
          </rPr>
          <t>If this highlights as an error, consider upsizing the Tether size for better ribbon utilization</t>
        </r>
      </text>
    </comment>
    <comment ref="J483" authorId="1" shapeId="0">
      <text>
        <r>
          <rPr>
            <b/>
            <sz val="9"/>
            <color indexed="81"/>
            <rFont val="Tahoma"/>
            <family val="2"/>
          </rPr>
          <t>If this highlights as an error, consider upsizing the Tether size for better ribbon utilization</t>
        </r>
      </text>
    </comment>
    <comment ref="J484" authorId="1" shapeId="0">
      <text>
        <r>
          <rPr>
            <b/>
            <sz val="9"/>
            <color indexed="81"/>
            <rFont val="Tahoma"/>
            <family val="2"/>
          </rPr>
          <t>If this highlights as an error, consider upsizing the Tether size for better ribbon utilization</t>
        </r>
      </text>
    </comment>
    <comment ref="J485" authorId="1" shapeId="0">
      <text>
        <r>
          <rPr>
            <b/>
            <sz val="9"/>
            <color indexed="81"/>
            <rFont val="Tahoma"/>
            <family val="2"/>
          </rPr>
          <t>If this highlights as an error, consider upsizing the Tether size for better ribbon utilization</t>
        </r>
      </text>
    </comment>
    <comment ref="C486" authorId="1" shapeId="0">
      <text>
        <r>
          <rPr>
            <b/>
            <sz val="9"/>
            <color indexed="81"/>
            <rFont val="Tahoma"/>
            <family val="2"/>
          </rPr>
          <t>DBL REV requires TWO rows!
TPL REV requires THREE rows!
QD REV requires FOUR rows!</t>
        </r>
      </text>
    </comment>
    <comment ref="J486" authorId="1" shapeId="0">
      <text>
        <r>
          <rPr>
            <b/>
            <sz val="9"/>
            <color indexed="81"/>
            <rFont val="Tahoma"/>
            <family val="2"/>
          </rPr>
          <t>If this highlights as an error, consider upsizing the Tether size for better ribbon utilization</t>
        </r>
      </text>
    </comment>
    <comment ref="C487" authorId="1" shapeId="0">
      <text>
        <r>
          <rPr>
            <b/>
            <sz val="9"/>
            <color indexed="81"/>
            <rFont val="Tahoma"/>
            <family val="2"/>
          </rPr>
          <t>DBL REV requires TWO rows!
TPL REV requires THREE rows!
QD REV requires FOUR rows!</t>
        </r>
      </text>
    </comment>
    <comment ref="J487" authorId="1" shapeId="0">
      <text>
        <r>
          <rPr>
            <b/>
            <sz val="9"/>
            <color indexed="81"/>
            <rFont val="Tahoma"/>
            <family val="2"/>
          </rPr>
          <t>If this highlights as an error, consider upsizing the Tether size for better ribbon utilization</t>
        </r>
      </text>
    </comment>
    <comment ref="C488" authorId="1" shapeId="0">
      <text>
        <r>
          <rPr>
            <b/>
            <sz val="9"/>
            <color indexed="81"/>
            <rFont val="Tahoma"/>
            <family val="2"/>
          </rPr>
          <t>DBL REV requires TWO rows!
TPL REV requires THREE rows!
QD REV requires FOUR rows!</t>
        </r>
      </text>
    </comment>
    <comment ref="J488" authorId="1" shapeId="0">
      <text>
        <r>
          <rPr>
            <b/>
            <sz val="9"/>
            <color indexed="81"/>
            <rFont val="Tahoma"/>
            <family val="2"/>
          </rPr>
          <t>If this highlights as an error, consider upsizing the Tether size for better ribbon utilization</t>
        </r>
      </text>
    </comment>
    <comment ref="C489" authorId="1" shapeId="0">
      <text>
        <r>
          <rPr>
            <b/>
            <sz val="9"/>
            <color indexed="81"/>
            <rFont val="Tahoma"/>
            <family val="2"/>
          </rPr>
          <t>DBL REV requires TWO rows!
TPL REV requires THREE rows!
QD REV requires FOUR rows!</t>
        </r>
      </text>
    </comment>
    <comment ref="J489" authorId="1" shapeId="0">
      <text>
        <r>
          <rPr>
            <b/>
            <sz val="9"/>
            <color indexed="81"/>
            <rFont val="Tahoma"/>
            <family val="2"/>
          </rPr>
          <t>If this highlights as an error, consider upsizing the Tether size for better ribbon utilization</t>
        </r>
      </text>
    </comment>
    <comment ref="C490" authorId="1" shapeId="0">
      <text>
        <r>
          <rPr>
            <b/>
            <sz val="9"/>
            <color indexed="81"/>
            <rFont val="Tahoma"/>
            <family val="2"/>
          </rPr>
          <t>DBL REV requires TWO rows!
TPL REV requires THREE rows!
QD REV requires FOUR rows!</t>
        </r>
      </text>
    </comment>
    <comment ref="J490" authorId="1" shapeId="0">
      <text>
        <r>
          <rPr>
            <b/>
            <sz val="9"/>
            <color indexed="81"/>
            <rFont val="Tahoma"/>
            <family val="2"/>
          </rPr>
          <t>If this highlights as an error, consider upsizing the Tether size for better ribbon utilization</t>
        </r>
      </text>
    </comment>
    <comment ref="C491" authorId="1" shapeId="0">
      <text>
        <r>
          <rPr>
            <b/>
            <sz val="9"/>
            <color indexed="81"/>
            <rFont val="Tahoma"/>
            <family val="2"/>
          </rPr>
          <t>DBL REV requires TWO rows!
TPL REV requires THREE rows!
QD REV requires FOUR rows!</t>
        </r>
      </text>
    </comment>
    <comment ref="J491" authorId="1" shapeId="0">
      <text>
        <r>
          <rPr>
            <b/>
            <sz val="9"/>
            <color indexed="81"/>
            <rFont val="Tahoma"/>
            <family val="2"/>
          </rPr>
          <t>If this highlights as an error, consider upsizing the Tether size for better ribbon utilization</t>
        </r>
      </text>
    </comment>
    <comment ref="C492" authorId="1" shapeId="0">
      <text>
        <r>
          <rPr>
            <b/>
            <sz val="9"/>
            <color indexed="81"/>
            <rFont val="Tahoma"/>
            <family val="2"/>
          </rPr>
          <t>DBL REV requires TWO rows!
TPL REV requires THREE rows!
QD REV requires FOUR rows!</t>
        </r>
      </text>
    </comment>
    <comment ref="J492" authorId="1" shapeId="0">
      <text>
        <r>
          <rPr>
            <b/>
            <sz val="9"/>
            <color indexed="81"/>
            <rFont val="Tahoma"/>
            <family val="2"/>
          </rPr>
          <t>If this highlights as an error, consider upsizing the Tether size for better ribbon utilization</t>
        </r>
      </text>
    </comment>
    <comment ref="B49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text>
        <r>
          <rPr>
            <b/>
            <sz val="8"/>
            <color indexed="81"/>
            <rFont val="Tahoma"/>
            <family val="2"/>
          </rPr>
          <t>This will be added to Planning Load Block A for TOTAL</t>
        </r>
        <r>
          <rPr>
            <sz val="8"/>
            <color indexed="81"/>
            <rFont val="Tahoma"/>
            <family val="2"/>
          </rPr>
          <t xml:space="preserve">
</t>
        </r>
      </text>
    </comment>
    <comment ref="J498" authorId="0" shapeId="0">
      <text>
        <r>
          <rPr>
            <b/>
            <sz val="8"/>
            <color indexed="81"/>
            <rFont val="Tahoma"/>
            <family val="2"/>
          </rPr>
          <t>This is the PON OUT count that is not assigned in this cable reel.</t>
        </r>
        <r>
          <rPr>
            <sz val="8"/>
            <color indexed="81"/>
            <rFont val="Tahoma"/>
            <family val="2"/>
          </rPr>
          <t xml:space="preserve">
</t>
        </r>
      </text>
    </comment>
    <comment ref="P498" authorId="1" shapeId="0">
      <text>
        <r>
          <rPr>
            <b/>
            <sz val="9"/>
            <color indexed="81"/>
            <rFont val="Tahoma"/>
            <family val="2"/>
          </rPr>
          <t>REMEMBER: 2-Fbr Tethers are NOT available for RPX CABLE!</t>
        </r>
      </text>
    </comment>
    <comment ref="Q498" authorId="1" shapeId="0">
      <text>
        <r>
          <rPr>
            <b/>
            <sz val="9"/>
            <color indexed="81"/>
            <rFont val="Tahoma"/>
            <family val="2"/>
          </rPr>
          <t>REMEMBER: 2-Fbr Tethers are NOT available for RPX CABLE!</t>
        </r>
      </text>
    </comment>
    <comment ref="S498" authorId="1" shapeId="0">
      <text>
        <r>
          <rPr>
            <b/>
            <sz val="9"/>
            <color indexed="81"/>
            <rFont val="Tahoma"/>
            <family val="2"/>
          </rPr>
          <t>REMEMBER: 2-Fbr Tethers are NOT available for RPX CABLE!</t>
        </r>
      </text>
    </comment>
    <comment ref="T498" authorId="1" shapeId="0">
      <text>
        <r>
          <rPr>
            <b/>
            <sz val="9"/>
            <color indexed="81"/>
            <rFont val="Tahoma"/>
            <family val="2"/>
          </rPr>
          <t>REMEMBER: 2-Fbr Tethers are NOT available for RPX CABLE!</t>
        </r>
      </text>
    </comment>
    <comment ref="B49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text>
        <r>
          <rPr>
            <b/>
            <sz val="8"/>
            <color indexed="81"/>
            <rFont val="Tahoma"/>
            <family val="2"/>
          </rPr>
          <t>Make sure you add this number to "TAT FIBERS ASSIGNED" for the total required in the Load Block on the prints.</t>
        </r>
      </text>
    </comment>
    <comment ref="G499" authorId="0" shapeId="0">
      <text>
        <r>
          <rPr>
            <b/>
            <sz val="8"/>
            <color indexed="81"/>
            <rFont val="Tahoma"/>
            <family val="2"/>
          </rPr>
          <t>Includes "DEAD" Count (No PON count assigned)</t>
        </r>
      </text>
    </comment>
    <comment ref="I49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text>
        <r>
          <rPr>
            <b/>
            <sz val="9"/>
            <color indexed="81"/>
            <rFont val="Tahoma"/>
            <family val="2"/>
          </rPr>
          <t>REMEMBER: 6-Fbr Tethers are NOT available for RPX CABLE!</t>
        </r>
      </text>
    </comment>
    <comment ref="Q500" authorId="1" shapeId="0">
      <text>
        <r>
          <rPr>
            <b/>
            <sz val="9"/>
            <color indexed="81"/>
            <rFont val="Tahoma"/>
            <family val="2"/>
          </rPr>
          <t>REMEMBER: 6-Fbr Tethers are NOT available for RPX CABLE!</t>
        </r>
      </text>
    </comment>
    <comment ref="S500" authorId="1" shapeId="0">
      <text>
        <r>
          <rPr>
            <b/>
            <sz val="9"/>
            <color indexed="81"/>
            <rFont val="Tahoma"/>
            <family val="2"/>
          </rPr>
          <t>REMEMBER: 6-Fbr Tethers are NOT available for RPX CABLE!</t>
        </r>
      </text>
    </comment>
    <comment ref="T500" authorId="1" shapeId="0">
      <text>
        <r>
          <rPr>
            <b/>
            <sz val="9"/>
            <color indexed="81"/>
            <rFont val="Tahoma"/>
            <family val="2"/>
          </rPr>
          <t>REMEMBER: 6-Fbr Tethers are NOT available for AERIAL CABLE!</t>
        </r>
      </text>
    </comment>
    <comment ref="B50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text>
        <r>
          <rPr>
            <b/>
            <sz val="8"/>
            <color indexed="81"/>
            <rFont val="Tahoma"/>
            <family val="2"/>
          </rPr>
          <t>These are "manufacturing rules" and general warnings</t>
        </r>
        <r>
          <rPr>
            <sz val="8"/>
            <color indexed="81"/>
            <rFont val="Tahoma"/>
            <family val="2"/>
          </rPr>
          <t xml:space="preserve">
</t>
        </r>
      </text>
    </comment>
    <comment ref="B50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text>
        <r>
          <rPr>
            <b/>
            <sz val="8"/>
            <color indexed="81"/>
            <rFont val="Tahoma"/>
            <family val="2"/>
          </rPr>
          <t>This number is a sum of TOTAL PLANNED plus the ASSIGNED TO TETHERS</t>
        </r>
        <r>
          <rPr>
            <sz val="8"/>
            <color indexed="81"/>
            <rFont val="Tahoma"/>
            <family val="2"/>
          </rPr>
          <t xml:space="preserve">
</t>
        </r>
      </text>
    </comment>
    <comment ref="Z506" authorId="0" shapeId="0">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text>
        <r>
          <rPr>
            <b/>
            <sz val="8"/>
            <color indexed="81"/>
            <rFont val="Tahoma"/>
            <family val="2"/>
          </rPr>
          <t>Counting from High count Backwards- this is Fiber Strand 133</t>
        </r>
      </text>
    </comment>
    <comment ref="AB506" authorId="0" shapeId="0">
      <text>
        <r>
          <rPr>
            <b/>
            <sz val="8"/>
            <color indexed="81"/>
            <rFont val="Tahoma"/>
            <family val="2"/>
          </rPr>
          <t>Counting from High count Backwards- this is Fiber Strand 144</t>
        </r>
        <r>
          <rPr>
            <sz val="8"/>
            <color indexed="81"/>
            <rFont val="Tahoma"/>
            <family val="2"/>
          </rPr>
          <t xml:space="preserve">
</t>
        </r>
      </text>
    </comment>
    <comment ref="C507" authorId="0" shapeId="0">
      <text>
        <r>
          <rPr>
            <b/>
            <sz val="8"/>
            <color indexed="81"/>
            <rFont val="Tahoma"/>
            <family val="2"/>
          </rPr>
          <t xml:space="preserve">Select if this tether will be used to feed a CFST or a lateral cable. </t>
        </r>
      </text>
    </comment>
    <comment ref="D507" authorId="0" shapeId="0">
      <text>
        <r>
          <rPr>
            <b/>
            <sz val="8"/>
            <color indexed="81"/>
            <rFont val="Tahoma"/>
            <family val="2"/>
          </rPr>
          <t>Note the Terminal Address to keep your locations straight</t>
        </r>
        <r>
          <rPr>
            <sz val="8"/>
            <color indexed="81"/>
            <rFont val="Tahoma"/>
            <family val="2"/>
          </rPr>
          <t xml:space="preserve">
</t>
        </r>
      </text>
    </comment>
    <comment ref="E507" authorId="0" shapeId="0">
      <text>
        <r>
          <rPr>
            <b/>
            <sz val="9"/>
            <color indexed="81"/>
            <rFont val="Calibri"/>
            <family val="2"/>
            <scheme val="minor"/>
          </rPr>
          <t>Pick the Tether Size for the location</t>
        </r>
        <r>
          <rPr>
            <sz val="8"/>
            <color indexed="81"/>
            <rFont val="Tahoma"/>
            <family val="2"/>
          </rPr>
          <t xml:space="preserve">
</t>
        </r>
      </text>
    </comment>
    <comment ref="F507" authorId="2" shapeId="0">
      <text>
        <r>
          <rPr>
            <b/>
            <sz val="9"/>
            <color indexed="81"/>
            <rFont val="Tahoma"/>
            <family val="2"/>
          </rPr>
          <t>Identify TCF or FST location.
Leave blank if tether is NOT for a TCF or FST!</t>
        </r>
      </text>
    </comment>
    <comment ref="H507" authorId="0" shapeId="0">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text>
        <r>
          <rPr>
            <b/>
            <sz val="8"/>
            <color indexed="81"/>
            <rFont val="Tahoma"/>
            <family val="2"/>
          </rPr>
          <t>If any of these numbers are negative, check your PON count and Cable size</t>
        </r>
      </text>
    </comment>
    <comment ref="J50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text>
        <r>
          <rPr>
            <b/>
            <sz val="9"/>
            <color indexed="81"/>
            <rFont val="Tahoma"/>
            <family val="2"/>
          </rPr>
          <t>Leave blank if using 10' Terminal Tail
Enter Tail length if greater than 10'</t>
        </r>
      </text>
    </comment>
    <comment ref="M507" authorId="0" shapeId="0">
      <text>
        <r>
          <rPr>
            <b/>
            <sz val="8"/>
            <color indexed="81"/>
            <rFont val="Tahoma"/>
            <family val="2"/>
          </rPr>
          <t>Make design notes such as slack coils, realingment loops,  or location notes</t>
        </r>
      </text>
    </comment>
    <comment ref="Z507" authorId="0" shapeId="0">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text>
        <r>
          <rPr>
            <b/>
            <sz val="8"/>
            <color indexed="81"/>
            <rFont val="Tahoma"/>
            <family val="2"/>
          </rPr>
          <t xml:space="preserve">Counting from High count Backwards- this is Fiber Strand 145
</t>
        </r>
      </text>
    </comment>
    <comment ref="AB507" authorId="0" shapeId="0">
      <text>
        <r>
          <rPr>
            <b/>
            <sz val="8"/>
            <color indexed="81"/>
            <rFont val="Tahoma"/>
            <family val="2"/>
          </rPr>
          <t>Counting from High count Backwards- this is Fiber Strand 156</t>
        </r>
      </text>
    </comment>
    <comment ref="J509" authorId="1" shapeId="0">
      <text>
        <r>
          <rPr>
            <b/>
            <sz val="9"/>
            <color indexed="81"/>
            <rFont val="Tahoma"/>
            <family val="2"/>
          </rPr>
          <t>If this highlights as an error, consider upsizing the Tether size for better ribbon utilization</t>
        </r>
      </text>
    </comment>
    <comment ref="J510" authorId="1" shapeId="0">
      <text>
        <r>
          <rPr>
            <b/>
            <sz val="9"/>
            <color indexed="81"/>
            <rFont val="Tahoma"/>
            <family val="2"/>
          </rPr>
          <t>If this highlights as an error, consider upsizing the Tether size for better ribbon utilization</t>
        </r>
      </text>
    </comment>
    <comment ref="J511" authorId="1" shapeId="0">
      <text>
        <r>
          <rPr>
            <b/>
            <sz val="9"/>
            <color indexed="81"/>
            <rFont val="Tahoma"/>
            <family val="2"/>
          </rPr>
          <t>If this highlights as an error, consider upsizing the Tether size for better ribbon utilization</t>
        </r>
      </text>
    </comment>
    <comment ref="J512" authorId="1" shapeId="0">
      <text>
        <r>
          <rPr>
            <b/>
            <sz val="9"/>
            <color indexed="81"/>
            <rFont val="Tahoma"/>
            <family val="2"/>
          </rPr>
          <t>If this highlights as an error, consider upsizing the Tether size for better ribbon utilization</t>
        </r>
      </text>
    </comment>
    <comment ref="J513" authorId="1" shapeId="0">
      <text>
        <r>
          <rPr>
            <b/>
            <sz val="9"/>
            <color indexed="81"/>
            <rFont val="Tahoma"/>
            <family val="2"/>
          </rPr>
          <t>If this highlights as an error, consider upsizing the Tether size for better ribbon utilization</t>
        </r>
      </text>
    </comment>
    <comment ref="J514" authorId="1" shapeId="0">
      <text>
        <r>
          <rPr>
            <b/>
            <sz val="9"/>
            <color indexed="81"/>
            <rFont val="Tahoma"/>
            <family val="2"/>
          </rPr>
          <t>If this highlights as an error, consider upsizing the Tether size for better ribbon utilization</t>
        </r>
      </text>
    </comment>
    <comment ref="J515" authorId="1" shapeId="0">
      <text>
        <r>
          <rPr>
            <b/>
            <sz val="9"/>
            <color indexed="81"/>
            <rFont val="Tahoma"/>
            <family val="2"/>
          </rPr>
          <t>If this highlights as an error, consider upsizing the Tether size for better ribbon utilization</t>
        </r>
      </text>
    </comment>
    <comment ref="J516" authorId="1" shapeId="0">
      <text>
        <r>
          <rPr>
            <b/>
            <sz val="9"/>
            <color indexed="81"/>
            <rFont val="Tahoma"/>
            <family val="2"/>
          </rPr>
          <t>If this highlights as an error, consider upsizing the Tether size for better ribbon utilization</t>
        </r>
      </text>
    </comment>
    <comment ref="J517" authorId="1" shapeId="0">
      <text>
        <r>
          <rPr>
            <b/>
            <sz val="9"/>
            <color indexed="81"/>
            <rFont val="Tahoma"/>
            <family val="2"/>
          </rPr>
          <t>If this highlights as an error, consider upsizing the Tether size for better ribbon utilization</t>
        </r>
      </text>
    </comment>
    <comment ref="J518" authorId="1" shapeId="0">
      <text>
        <r>
          <rPr>
            <b/>
            <sz val="9"/>
            <color indexed="81"/>
            <rFont val="Tahoma"/>
            <family val="2"/>
          </rPr>
          <t>If this highlights as an error, consider upsizing the Tether size for better ribbon utilization</t>
        </r>
      </text>
    </comment>
    <comment ref="J519" authorId="1" shapeId="0">
      <text>
        <r>
          <rPr>
            <b/>
            <sz val="9"/>
            <color indexed="81"/>
            <rFont val="Tahoma"/>
            <family val="2"/>
          </rPr>
          <t>If this highlights as an error, consider upsizing the Tether size for better ribbon utilization</t>
        </r>
      </text>
    </comment>
    <comment ref="J520" authorId="1" shapeId="0">
      <text>
        <r>
          <rPr>
            <b/>
            <sz val="9"/>
            <color indexed="81"/>
            <rFont val="Tahoma"/>
            <family val="2"/>
          </rPr>
          <t>If this highlights as an error, consider upsizing the Tether size for better ribbon utilization</t>
        </r>
      </text>
    </comment>
    <comment ref="J521" authorId="1" shapeId="0">
      <text>
        <r>
          <rPr>
            <b/>
            <sz val="9"/>
            <color indexed="81"/>
            <rFont val="Tahoma"/>
            <family val="2"/>
          </rPr>
          <t>If this highlights as an error, consider upsizing the Tether size for better ribbon utilization</t>
        </r>
      </text>
    </comment>
    <comment ref="J522" authorId="1" shapeId="0">
      <text>
        <r>
          <rPr>
            <b/>
            <sz val="9"/>
            <color indexed="81"/>
            <rFont val="Tahoma"/>
            <family val="2"/>
          </rPr>
          <t>If this highlights as an error, consider upsizing the Tether size for better ribbon utilization</t>
        </r>
      </text>
    </comment>
    <comment ref="J523" authorId="1" shapeId="0">
      <text>
        <r>
          <rPr>
            <b/>
            <sz val="9"/>
            <color indexed="81"/>
            <rFont val="Tahoma"/>
            <family val="2"/>
          </rPr>
          <t>If this highlights as an error, consider upsizing the Tether size for better ribbon utilization</t>
        </r>
      </text>
    </comment>
    <comment ref="J524" authorId="1" shapeId="0">
      <text>
        <r>
          <rPr>
            <b/>
            <sz val="9"/>
            <color indexed="81"/>
            <rFont val="Tahoma"/>
            <family val="2"/>
          </rPr>
          <t>If this highlights as an error, consider upsizing the Tether size for better ribbon utilization</t>
        </r>
      </text>
    </comment>
    <comment ref="J525" authorId="1" shapeId="0">
      <text>
        <r>
          <rPr>
            <b/>
            <sz val="9"/>
            <color indexed="81"/>
            <rFont val="Tahoma"/>
            <family val="2"/>
          </rPr>
          <t>If this highlights as an error, consider upsizing the Tether size for better ribbon utilization</t>
        </r>
      </text>
    </comment>
    <comment ref="J526" authorId="1" shapeId="0">
      <text>
        <r>
          <rPr>
            <b/>
            <sz val="9"/>
            <color indexed="81"/>
            <rFont val="Tahoma"/>
            <family val="2"/>
          </rPr>
          <t>If this highlights as an error, consider upsizing the Tether size for better ribbon utilization</t>
        </r>
      </text>
    </comment>
    <comment ref="C527" authorId="1" shapeId="0">
      <text>
        <r>
          <rPr>
            <b/>
            <sz val="9"/>
            <color indexed="81"/>
            <rFont val="Tahoma"/>
            <family val="2"/>
          </rPr>
          <t>DBL REV requires TWO rows!
TPL REV requires THREE rows!
QD REV requires FOUR rows!</t>
        </r>
      </text>
    </comment>
    <comment ref="J527" authorId="1" shapeId="0">
      <text>
        <r>
          <rPr>
            <b/>
            <sz val="9"/>
            <color indexed="81"/>
            <rFont val="Tahoma"/>
            <family val="2"/>
          </rPr>
          <t>If this highlights as an error, consider upsizing the Tether size for better ribbon utilization</t>
        </r>
      </text>
    </comment>
    <comment ref="C528" authorId="1" shapeId="0">
      <text>
        <r>
          <rPr>
            <b/>
            <sz val="9"/>
            <color indexed="81"/>
            <rFont val="Tahoma"/>
            <family val="2"/>
          </rPr>
          <t>DBL REV requires TWO rows!
TPL REV requires THREE rows!
QD REV requires FOUR rows!</t>
        </r>
      </text>
    </comment>
    <comment ref="J528" authorId="1" shapeId="0">
      <text>
        <r>
          <rPr>
            <b/>
            <sz val="9"/>
            <color indexed="81"/>
            <rFont val="Tahoma"/>
            <family val="2"/>
          </rPr>
          <t>If this highlights as an error, consider upsizing the Tether size for better ribbon utilization</t>
        </r>
      </text>
    </comment>
    <comment ref="C529" authorId="1" shapeId="0">
      <text>
        <r>
          <rPr>
            <b/>
            <sz val="9"/>
            <color indexed="81"/>
            <rFont val="Tahoma"/>
            <family val="2"/>
          </rPr>
          <t>DBL REV requires TWO rows!
TPL REV requires THREE rows!
QD REV requires FOUR rows!</t>
        </r>
      </text>
    </comment>
    <comment ref="J529" authorId="1" shapeId="0">
      <text>
        <r>
          <rPr>
            <b/>
            <sz val="9"/>
            <color indexed="81"/>
            <rFont val="Tahoma"/>
            <family val="2"/>
          </rPr>
          <t>If this highlights as an error, consider upsizing the Tether size for better ribbon utilization</t>
        </r>
      </text>
    </comment>
    <comment ref="C530" authorId="1" shapeId="0">
      <text>
        <r>
          <rPr>
            <b/>
            <sz val="9"/>
            <color indexed="81"/>
            <rFont val="Tahoma"/>
            <family val="2"/>
          </rPr>
          <t>DBL REV requires TWO rows!
TPL REV requires THREE rows!
QD REV requires FOUR rows!</t>
        </r>
      </text>
    </comment>
    <comment ref="J530" authorId="1" shapeId="0">
      <text>
        <r>
          <rPr>
            <b/>
            <sz val="9"/>
            <color indexed="81"/>
            <rFont val="Tahoma"/>
            <family val="2"/>
          </rPr>
          <t>If this highlights as an error, consider upsizing the Tether size for better ribbon utilization</t>
        </r>
      </text>
    </comment>
    <comment ref="C531" authorId="1" shapeId="0">
      <text>
        <r>
          <rPr>
            <b/>
            <sz val="9"/>
            <color indexed="81"/>
            <rFont val="Tahoma"/>
            <family val="2"/>
          </rPr>
          <t>DBL REV requires TWO rows!
TPL REV requires THREE rows!
QD REV requires FOUR rows!</t>
        </r>
      </text>
    </comment>
    <comment ref="J531" authorId="1" shapeId="0">
      <text>
        <r>
          <rPr>
            <b/>
            <sz val="9"/>
            <color indexed="81"/>
            <rFont val="Tahoma"/>
            <family val="2"/>
          </rPr>
          <t>If this highlights as an error, consider upsizing the Tether size for better ribbon utilization</t>
        </r>
      </text>
    </comment>
    <comment ref="C532" authorId="1" shapeId="0">
      <text>
        <r>
          <rPr>
            <b/>
            <sz val="9"/>
            <color indexed="81"/>
            <rFont val="Tahoma"/>
            <family val="2"/>
          </rPr>
          <t>DBL REV requires TWO rows!
TPL REV requires THREE rows!
QD REV requires FOUR rows!</t>
        </r>
      </text>
    </comment>
    <comment ref="J532" authorId="1" shapeId="0">
      <text>
        <r>
          <rPr>
            <b/>
            <sz val="9"/>
            <color indexed="81"/>
            <rFont val="Tahoma"/>
            <family val="2"/>
          </rPr>
          <t>If this highlights as an error, consider upsizing the Tether size for better ribbon utilization</t>
        </r>
      </text>
    </comment>
    <comment ref="C533" authorId="1" shapeId="0">
      <text>
        <r>
          <rPr>
            <b/>
            <sz val="9"/>
            <color indexed="81"/>
            <rFont val="Tahoma"/>
            <family val="2"/>
          </rPr>
          <t>DBL REV requires TWO rows!
TPL REV requires THREE rows!
QD REV requires FOUR rows!</t>
        </r>
      </text>
    </comment>
    <comment ref="J533" authorId="1" shapeId="0">
      <text>
        <r>
          <rPr>
            <b/>
            <sz val="9"/>
            <color indexed="81"/>
            <rFont val="Tahoma"/>
            <family val="2"/>
          </rPr>
          <t>If this highlights as an error, consider upsizing the Tether size for better ribbon utilization</t>
        </r>
      </text>
    </comment>
    <comment ref="B53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text>
        <r>
          <rPr>
            <b/>
            <sz val="8"/>
            <color indexed="81"/>
            <rFont val="Tahoma"/>
            <family val="2"/>
          </rPr>
          <t>This will be added to Planning Load Block A for TOTAL</t>
        </r>
        <r>
          <rPr>
            <sz val="8"/>
            <color indexed="81"/>
            <rFont val="Tahoma"/>
            <family val="2"/>
          </rPr>
          <t xml:space="preserve">
</t>
        </r>
      </text>
    </comment>
    <comment ref="J539" authorId="0" shapeId="0">
      <text>
        <r>
          <rPr>
            <b/>
            <sz val="8"/>
            <color indexed="81"/>
            <rFont val="Tahoma"/>
            <family val="2"/>
          </rPr>
          <t>This is the PON OUT count that is not assigned in this cable reel.</t>
        </r>
        <r>
          <rPr>
            <sz val="8"/>
            <color indexed="81"/>
            <rFont val="Tahoma"/>
            <family val="2"/>
          </rPr>
          <t xml:space="preserve">
</t>
        </r>
      </text>
    </comment>
    <comment ref="P539" authorId="1" shapeId="0">
      <text>
        <r>
          <rPr>
            <b/>
            <sz val="9"/>
            <color indexed="81"/>
            <rFont val="Tahoma"/>
            <family val="2"/>
          </rPr>
          <t>REMEMBER: 2-Fbr Tethers are NOT available for RPX CABLE!</t>
        </r>
      </text>
    </comment>
    <comment ref="Q539" authorId="1" shapeId="0">
      <text>
        <r>
          <rPr>
            <b/>
            <sz val="9"/>
            <color indexed="81"/>
            <rFont val="Tahoma"/>
            <family val="2"/>
          </rPr>
          <t>REMEMBER: 2-Fbr Tethers are NOT available for RPX CABLE!</t>
        </r>
      </text>
    </comment>
    <comment ref="S539" authorId="1" shapeId="0">
      <text>
        <r>
          <rPr>
            <b/>
            <sz val="9"/>
            <color indexed="81"/>
            <rFont val="Tahoma"/>
            <family val="2"/>
          </rPr>
          <t>REMEMBER: 2-Fbr Tethers are NOT available for RPX CABLE!</t>
        </r>
      </text>
    </comment>
    <comment ref="T539" authorId="1" shapeId="0">
      <text>
        <r>
          <rPr>
            <b/>
            <sz val="9"/>
            <color indexed="81"/>
            <rFont val="Tahoma"/>
            <family val="2"/>
          </rPr>
          <t>REMEMBER: 2-Fbr Tethers are NOT available for RPX CABLE!</t>
        </r>
      </text>
    </comment>
    <comment ref="B54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text>
        <r>
          <rPr>
            <b/>
            <sz val="8"/>
            <color indexed="81"/>
            <rFont val="Tahoma"/>
            <family val="2"/>
          </rPr>
          <t>Make sure you add this number to "TAT FIBERS ASSIGNED" for the total required in the Load Block on the prints.</t>
        </r>
      </text>
    </comment>
    <comment ref="G540" authorId="0" shapeId="0">
      <text>
        <r>
          <rPr>
            <b/>
            <sz val="8"/>
            <color indexed="81"/>
            <rFont val="Tahoma"/>
            <family val="2"/>
          </rPr>
          <t>Includes "DEAD" Count (No PON count assigned)</t>
        </r>
      </text>
    </comment>
    <comment ref="I54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text>
        <r>
          <rPr>
            <b/>
            <sz val="9"/>
            <color indexed="81"/>
            <rFont val="Tahoma"/>
            <family val="2"/>
          </rPr>
          <t>REMEMBER: 6-Fbr Tethers are NOT available for RPX CABLE!</t>
        </r>
      </text>
    </comment>
    <comment ref="Q541" authorId="1" shapeId="0">
      <text>
        <r>
          <rPr>
            <b/>
            <sz val="9"/>
            <color indexed="81"/>
            <rFont val="Tahoma"/>
            <family val="2"/>
          </rPr>
          <t>REMEMBER: 6-Fbr Tethers are NOT available for RPX CABLE!</t>
        </r>
      </text>
    </comment>
    <comment ref="S541" authorId="1" shapeId="0">
      <text>
        <r>
          <rPr>
            <b/>
            <sz val="9"/>
            <color indexed="81"/>
            <rFont val="Tahoma"/>
            <family val="2"/>
          </rPr>
          <t>REMEMBER: 6-Fbr Tethers are NOT available for RPX CABLE!</t>
        </r>
      </text>
    </comment>
    <comment ref="T541" authorId="1" shapeId="0">
      <text>
        <r>
          <rPr>
            <b/>
            <sz val="9"/>
            <color indexed="81"/>
            <rFont val="Tahoma"/>
            <family val="2"/>
          </rPr>
          <t>REMEMBER: 6-Fbr Tethers are NOT available for AERIAL CABLE!</t>
        </r>
      </text>
    </comment>
    <comment ref="B54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text>
        <r>
          <rPr>
            <b/>
            <sz val="8"/>
            <color indexed="81"/>
            <rFont val="Tahoma"/>
            <family val="2"/>
          </rPr>
          <t>These are "manufacturing rules" and general warnings</t>
        </r>
        <r>
          <rPr>
            <sz val="8"/>
            <color indexed="81"/>
            <rFont val="Tahoma"/>
            <family val="2"/>
          </rPr>
          <t xml:space="preserve">
</t>
        </r>
      </text>
    </comment>
    <comment ref="B54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text>
        <r>
          <rPr>
            <b/>
            <sz val="8"/>
            <color indexed="81"/>
            <rFont val="Tahoma"/>
            <family val="2"/>
          </rPr>
          <t>This number is a sum of TOTAL PLANNED plus the ASSIGNED TO TETHERS</t>
        </r>
        <r>
          <rPr>
            <sz val="8"/>
            <color indexed="81"/>
            <rFont val="Tahoma"/>
            <family val="2"/>
          </rPr>
          <t xml:space="preserve">
</t>
        </r>
      </text>
    </comment>
    <comment ref="Z547" authorId="0" shapeId="0">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text>
        <r>
          <rPr>
            <b/>
            <sz val="8"/>
            <color indexed="81"/>
            <rFont val="Tahoma"/>
            <family val="2"/>
          </rPr>
          <t>Counting from High count Backwards- this is Fiber Strand 133</t>
        </r>
      </text>
    </comment>
    <comment ref="AB547" authorId="0" shapeId="0">
      <text>
        <r>
          <rPr>
            <b/>
            <sz val="8"/>
            <color indexed="81"/>
            <rFont val="Tahoma"/>
            <family val="2"/>
          </rPr>
          <t>Counting from High count Backwards- this is Fiber Strand 144</t>
        </r>
        <r>
          <rPr>
            <sz val="8"/>
            <color indexed="81"/>
            <rFont val="Tahoma"/>
            <family val="2"/>
          </rPr>
          <t xml:space="preserve">
</t>
        </r>
      </text>
    </comment>
    <comment ref="C548" authorId="0" shapeId="0">
      <text>
        <r>
          <rPr>
            <b/>
            <sz val="8"/>
            <color indexed="81"/>
            <rFont val="Tahoma"/>
            <family val="2"/>
          </rPr>
          <t xml:space="preserve">Select if this tether will be used to feed a CFST or a lateral cable. </t>
        </r>
      </text>
    </comment>
    <comment ref="D548" authorId="0" shapeId="0">
      <text>
        <r>
          <rPr>
            <b/>
            <sz val="8"/>
            <color indexed="81"/>
            <rFont val="Tahoma"/>
            <family val="2"/>
          </rPr>
          <t>Note the Terminal Address to keep your locations straight</t>
        </r>
        <r>
          <rPr>
            <sz val="8"/>
            <color indexed="81"/>
            <rFont val="Tahoma"/>
            <family val="2"/>
          </rPr>
          <t xml:space="preserve">
</t>
        </r>
      </text>
    </comment>
    <comment ref="E548" authorId="0" shapeId="0">
      <text>
        <r>
          <rPr>
            <b/>
            <sz val="9"/>
            <color indexed="81"/>
            <rFont val="Calibri"/>
            <family val="2"/>
            <scheme val="minor"/>
          </rPr>
          <t>Pick the Tether Size for the location</t>
        </r>
        <r>
          <rPr>
            <sz val="8"/>
            <color indexed="81"/>
            <rFont val="Tahoma"/>
            <family val="2"/>
          </rPr>
          <t xml:space="preserve">
</t>
        </r>
      </text>
    </comment>
    <comment ref="F548" authorId="2" shapeId="0">
      <text>
        <r>
          <rPr>
            <b/>
            <sz val="9"/>
            <color indexed="81"/>
            <rFont val="Tahoma"/>
            <family val="2"/>
          </rPr>
          <t>Identify TCF or FST location.
Leave blank if tether is NOT for a TCF or FST!</t>
        </r>
      </text>
    </comment>
    <comment ref="H548" authorId="0" shapeId="0">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text>
        <r>
          <rPr>
            <b/>
            <sz val="8"/>
            <color indexed="81"/>
            <rFont val="Tahoma"/>
            <family val="2"/>
          </rPr>
          <t>If any of these numbers are negative, check your PON count and Cable size</t>
        </r>
      </text>
    </comment>
    <comment ref="J54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text>
        <r>
          <rPr>
            <b/>
            <sz val="9"/>
            <color indexed="81"/>
            <rFont val="Tahoma"/>
            <family val="2"/>
          </rPr>
          <t>Leave blank if using 10' Terminal Tail
Enter Tail length if greater than 10'</t>
        </r>
      </text>
    </comment>
    <comment ref="M548" authorId="0" shapeId="0">
      <text>
        <r>
          <rPr>
            <b/>
            <sz val="8"/>
            <color indexed="81"/>
            <rFont val="Tahoma"/>
            <family val="2"/>
          </rPr>
          <t>Make design notes such as slack coils, realingment loops,  or location notes</t>
        </r>
      </text>
    </comment>
    <comment ref="Z548" authorId="0" shapeId="0">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text>
        <r>
          <rPr>
            <b/>
            <sz val="8"/>
            <color indexed="81"/>
            <rFont val="Tahoma"/>
            <family val="2"/>
          </rPr>
          <t xml:space="preserve">Counting from High count Backwards- this is Fiber Strand 145
</t>
        </r>
      </text>
    </comment>
    <comment ref="AB548" authorId="0" shapeId="0">
      <text>
        <r>
          <rPr>
            <b/>
            <sz val="8"/>
            <color indexed="81"/>
            <rFont val="Tahoma"/>
            <family val="2"/>
          </rPr>
          <t>Counting from High count Backwards- this is Fiber Strand 156</t>
        </r>
      </text>
    </comment>
    <comment ref="J550" authorId="1" shapeId="0">
      <text>
        <r>
          <rPr>
            <b/>
            <sz val="9"/>
            <color indexed="81"/>
            <rFont val="Tahoma"/>
            <family val="2"/>
          </rPr>
          <t>If this highlights as an error, consider upsizing the Tether size for better ribbon utilization</t>
        </r>
      </text>
    </comment>
    <comment ref="J551" authorId="1" shapeId="0">
      <text>
        <r>
          <rPr>
            <b/>
            <sz val="9"/>
            <color indexed="81"/>
            <rFont val="Tahoma"/>
            <family val="2"/>
          </rPr>
          <t>If this highlights as an error, consider upsizing the Tether size for better ribbon utilization</t>
        </r>
      </text>
    </comment>
    <comment ref="J552" authorId="1" shapeId="0">
      <text>
        <r>
          <rPr>
            <b/>
            <sz val="9"/>
            <color indexed="81"/>
            <rFont val="Tahoma"/>
            <family val="2"/>
          </rPr>
          <t>If this highlights as an error, consider upsizing the Tether size for better ribbon utilization</t>
        </r>
      </text>
    </comment>
    <comment ref="J553" authorId="1" shapeId="0">
      <text>
        <r>
          <rPr>
            <b/>
            <sz val="9"/>
            <color indexed="81"/>
            <rFont val="Tahoma"/>
            <family val="2"/>
          </rPr>
          <t>If this highlights as an error, consider upsizing the Tether size for better ribbon utilization</t>
        </r>
      </text>
    </comment>
    <comment ref="J554" authorId="1" shapeId="0">
      <text>
        <r>
          <rPr>
            <b/>
            <sz val="9"/>
            <color indexed="81"/>
            <rFont val="Tahoma"/>
            <family val="2"/>
          </rPr>
          <t>If this highlights as an error, consider upsizing the Tether size for better ribbon utilization</t>
        </r>
      </text>
    </comment>
    <comment ref="J555" authorId="1" shapeId="0">
      <text>
        <r>
          <rPr>
            <b/>
            <sz val="9"/>
            <color indexed="81"/>
            <rFont val="Tahoma"/>
            <family val="2"/>
          </rPr>
          <t>If this highlights as an error, consider upsizing the Tether size for better ribbon utilization</t>
        </r>
      </text>
    </comment>
    <comment ref="J556" authorId="1" shapeId="0">
      <text>
        <r>
          <rPr>
            <b/>
            <sz val="9"/>
            <color indexed="81"/>
            <rFont val="Tahoma"/>
            <family val="2"/>
          </rPr>
          <t>If this highlights as an error, consider upsizing the Tether size for better ribbon utilization</t>
        </r>
      </text>
    </comment>
    <comment ref="J557" authorId="1" shapeId="0">
      <text>
        <r>
          <rPr>
            <b/>
            <sz val="9"/>
            <color indexed="81"/>
            <rFont val="Tahoma"/>
            <family val="2"/>
          </rPr>
          <t>If this highlights as an error, consider upsizing the Tether size for better ribbon utilization</t>
        </r>
      </text>
    </comment>
    <comment ref="J558" authorId="1" shapeId="0">
      <text>
        <r>
          <rPr>
            <b/>
            <sz val="9"/>
            <color indexed="81"/>
            <rFont val="Tahoma"/>
            <family val="2"/>
          </rPr>
          <t>If this highlights as an error, consider upsizing the Tether size for better ribbon utilization</t>
        </r>
      </text>
    </comment>
    <comment ref="J559" authorId="1" shapeId="0">
      <text>
        <r>
          <rPr>
            <b/>
            <sz val="9"/>
            <color indexed="81"/>
            <rFont val="Tahoma"/>
            <family val="2"/>
          </rPr>
          <t>If this highlights as an error, consider upsizing the Tether size for better ribbon utilization</t>
        </r>
      </text>
    </comment>
    <comment ref="J560" authorId="1" shapeId="0">
      <text>
        <r>
          <rPr>
            <b/>
            <sz val="9"/>
            <color indexed="81"/>
            <rFont val="Tahoma"/>
            <family val="2"/>
          </rPr>
          <t>If this highlights as an error, consider upsizing the Tether size for better ribbon utilization</t>
        </r>
      </text>
    </comment>
    <comment ref="J561" authorId="1" shapeId="0">
      <text>
        <r>
          <rPr>
            <b/>
            <sz val="9"/>
            <color indexed="81"/>
            <rFont val="Tahoma"/>
            <family val="2"/>
          </rPr>
          <t>If this highlights as an error, consider upsizing the Tether size for better ribbon utilization</t>
        </r>
      </text>
    </comment>
    <comment ref="J562" authorId="1" shapeId="0">
      <text>
        <r>
          <rPr>
            <b/>
            <sz val="9"/>
            <color indexed="81"/>
            <rFont val="Tahoma"/>
            <family val="2"/>
          </rPr>
          <t>If this highlights as an error, consider upsizing the Tether size for better ribbon utilization</t>
        </r>
      </text>
    </comment>
    <comment ref="J563" authorId="1" shapeId="0">
      <text>
        <r>
          <rPr>
            <b/>
            <sz val="9"/>
            <color indexed="81"/>
            <rFont val="Tahoma"/>
            <family val="2"/>
          </rPr>
          <t>If this highlights as an error, consider upsizing the Tether size for better ribbon utilization</t>
        </r>
      </text>
    </comment>
    <comment ref="J564" authorId="1" shapeId="0">
      <text>
        <r>
          <rPr>
            <b/>
            <sz val="9"/>
            <color indexed="81"/>
            <rFont val="Tahoma"/>
            <family val="2"/>
          </rPr>
          <t>If this highlights as an error, consider upsizing the Tether size for better ribbon utilization</t>
        </r>
      </text>
    </comment>
    <comment ref="J565" authorId="1" shapeId="0">
      <text>
        <r>
          <rPr>
            <b/>
            <sz val="9"/>
            <color indexed="81"/>
            <rFont val="Tahoma"/>
            <family val="2"/>
          </rPr>
          <t>If this highlights as an error, consider upsizing the Tether size for better ribbon utilization</t>
        </r>
      </text>
    </comment>
    <comment ref="J566" authorId="1" shapeId="0">
      <text>
        <r>
          <rPr>
            <b/>
            <sz val="9"/>
            <color indexed="81"/>
            <rFont val="Tahoma"/>
            <family val="2"/>
          </rPr>
          <t>If this highlights as an error, consider upsizing the Tether size for better ribbon utilization</t>
        </r>
      </text>
    </comment>
    <comment ref="J567" authorId="1" shapeId="0">
      <text>
        <r>
          <rPr>
            <b/>
            <sz val="9"/>
            <color indexed="81"/>
            <rFont val="Tahoma"/>
            <family val="2"/>
          </rPr>
          <t>If this highlights as an error, consider upsizing the Tether size for better ribbon utilization</t>
        </r>
      </text>
    </comment>
    <comment ref="C568" authorId="1" shapeId="0">
      <text>
        <r>
          <rPr>
            <b/>
            <sz val="9"/>
            <color indexed="81"/>
            <rFont val="Tahoma"/>
            <family val="2"/>
          </rPr>
          <t>DBL REV requires TWO rows!
TPL REV requires THREE rows!
QD REV requires FOUR rows!</t>
        </r>
      </text>
    </comment>
    <comment ref="J568" authorId="1" shapeId="0">
      <text>
        <r>
          <rPr>
            <b/>
            <sz val="9"/>
            <color indexed="81"/>
            <rFont val="Tahoma"/>
            <family val="2"/>
          </rPr>
          <t>If this highlights as an error, consider upsizing the Tether size for better ribbon utilization</t>
        </r>
      </text>
    </comment>
    <comment ref="C569" authorId="1" shapeId="0">
      <text>
        <r>
          <rPr>
            <b/>
            <sz val="9"/>
            <color indexed="81"/>
            <rFont val="Tahoma"/>
            <family val="2"/>
          </rPr>
          <t>DBL REV requires TWO rows!
TPL REV requires THREE rows!
QD REV requires FOUR rows!</t>
        </r>
      </text>
    </comment>
    <comment ref="J569" authorId="1" shapeId="0">
      <text>
        <r>
          <rPr>
            <b/>
            <sz val="9"/>
            <color indexed="81"/>
            <rFont val="Tahoma"/>
            <family val="2"/>
          </rPr>
          <t>If this highlights as an error, consider upsizing the Tether size for better ribbon utilization</t>
        </r>
      </text>
    </comment>
    <comment ref="C570" authorId="1" shapeId="0">
      <text>
        <r>
          <rPr>
            <b/>
            <sz val="9"/>
            <color indexed="81"/>
            <rFont val="Tahoma"/>
            <family val="2"/>
          </rPr>
          <t>DBL REV requires TWO rows!
TPL REV requires THREE rows!
QD REV requires FOUR rows!</t>
        </r>
      </text>
    </comment>
    <comment ref="J570" authorId="1" shapeId="0">
      <text>
        <r>
          <rPr>
            <b/>
            <sz val="9"/>
            <color indexed="81"/>
            <rFont val="Tahoma"/>
            <family val="2"/>
          </rPr>
          <t>If this highlights as an error, consider upsizing the Tether size for better ribbon utilization</t>
        </r>
      </text>
    </comment>
    <comment ref="C571" authorId="1" shapeId="0">
      <text>
        <r>
          <rPr>
            <b/>
            <sz val="9"/>
            <color indexed="81"/>
            <rFont val="Tahoma"/>
            <family val="2"/>
          </rPr>
          <t>DBL REV requires TWO rows!
TPL REV requires THREE rows!
QD REV requires FOUR rows!</t>
        </r>
      </text>
    </comment>
    <comment ref="J571" authorId="1" shapeId="0">
      <text>
        <r>
          <rPr>
            <b/>
            <sz val="9"/>
            <color indexed="81"/>
            <rFont val="Tahoma"/>
            <family val="2"/>
          </rPr>
          <t>If this highlights as an error, consider upsizing the Tether size for better ribbon utilization</t>
        </r>
      </text>
    </comment>
    <comment ref="C572" authorId="1" shapeId="0">
      <text>
        <r>
          <rPr>
            <b/>
            <sz val="9"/>
            <color indexed="81"/>
            <rFont val="Tahoma"/>
            <family val="2"/>
          </rPr>
          <t>DBL REV requires TWO rows!
TPL REV requires THREE rows!
QD REV requires FOUR rows!</t>
        </r>
      </text>
    </comment>
    <comment ref="J572" authorId="1" shapeId="0">
      <text>
        <r>
          <rPr>
            <b/>
            <sz val="9"/>
            <color indexed="81"/>
            <rFont val="Tahoma"/>
            <family val="2"/>
          </rPr>
          <t>If this highlights as an error, consider upsizing the Tether size for better ribbon utilization</t>
        </r>
      </text>
    </comment>
    <comment ref="C573" authorId="1" shapeId="0">
      <text>
        <r>
          <rPr>
            <b/>
            <sz val="9"/>
            <color indexed="81"/>
            <rFont val="Tahoma"/>
            <family val="2"/>
          </rPr>
          <t>DBL REV requires TWO rows!
TPL REV requires THREE rows!
QD REV requires FOUR rows!</t>
        </r>
      </text>
    </comment>
    <comment ref="J573" authorId="1" shapeId="0">
      <text>
        <r>
          <rPr>
            <b/>
            <sz val="9"/>
            <color indexed="81"/>
            <rFont val="Tahoma"/>
            <family val="2"/>
          </rPr>
          <t>If this highlights as an error, consider upsizing the Tether size for better ribbon utilization</t>
        </r>
      </text>
    </comment>
    <comment ref="C574" authorId="1" shapeId="0">
      <text>
        <r>
          <rPr>
            <b/>
            <sz val="9"/>
            <color indexed="81"/>
            <rFont val="Tahoma"/>
            <family val="2"/>
          </rPr>
          <t>DBL REV requires TWO rows!
TPL REV requires THREE rows!
QD REV requires FOUR rows!</t>
        </r>
      </text>
    </comment>
    <comment ref="J574" authorId="1" shapeId="0">
      <text>
        <r>
          <rPr>
            <b/>
            <sz val="9"/>
            <color indexed="81"/>
            <rFont val="Tahoma"/>
            <family val="2"/>
          </rPr>
          <t>If this highlights as an error, consider upsizing the Tether size for better ribbon utilization</t>
        </r>
      </text>
    </comment>
    <comment ref="B58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text>
        <r>
          <rPr>
            <b/>
            <sz val="8"/>
            <color indexed="81"/>
            <rFont val="Tahoma"/>
            <family val="2"/>
          </rPr>
          <t>This will be added to Planning Load Block A for TOTAL</t>
        </r>
        <r>
          <rPr>
            <sz val="8"/>
            <color indexed="81"/>
            <rFont val="Tahoma"/>
            <family val="2"/>
          </rPr>
          <t xml:space="preserve">
</t>
        </r>
      </text>
    </comment>
    <comment ref="J580" authorId="0" shapeId="0">
      <text>
        <r>
          <rPr>
            <b/>
            <sz val="8"/>
            <color indexed="81"/>
            <rFont val="Tahoma"/>
            <family val="2"/>
          </rPr>
          <t>This is the PON OUT count that is not assigned in this cable reel.</t>
        </r>
        <r>
          <rPr>
            <sz val="8"/>
            <color indexed="81"/>
            <rFont val="Tahoma"/>
            <family val="2"/>
          </rPr>
          <t xml:space="preserve">
</t>
        </r>
      </text>
    </comment>
    <comment ref="P580" authorId="1" shapeId="0">
      <text>
        <r>
          <rPr>
            <b/>
            <sz val="9"/>
            <color indexed="81"/>
            <rFont val="Tahoma"/>
            <family val="2"/>
          </rPr>
          <t>REMEMBER: 2-Fbr Tethers are NOT available for RPX CABLE!</t>
        </r>
      </text>
    </comment>
    <comment ref="Q580" authorId="1" shapeId="0">
      <text>
        <r>
          <rPr>
            <b/>
            <sz val="9"/>
            <color indexed="81"/>
            <rFont val="Tahoma"/>
            <family val="2"/>
          </rPr>
          <t>REMEMBER: 2-Fbr Tethers are NOT available for RPX CABLE!</t>
        </r>
      </text>
    </comment>
    <comment ref="S580" authorId="1" shapeId="0">
      <text>
        <r>
          <rPr>
            <b/>
            <sz val="9"/>
            <color indexed="81"/>
            <rFont val="Tahoma"/>
            <family val="2"/>
          </rPr>
          <t>REMEMBER: 2-Fbr Tethers are NOT available for RPX CABLE!</t>
        </r>
      </text>
    </comment>
    <comment ref="T580" authorId="1" shapeId="0">
      <text>
        <r>
          <rPr>
            <b/>
            <sz val="9"/>
            <color indexed="81"/>
            <rFont val="Tahoma"/>
            <family val="2"/>
          </rPr>
          <t>REMEMBER: 2-Fbr Tethers are NOT available for RPX CABLE!</t>
        </r>
      </text>
    </comment>
    <comment ref="B58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text>
        <r>
          <rPr>
            <b/>
            <sz val="8"/>
            <color indexed="81"/>
            <rFont val="Tahoma"/>
            <family val="2"/>
          </rPr>
          <t>Make sure you add this number to "TAT FIBERS ASSIGNED" for the total required in the Load Block on the prints.</t>
        </r>
      </text>
    </comment>
    <comment ref="G581" authorId="0" shapeId="0">
      <text>
        <r>
          <rPr>
            <b/>
            <sz val="8"/>
            <color indexed="81"/>
            <rFont val="Tahoma"/>
            <family val="2"/>
          </rPr>
          <t>Includes "DEAD" Count (No PON count assigned)</t>
        </r>
      </text>
    </comment>
    <comment ref="I58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text>
        <r>
          <rPr>
            <b/>
            <sz val="9"/>
            <color indexed="81"/>
            <rFont val="Tahoma"/>
            <family val="2"/>
          </rPr>
          <t>REMEMBER: 6-Fbr Tethers are NOT available for RPX CABLE!</t>
        </r>
      </text>
    </comment>
    <comment ref="Q582" authorId="1" shapeId="0">
      <text>
        <r>
          <rPr>
            <b/>
            <sz val="9"/>
            <color indexed="81"/>
            <rFont val="Tahoma"/>
            <family val="2"/>
          </rPr>
          <t>REMEMBER: 6-Fbr Tethers are NOT available for RPX CABLE!</t>
        </r>
      </text>
    </comment>
    <comment ref="S582" authorId="1" shapeId="0">
      <text>
        <r>
          <rPr>
            <b/>
            <sz val="9"/>
            <color indexed="81"/>
            <rFont val="Tahoma"/>
            <family val="2"/>
          </rPr>
          <t>REMEMBER: 6-Fbr Tethers are NOT available for RPX CABLE!</t>
        </r>
      </text>
    </comment>
    <comment ref="T582" authorId="1" shapeId="0">
      <text>
        <r>
          <rPr>
            <b/>
            <sz val="9"/>
            <color indexed="81"/>
            <rFont val="Tahoma"/>
            <family val="2"/>
          </rPr>
          <t>REMEMBER: 6-Fbr Tethers are NOT available for AERIAL CABLE!</t>
        </r>
      </text>
    </comment>
    <comment ref="B58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text>
        <r>
          <rPr>
            <b/>
            <sz val="8"/>
            <color indexed="81"/>
            <rFont val="Tahoma"/>
            <family val="2"/>
          </rPr>
          <t>These are "manufacturing rules" and general warnings</t>
        </r>
        <r>
          <rPr>
            <sz val="8"/>
            <color indexed="81"/>
            <rFont val="Tahoma"/>
            <family val="2"/>
          </rPr>
          <t xml:space="preserve">
</t>
        </r>
      </text>
    </comment>
    <comment ref="B58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text>
        <r>
          <rPr>
            <b/>
            <sz val="8"/>
            <color indexed="81"/>
            <rFont val="Tahoma"/>
            <family val="2"/>
          </rPr>
          <t>This number is a sum of TOTAL PLANNED plus the ASSIGNED TO TETHERS</t>
        </r>
        <r>
          <rPr>
            <sz val="8"/>
            <color indexed="81"/>
            <rFont val="Tahoma"/>
            <family val="2"/>
          </rPr>
          <t xml:space="preserve">
</t>
        </r>
      </text>
    </comment>
    <comment ref="Z588" authorId="0" shapeId="0">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text>
        <r>
          <rPr>
            <b/>
            <sz val="8"/>
            <color indexed="81"/>
            <rFont val="Tahoma"/>
            <family val="2"/>
          </rPr>
          <t>Counting from High count Backwards- this is Fiber Strand 133</t>
        </r>
      </text>
    </comment>
    <comment ref="AB588" authorId="0" shapeId="0">
      <text>
        <r>
          <rPr>
            <b/>
            <sz val="8"/>
            <color indexed="81"/>
            <rFont val="Tahoma"/>
            <family val="2"/>
          </rPr>
          <t>Counting from High count Backwards- this is Fiber Strand 144</t>
        </r>
        <r>
          <rPr>
            <sz val="8"/>
            <color indexed="81"/>
            <rFont val="Tahoma"/>
            <family val="2"/>
          </rPr>
          <t xml:space="preserve">
</t>
        </r>
      </text>
    </comment>
    <comment ref="C589" authorId="0" shapeId="0">
      <text>
        <r>
          <rPr>
            <b/>
            <sz val="8"/>
            <color indexed="81"/>
            <rFont val="Tahoma"/>
            <family val="2"/>
          </rPr>
          <t xml:space="preserve">Select if this tether will be used to feed a CFST or a lateral cable. </t>
        </r>
      </text>
    </comment>
    <comment ref="D589" authorId="0" shapeId="0">
      <text>
        <r>
          <rPr>
            <b/>
            <sz val="8"/>
            <color indexed="81"/>
            <rFont val="Tahoma"/>
            <family val="2"/>
          </rPr>
          <t>Note the Terminal Address to keep your locations straight</t>
        </r>
        <r>
          <rPr>
            <sz val="8"/>
            <color indexed="81"/>
            <rFont val="Tahoma"/>
            <family val="2"/>
          </rPr>
          <t xml:space="preserve">
</t>
        </r>
      </text>
    </comment>
    <comment ref="E589" authorId="0" shapeId="0">
      <text>
        <r>
          <rPr>
            <b/>
            <sz val="9"/>
            <color indexed="81"/>
            <rFont val="Calibri"/>
            <family val="2"/>
            <scheme val="minor"/>
          </rPr>
          <t>Pick the Tether Size for the location</t>
        </r>
        <r>
          <rPr>
            <sz val="8"/>
            <color indexed="81"/>
            <rFont val="Tahoma"/>
            <family val="2"/>
          </rPr>
          <t xml:space="preserve">
</t>
        </r>
      </text>
    </comment>
    <comment ref="F589" authorId="2" shapeId="0">
      <text>
        <r>
          <rPr>
            <b/>
            <sz val="9"/>
            <color indexed="81"/>
            <rFont val="Tahoma"/>
            <family val="2"/>
          </rPr>
          <t>Identify TCF or FST location.
Leave blank if tether is NOT for a TCF or FST!</t>
        </r>
      </text>
    </comment>
    <comment ref="H589" authorId="0" shapeId="0">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text>
        <r>
          <rPr>
            <b/>
            <sz val="8"/>
            <color indexed="81"/>
            <rFont val="Tahoma"/>
            <family val="2"/>
          </rPr>
          <t>If any of these numbers are negative, check your PON count and Cable size</t>
        </r>
      </text>
    </comment>
    <comment ref="J58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text>
        <r>
          <rPr>
            <b/>
            <sz val="9"/>
            <color indexed="81"/>
            <rFont val="Tahoma"/>
            <family val="2"/>
          </rPr>
          <t>Leave blank if using 10' Terminal Tail
Enter Tail length if greater than 10'</t>
        </r>
      </text>
    </comment>
    <comment ref="M589" authorId="0" shapeId="0">
      <text>
        <r>
          <rPr>
            <b/>
            <sz val="8"/>
            <color indexed="81"/>
            <rFont val="Tahoma"/>
            <family val="2"/>
          </rPr>
          <t>Make design notes such as slack coils, realingment loops,  or location notes</t>
        </r>
      </text>
    </comment>
    <comment ref="Z589" authorId="0" shapeId="0">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text>
        <r>
          <rPr>
            <b/>
            <sz val="8"/>
            <color indexed="81"/>
            <rFont val="Tahoma"/>
            <family val="2"/>
          </rPr>
          <t xml:space="preserve">Counting from High count Backwards- this is Fiber Strand 145
</t>
        </r>
      </text>
    </comment>
    <comment ref="AB589" authorId="0" shapeId="0">
      <text>
        <r>
          <rPr>
            <b/>
            <sz val="8"/>
            <color indexed="81"/>
            <rFont val="Tahoma"/>
            <family val="2"/>
          </rPr>
          <t>Counting from High count Backwards- this is Fiber Strand 156</t>
        </r>
      </text>
    </comment>
    <comment ref="J591" authorId="1" shapeId="0">
      <text>
        <r>
          <rPr>
            <b/>
            <sz val="9"/>
            <color indexed="81"/>
            <rFont val="Tahoma"/>
            <family val="2"/>
          </rPr>
          <t>If this highlights as an error, consider upsizing the Tether size for better ribbon utilization</t>
        </r>
      </text>
    </comment>
    <comment ref="J592" authorId="1" shapeId="0">
      <text>
        <r>
          <rPr>
            <b/>
            <sz val="9"/>
            <color indexed="81"/>
            <rFont val="Tahoma"/>
            <family val="2"/>
          </rPr>
          <t>If this highlights as an error, consider upsizing the Tether size for better ribbon utilization</t>
        </r>
      </text>
    </comment>
    <comment ref="J593" authorId="1" shapeId="0">
      <text>
        <r>
          <rPr>
            <b/>
            <sz val="9"/>
            <color indexed="81"/>
            <rFont val="Tahoma"/>
            <family val="2"/>
          </rPr>
          <t>If this highlights as an error, consider upsizing the Tether size for better ribbon utilization</t>
        </r>
      </text>
    </comment>
    <comment ref="J594" authorId="1" shapeId="0">
      <text>
        <r>
          <rPr>
            <b/>
            <sz val="9"/>
            <color indexed="81"/>
            <rFont val="Tahoma"/>
            <family val="2"/>
          </rPr>
          <t>If this highlights as an error, consider upsizing the Tether size for better ribbon utilization</t>
        </r>
      </text>
    </comment>
    <comment ref="J595" authorId="1" shapeId="0">
      <text>
        <r>
          <rPr>
            <b/>
            <sz val="9"/>
            <color indexed="81"/>
            <rFont val="Tahoma"/>
            <family val="2"/>
          </rPr>
          <t>If this highlights as an error, consider upsizing the Tether size for better ribbon utilization</t>
        </r>
      </text>
    </comment>
    <comment ref="J596" authorId="1" shapeId="0">
      <text>
        <r>
          <rPr>
            <b/>
            <sz val="9"/>
            <color indexed="81"/>
            <rFont val="Tahoma"/>
            <family val="2"/>
          </rPr>
          <t>If this highlights as an error, consider upsizing the Tether size for better ribbon utilization</t>
        </r>
      </text>
    </comment>
    <comment ref="J597" authorId="1" shapeId="0">
      <text>
        <r>
          <rPr>
            <b/>
            <sz val="9"/>
            <color indexed="81"/>
            <rFont val="Tahoma"/>
            <family val="2"/>
          </rPr>
          <t>If this highlights as an error, consider upsizing the Tether size for better ribbon utilization</t>
        </r>
      </text>
    </comment>
    <comment ref="J598" authorId="1" shapeId="0">
      <text>
        <r>
          <rPr>
            <b/>
            <sz val="9"/>
            <color indexed="81"/>
            <rFont val="Tahoma"/>
            <family val="2"/>
          </rPr>
          <t>If this highlights as an error, consider upsizing the Tether size for better ribbon utilization</t>
        </r>
      </text>
    </comment>
    <comment ref="J599" authorId="1" shapeId="0">
      <text>
        <r>
          <rPr>
            <b/>
            <sz val="9"/>
            <color indexed="81"/>
            <rFont val="Tahoma"/>
            <family val="2"/>
          </rPr>
          <t>If this highlights as an error, consider upsizing the Tether size for better ribbon utilization</t>
        </r>
      </text>
    </comment>
    <comment ref="J600" authorId="1" shapeId="0">
      <text>
        <r>
          <rPr>
            <b/>
            <sz val="9"/>
            <color indexed="81"/>
            <rFont val="Tahoma"/>
            <family val="2"/>
          </rPr>
          <t>If this highlights as an error, consider upsizing the Tether size for better ribbon utilization</t>
        </r>
      </text>
    </comment>
    <comment ref="J601" authorId="1" shapeId="0">
      <text>
        <r>
          <rPr>
            <b/>
            <sz val="9"/>
            <color indexed="81"/>
            <rFont val="Tahoma"/>
            <family val="2"/>
          </rPr>
          <t>If this highlights as an error, consider upsizing the Tether size for better ribbon utilization</t>
        </r>
      </text>
    </comment>
    <comment ref="J602" authorId="1" shapeId="0">
      <text>
        <r>
          <rPr>
            <b/>
            <sz val="9"/>
            <color indexed="81"/>
            <rFont val="Tahoma"/>
            <family val="2"/>
          </rPr>
          <t>If this highlights as an error, consider upsizing the Tether size for better ribbon utilization</t>
        </r>
      </text>
    </comment>
    <comment ref="J603" authorId="1" shapeId="0">
      <text>
        <r>
          <rPr>
            <b/>
            <sz val="9"/>
            <color indexed="81"/>
            <rFont val="Tahoma"/>
            <family val="2"/>
          </rPr>
          <t>If this highlights as an error, consider upsizing the Tether size for better ribbon utilization</t>
        </r>
      </text>
    </comment>
    <comment ref="J604" authorId="1" shapeId="0">
      <text>
        <r>
          <rPr>
            <b/>
            <sz val="9"/>
            <color indexed="81"/>
            <rFont val="Tahoma"/>
            <family val="2"/>
          </rPr>
          <t>If this highlights as an error, consider upsizing the Tether size for better ribbon utilization</t>
        </r>
      </text>
    </comment>
    <comment ref="J605" authorId="1" shapeId="0">
      <text>
        <r>
          <rPr>
            <b/>
            <sz val="9"/>
            <color indexed="81"/>
            <rFont val="Tahoma"/>
            <family val="2"/>
          </rPr>
          <t>If this highlights as an error, consider upsizing the Tether size for better ribbon utilization</t>
        </r>
      </text>
    </comment>
    <comment ref="J606" authorId="1" shapeId="0">
      <text>
        <r>
          <rPr>
            <b/>
            <sz val="9"/>
            <color indexed="81"/>
            <rFont val="Tahoma"/>
            <family val="2"/>
          </rPr>
          <t>If this highlights as an error, consider upsizing the Tether size for better ribbon utilization</t>
        </r>
      </text>
    </comment>
    <comment ref="J607" authorId="1" shapeId="0">
      <text>
        <r>
          <rPr>
            <b/>
            <sz val="9"/>
            <color indexed="81"/>
            <rFont val="Tahoma"/>
            <family val="2"/>
          </rPr>
          <t>If this highlights as an error, consider upsizing the Tether size for better ribbon utilization</t>
        </r>
      </text>
    </comment>
    <comment ref="J608" authorId="1" shapeId="0">
      <text>
        <r>
          <rPr>
            <b/>
            <sz val="9"/>
            <color indexed="81"/>
            <rFont val="Tahoma"/>
            <family val="2"/>
          </rPr>
          <t>If this highlights as an error, consider upsizing the Tether size for better ribbon utilization</t>
        </r>
      </text>
    </comment>
    <comment ref="C609" authorId="1" shapeId="0">
      <text>
        <r>
          <rPr>
            <b/>
            <sz val="9"/>
            <color indexed="81"/>
            <rFont val="Tahoma"/>
            <family val="2"/>
          </rPr>
          <t>DBL REV requires TWO rows!
TPL REV requires THREE rows!
QD REV requires FOUR rows!</t>
        </r>
      </text>
    </comment>
    <comment ref="J609" authorId="1" shapeId="0">
      <text>
        <r>
          <rPr>
            <b/>
            <sz val="9"/>
            <color indexed="81"/>
            <rFont val="Tahoma"/>
            <family val="2"/>
          </rPr>
          <t>If this highlights as an error, consider upsizing the Tether size for better ribbon utilization</t>
        </r>
      </text>
    </comment>
    <comment ref="C610" authorId="1" shapeId="0">
      <text>
        <r>
          <rPr>
            <b/>
            <sz val="9"/>
            <color indexed="81"/>
            <rFont val="Tahoma"/>
            <family val="2"/>
          </rPr>
          <t>DBL REV requires TWO rows!
TPL REV requires THREE rows!
QD REV requires FOUR rows!</t>
        </r>
      </text>
    </comment>
    <comment ref="J610" authorId="1" shapeId="0">
      <text>
        <r>
          <rPr>
            <b/>
            <sz val="9"/>
            <color indexed="81"/>
            <rFont val="Tahoma"/>
            <family val="2"/>
          </rPr>
          <t>If this highlights as an error, consider upsizing the Tether size for better ribbon utilization</t>
        </r>
      </text>
    </comment>
    <comment ref="C611" authorId="1" shapeId="0">
      <text>
        <r>
          <rPr>
            <b/>
            <sz val="9"/>
            <color indexed="81"/>
            <rFont val="Tahoma"/>
            <family val="2"/>
          </rPr>
          <t>DBL REV requires TWO rows!
TPL REV requires THREE rows!
QD REV requires FOUR rows!</t>
        </r>
      </text>
    </comment>
    <comment ref="J611" authorId="1" shapeId="0">
      <text>
        <r>
          <rPr>
            <b/>
            <sz val="9"/>
            <color indexed="81"/>
            <rFont val="Tahoma"/>
            <family val="2"/>
          </rPr>
          <t>If this highlights as an error, consider upsizing the Tether size for better ribbon utilization</t>
        </r>
      </text>
    </comment>
    <comment ref="C612" authorId="1" shapeId="0">
      <text>
        <r>
          <rPr>
            <b/>
            <sz val="9"/>
            <color indexed="81"/>
            <rFont val="Tahoma"/>
            <family val="2"/>
          </rPr>
          <t>DBL REV requires TWO rows!
TPL REV requires THREE rows!
QD REV requires FOUR rows!</t>
        </r>
      </text>
    </comment>
    <comment ref="J612" authorId="1" shapeId="0">
      <text>
        <r>
          <rPr>
            <b/>
            <sz val="9"/>
            <color indexed="81"/>
            <rFont val="Tahoma"/>
            <family val="2"/>
          </rPr>
          <t>If this highlights as an error, consider upsizing the Tether size for better ribbon utilization</t>
        </r>
      </text>
    </comment>
    <comment ref="C613" authorId="1" shapeId="0">
      <text>
        <r>
          <rPr>
            <b/>
            <sz val="9"/>
            <color indexed="81"/>
            <rFont val="Tahoma"/>
            <family val="2"/>
          </rPr>
          <t>DBL REV requires TWO rows!
TPL REV requires THREE rows!
QD REV requires FOUR rows!</t>
        </r>
      </text>
    </comment>
    <comment ref="J613" authorId="1" shapeId="0">
      <text>
        <r>
          <rPr>
            <b/>
            <sz val="9"/>
            <color indexed="81"/>
            <rFont val="Tahoma"/>
            <family val="2"/>
          </rPr>
          <t>If this highlights as an error, consider upsizing the Tether size for better ribbon utilization</t>
        </r>
      </text>
    </comment>
    <comment ref="C614" authorId="1" shapeId="0">
      <text>
        <r>
          <rPr>
            <b/>
            <sz val="9"/>
            <color indexed="81"/>
            <rFont val="Tahoma"/>
            <family val="2"/>
          </rPr>
          <t>DBL REV requires TWO rows!
TPL REV requires THREE rows!
QD REV requires FOUR rows!</t>
        </r>
      </text>
    </comment>
    <comment ref="J614" authorId="1" shapeId="0">
      <text>
        <r>
          <rPr>
            <b/>
            <sz val="9"/>
            <color indexed="81"/>
            <rFont val="Tahoma"/>
            <family val="2"/>
          </rPr>
          <t>If this highlights as an error, consider upsizing the Tether size for better ribbon utilization</t>
        </r>
      </text>
    </comment>
    <comment ref="C615" authorId="1" shapeId="0">
      <text>
        <r>
          <rPr>
            <b/>
            <sz val="9"/>
            <color indexed="81"/>
            <rFont val="Tahoma"/>
            <family val="2"/>
          </rPr>
          <t>DBL REV requires TWO rows!
TPL REV requires THREE rows!
QD REV requires FOUR rows!</t>
        </r>
      </text>
    </comment>
    <comment ref="J615" authorId="1" shapeId="0">
      <text>
        <r>
          <rPr>
            <b/>
            <sz val="9"/>
            <color indexed="81"/>
            <rFont val="Tahoma"/>
            <family val="2"/>
          </rPr>
          <t>If this highlights as an error, consider upsizing the Tether size for better ribbon utilization</t>
        </r>
      </text>
    </comment>
    <comment ref="B62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text>
        <r>
          <rPr>
            <b/>
            <sz val="8"/>
            <color indexed="81"/>
            <rFont val="Tahoma"/>
            <family val="2"/>
          </rPr>
          <t>This will be added to Planning Load Block A for TOTAL</t>
        </r>
        <r>
          <rPr>
            <sz val="8"/>
            <color indexed="81"/>
            <rFont val="Tahoma"/>
            <family val="2"/>
          </rPr>
          <t xml:space="preserve">
</t>
        </r>
      </text>
    </comment>
    <comment ref="J621" authorId="0" shapeId="0">
      <text>
        <r>
          <rPr>
            <b/>
            <sz val="8"/>
            <color indexed="81"/>
            <rFont val="Tahoma"/>
            <family val="2"/>
          </rPr>
          <t>This is the PON OUT count that is not assigned in this cable reel.</t>
        </r>
        <r>
          <rPr>
            <sz val="8"/>
            <color indexed="81"/>
            <rFont val="Tahoma"/>
            <family val="2"/>
          </rPr>
          <t xml:space="preserve">
</t>
        </r>
      </text>
    </comment>
    <comment ref="P621" authorId="1" shapeId="0">
      <text>
        <r>
          <rPr>
            <b/>
            <sz val="9"/>
            <color indexed="81"/>
            <rFont val="Tahoma"/>
            <family val="2"/>
          </rPr>
          <t>REMEMBER: 2-Fbr Tethers are NOT available for RPX CABLE!</t>
        </r>
      </text>
    </comment>
    <comment ref="Q621" authorId="1" shapeId="0">
      <text>
        <r>
          <rPr>
            <b/>
            <sz val="9"/>
            <color indexed="81"/>
            <rFont val="Tahoma"/>
            <family val="2"/>
          </rPr>
          <t>REMEMBER: 2-Fbr Tethers are NOT available for RPX CABLE!</t>
        </r>
      </text>
    </comment>
    <comment ref="S621" authorId="1" shapeId="0">
      <text>
        <r>
          <rPr>
            <b/>
            <sz val="9"/>
            <color indexed="81"/>
            <rFont val="Tahoma"/>
            <family val="2"/>
          </rPr>
          <t>REMEMBER: 2-Fbr Tethers are NOT available for RPX CABLE!</t>
        </r>
      </text>
    </comment>
    <comment ref="T621" authorId="1" shapeId="0">
      <text>
        <r>
          <rPr>
            <b/>
            <sz val="9"/>
            <color indexed="81"/>
            <rFont val="Tahoma"/>
            <family val="2"/>
          </rPr>
          <t>REMEMBER: 2-Fbr Tethers are NOT available for RPX CABLE!</t>
        </r>
      </text>
    </comment>
    <comment ref="B62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text>
        <r>
          <rPr>
            <b/>
            <sz val="8"/>
            <color indexed="81"/>
            <rFont val="Tahoma"/>
            <family val="2"/>
          </rPr>
          <t>Make sure you add this number to "TAT FIBERS ASSIGNED" for the total required in the Load Block on the prints.</t>
        </r>
      </text>
    </comment>
    <comment ref="G622" authorId="0" shapeId="0">
      <text>
        <r>
          <rPr>
            <b/>
            <sz val="8"/>
            <color indexed="81"/>
            <rFont val="Tahoma"/>
            <family val="2"/>
          </rPr>
          <t>Includes "DEAD" Count (No PON count assigned)</t>
        </r>
      </text>
    </comment>
    <comment ref="I62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text>
        <r>
          <rPr>
            <b/>
            <sz val="9"/>
            <color indexed="81"/>
            <rFont val="Tahoma"/>
            <family val="2"/>
          </rPr>
          <t>REMEMBER: 6-Fbr Tethers are NOT available for RPX CABLE!</t>
        </r>
      </text>
    </comment>
    <comment ref="Q623" authorId="1" shapeId="0">
      <text>
        <r>
          <rPr>
            <b/>
            <sz val="9"/>
            <color indexed="81"/>
            <rFont val="Tahoma"/>
            <family val="2"/>
          </rPr>
          <t>REMEMBER: 6-Fbr Tethers are NOT available for RPX CABLE!</t>
        </r>
      </text>
    </comment>
    <comment ref="S623" authorId="1" shapeId="0">
      <text>
        <r>
          <rPr>
            <b/>
            <sz val="9"/>
            <color indexed="81"/>
            <rFont val="Tahoma"/>
            <family val="2"/>
          </rPr>
          <t>REMEMBER: 6-Fbr Tethers are NOT available for RPX CABLE!</t>
        </r>
      </text>
    </comment>
    <comment ref="T623" authorId="1" shapeId="0">
      <text>
        <r>
          <rPr>
            <b/>
            <sz val="9"/>
            <color indexed="81"/>
            <rFont val="Tahoma"/>
            <family val="2"/>
          </rPr>
          <t>REMEMBER: 6-Fbr Tethers are NOT available for AERIAL CABLE!</t>
        </r>
      </text>
    </comment>
    <comment ref="B62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text>
        <r>
          <rPr>
            <b/>
            <sz val="8"/>
            <color indexed="81"/>
            <rFont val="Tahoma"/>
            <family val="2"/>
          </rPr>
          <t>These are "manufacturing rules" and general warnings</t>
        </r>
        <r>
          <rPr>
            <sz val="8"/>
            <color indexed="81"/>
            <rFont val="Tahoma"/>
            <family val="2"/>
          </rPr>
          <t xml:space="preserve">
</t>
        </r>
      </text>
    </comment>
    <comment ref="B62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text>
        <r>
          <rPr>
            <b/>
            <sz val="8"/>
            <color indexed="81"/>
            <rFont val="Tahoma"/>
            <family val="2"/>
          </rPr>
          <t>This number is a sum of TOTAL PLANNED plus the ASSIGNED TO TETHERS</t>
        </r>
        <r>
          <rPr>
            <sz val="8"/>
            <color indexed="81"/>
            <rFont val="Tahoma"/>
            <family val="2"/>
          </rPr>
          <t xml:space="preserve">
</t>
        </r>
      </text>
    </comment>
    <comment ref="Z629" authorId="0" shapeId="0">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text>
        <r>
          <rPr>
            <b/>
            <sz val="8"/>
            <color indexed="81"/>
            <rFont val="Tahoma"/>
            <family val="2"/>
          </rPr>
          <t>Counting from High count Backwards- this is Fiber Strand 133</t>
        </r>
      </text>
    </comment>
    <comment ref="AB629" authorId="0" shapeId="0">
      <text>
        <r>
          <rPr>
            <b/>
            <sz val="8"/>
            <color indexed="81"/>
            <rFont val="Tahoma"/>
            <family val="2"/>
          </rPr>
          <t>Counting from High count Backwards- this is Fiber Strand 144</t>
        </r>
        <r>
          <rPr>
            <sz val="8"/>
            <color indexed="81"/>
            <rFont val="Tahoma"/>
            <family val="2"/>
          </rPr>
          <t xml:space="preserve">
</t>
        </r>
      </text>
    </comment>
    <comment ref="C630" authorId="0" shapeId="0">
      <text>
        <r>
          <rPr>
            <b/>
            <sz val="8"/>
            <color indexed="81"/>
            <rFont val="Tahoma"/>
            <family val="2"/>
          </rPr>
          <t xml:space="preserve">Select if this tether will be used to feed a CFST or a lateral cable. </t>
        </r>
      </text>
    </comment>
    <comment ref="D630" authorId="0" shapeId="0">
      <text>
        <r>
          <rPr>
            <b/>
            <sz val="8"/>
            <color indexed="81"/>
            <rFont val="Tahoma"/>
            <family val="2"/>
          </rPr>
          <t>Note the Terminal Address to keep your locations straight</t>
        </r>
        <r>
          <rPr>
            <sz val="8"/>
            <color indexed="81"/>
            <rFont val="Tahoma"/>
            <family val="2"/>
          </rPr>
          <t xml:space="preserve">
</t>
        </r>
      </text>
    </comment>
    <comment ref="E630" authorId="0" shapeId="0">
      <text>
        <r>
          <rPr>
            <b/>
            <sz val="9"/>
            <color indexed="81"/>
            <rFont val="Calibri"/>
            <family val="2"/>
            <scheme val="minor"/>
          </rPr>
          <t>Pick the Tether Size for the location</t>
        </r>
        <r>
          <rPr>
            <sz val="8"/>
            <color indexed="81"/>
            <rFont val="Tahoma"/>
            <family val="2"/>
          </rPr>
          <t xml:space="preserve">
</t>
        </r>
      </text>
    </comment>
    <comment ref="F630" authorId="2" shapeId="0">
      <text>
        <r>
          <rPr>
            <b/>
            <sz val="9"/>
            <color indexed="81"/>
            <rFont val="Tahoma"/>
            <family val="2"/>
          </rPr>
          <t>Identify TCF or FST location.
Leave blank if tether is NOT for a TCF or FST!</t>
        </r>
      </text>
    </comment>
    <comment ref="H630" authorId="0" shapeId="0">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text>
        <r>
          <rPr>
            <b/>
            <sz val="8"/>
            <color indexed="81"/>
            <rFont val="Tahoma"/>
            <family val="2"/>
          </rPr>
          <t>If any of these numbers are negative, check your PON count and Cable size</t>
        </r>
      </text>
    </comment>
    <comment ref="J63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text>
        <r>
          <rPr>
            <b/>
            <sz val="9"/>
            <color indexed="81"/>
            <rFont val="Tahoma"/>
            <family val="2"/>
          </rPr>
          <t>Leave blank if using 10' Terminal Tail
Enter Tail length if greater than 10'</t>
        </r>
      </text>
    </comment>
    <comment ref="M630" authorId="0" shapeId="0">
      <text>
        <r>
          <rPr>
            <b/>
            <sz val="8"/>
            <color indexed="81"/>
            <rFont val="Tahoma"/>
            <family val="2"/>
          </rPr>
          <t>Make design notes such as slack coils, realingment loops,  or location notes</t>
        </r>
      </text>
    </comment>
    <comment ref="Z630" authorId="0" shapeId="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text>
        <r>
          <rPr>
            <b/>
            <sz val="8"/>
            <color indexed="81"/>
            <rFont val="Tahoma"/>
            <family val="2"/>
          </rPr>
          <t xml:space="preserve">Counting from High count Backwards- this is Fiber Strand 145
</t>
        </r>
      </text>
    </comment>
    <comment ref="AB630" authorId="0" shapeId="0">
      <text>
        <r>
          <rPr>
            <b/>
            <sz val="8"/>
            <color indexed="81"/>
            <rFont val="Tahoma"/>
            <family val="2"/>
          </rPr>
          <t>Counting from High count Backwards- this is Fiber Strand 156</t>
        </r>
      </text>
    </comment>
    <comment ref="J632" authorId="1" shapeId="0">
      <text>
        <r>
          <rPr>
            <b/>
            <sz val="9"/>
            <color indexed="81"/>
            <rFont val="Tahoma"/>
            <family val="2"/>
          </rPr>
          <t>If this highlights as an error, consider upsizing the Tether size for better ribbon utilization</t>
        </r>
      </text>
    </comment>
    <comment ref="J633" authorId="1" shapeId="0">
      <text>
        <r>
          <rPr>
            <b/>
            <sz val="9"/>
            <color indexed="81"/>
            <rFont val="Tahoma"/>
            <family val="2"/>
          </rPr>
          <t>If this highlights as an error, consider upsizing the Tether size for better ribbon utilization</t>
        </r>
      </text>
    </comment>
    <comment ref="J634" authorId="1" shapeId="0">
      <text>
        <r>
          <rPr>
            <b/>
            <sz val="9"/>
            <color indexed="81"/>
            <rFont val="Tahoma"/>
            <family val="2"/>
          </rPr>
          <t>If this highlights as an error, consider upsizing the Tether size for better ribbon utilization</t>
        </r>
      </text>
    </comment>
    <comment ref="J635" authorId="1" shapeId="0">
      <text>
        <r>
          <rPr>
            <b/>
            <sz val="9"/>
            <color indexed="81"/>
            <rFont val="Tahoma"/>
            <family val="2"/>
          </rPr>
          <t>If this highlights as an error, consider upsizing the Tether size for better ribbon utilization</t>
        </r>
      </text>
    </comment>
    <comment ref="J636" authorId="1" shapeId="0">
      <text>
        <r>
          <rPr>
            <b/>
            <sz val="9"/>
            <color indexed="81"/>
            <rFont val="Tahoma"/>
            <family val="2"/>
          </rPr>
          <t>If this highlights as an error, consider upsizing the Tether size for better ribbon utilization</t>
        </r>
      </text>
    </comment>
    <comment ref="J637" authorId="1" shapeId="0">
      <text>
        <r>
          <rPr>
            <b/>
            <sz val="9"/>
            <color indexed="81"/>
            <rFont val="Tahoma"/>
            <family val="2"/>
          </rPr>
          <t>If this highlights as an error, consider upsizing the Tether size for better ribbon utilization</t>
        </r>
      </text>
    </comment>
    <comment ref="J638" authorId="1" shapeId="0">
      <text>
        <r>
          <rPr>
            <b/>
            <sz val="9"/>
            <color indexed="81"/>
            <rFont val="Tahoma"/>
            <family val="2"/>
          </rPr>
          <t>If this highlights as an error, consider upsizing the Tether size for better ribbon utilization</t>
        </r>
      </text>
    </comment>
    <comment ref="J639" authorId="1" shapeId="0">
      <text>
        <r>
          <rPr>
            <b/>
            <sz val="9"/>
            <color indexed="81"/>
            <rFont val="Tahoma"/>
            <family val="2"/>
          </rPr>
          <t>If this highlights as an error, consider upsizing the Tether size for better ribbon utilization</t>
        </r>
      </text>
    </comment>
    <comment ref="J640" authorId="1" shapeId="0">
      <text>
        <r>
          <rPr>
            <b/>
            <sz val="9"/>
            <color indexed="81"/>
            <rFont val="Tahoma"/>
            <family val="2"/>
          </rPr>
          <t>If this highlights as an error, consider upsizing the Tether size for better ribbon utilization</t>
        </r>
      </text>
    </comment>
    <comment ref="J641" authorId="1" shapeId="0">
      <text>
        <r>
          <rPr>
            <b/>
            <sz val="9"/>
            <color indexed="81"/>
            <rFont val="Tahoma"/>
            <family val="2"/>
          </rPr>
          <t>If this highlights as an error, consider upsizing the Tether size for better ribbon utilization</t>
        </r>
      </text>
    </comment>
    <comment ref="J642" authorId="1" shapeId="0">
      <text>
        <r>
          <rPr>
            <b/>
            <sz val="9"/>
            <color indexed="81"/>
            <rFont val="Tahoma"/>
            <family val="2"/>
          </rPr>
          <t>If this highlights as an error, consider upsizing the Tether size for better ribbon utilization</t>
        </r>
      </text>
    </comment>
    <comment ref="J643" authorId="1" shapeId="0">
      <text>
        <r>
          <rPr>
            <b/>
            <sz val="9"/>
            <color indexed="81"/>
            <rFont val="Tahoma"/>
            <family val="2"/>
          </rPr>
          <t>If this highlights as an error, consider upsizing the Tether size for better ribbon utilization</t>
        </r>
      </text>
    </comment>
    <comment ref="J644" authorId="1" shapeId="0">
      <text>
        <r>
          <rPr>
            <b/>
            <sz val="9"/>
            <color indexed="81"/>
            <rFont val="Tahoma"/>
            <family val="2"/>
          </rPr>
          <t>If this highlights as an error, consider upsizing the Tether size for better ribbon utilization</t>
        </r>
      </text>
    </comment>
    <comment ref="J645" authorId="1" shapeId="0">
      <text>
        <r>
          <rPr>
            <b/>
            <sz val="9"/>
            <color indexed="81"/>
            <rFont val="Tahoma"/>
            <family val="2"/>
          </rPr>
          <t>If this highlights as an error, consider upsizing the Tether size for better ribbon utilization</t>
        </r>
      </text>
    </comment>
    <comment ref="J646" authorId="1" shapeId="0">
      <text>
        <r>
          <rPr>
            <b/>
            <sz val="9"/>
            <color indexed="81"/>
            <rFont val="Tahoma"/>
            <family val="2"/>
          </rPr>
          <t>If this highlights as an error, consider upsizing the Tether size for better ribbon utilization</t>
        </r>
      </text>
    </comment>
    <comment ref="J647" authorId="1" shapeId="0">
      <text>
        <r>
          <rPr>
            <b/>
            <sz val="9"/>
            <color indexed="81"/>
            <rFont val="Tahoma"/>
            <family val="2"/>
          </rPr>
          <t>If this highlights as an error, consider upsizing the Tether size for better ribbon utilization</t>
        </r>
      </text>
    </comment>
    <comment ref="J648" authorId="1" shapeId="0">
      <text>
        <r>
          <rPr>
            <b/>
            <sz val="9"/>
            <color indexed="81"/>
            <rFont val="Tahoma"/>
            <family val="2"/>
          </rPr>
          <t>If this highlights as an error, consider upsizing the Tether size for better ribbon utilization</t>
        </r>
      </text>
    </comment>
    <comment ref="J649" authorId="1" shapeId="0">
      <text>
        <r>
          <rPr>
            <b/>
            <sz val="9"/>
            <color indexed="81"/>
            <rFont val="Tahoma"/>
            <family val="2"/>
          </rPr>
          <t>If this highlights as an error, consider upsizing the Tether size for better ribbon utilization</t>
        </r>
      </text>
    </comment>
    <comment ref="C650" authorId="1" shapeId="0">
      <text>
        <r>
          <rPr>
            <b/>
            <sz val="9"/>
            <color indexed="81"/>
            <rFont val="Tahoma"/>
            <family val="2"/>
          </rPr>
          <t>DBL REV requires TWO rows!
TPL REV requires THREE rows!
QD REV requires FOUR rows!</t>
        </r>
      </text>
    </comment>
    <comment ref="J650" authorId="1" shapeId="0">
      <text>
        <r>
          <rPr>
            <b/>
            <sz val="9"/>
            <color indexed="81"/>
            <rFont val="Tahoma"/>
            <family val="2"/>
          </rPr>
          <t>If this highlights as an error, consider upsizing the Tether size for better ribbon utilization</t>
        </r>
      </text>
    </comment>
    <comment ref="C651" authorId="1" shapeId="0">
      <text>
        <r>
          <rPr>
            <b/>
            <sz val="9"/>
            <color indexed="81"/>
            <rFont val="Tahoma"/>
            <family val="2"/>
          </rPr>
          <t>DBL REV requires TWO rows!
TPL REV requires THREE rows!
QD REV requires FOUR rows!</t>
        </r>
      </text>
    </comment>
    <comment ref="J651" authorId="1" shapeId="0">
      <text>
        <r>
          <rPr>
            <b/>
            <sz val="9"/>
            <color indexed="81"/>
            <rFont val="Tahoma"/>
            <family val="2"/>
          </rPr>
          <t>If this highlights as an error, consider upsizing the Tether size for better ribbon utilization</t>
        </r>
      </text>
    </comment>
    <comment ref="C652" authorId="1" shapeId="0">
      <text>
        <r>
          <rPr>
            <b/>
            <sz val="9"/>
            <color indexed="81"/>
            <rFont val="Tahoma"/>
            <family val="2"/>
          </rPr>
          <t>DBL REV requires TWO rows!
TPL REV requires THREE rows!
QD REV requires FOUR rows!</t>
        </r>
      </text>
    </comment>
    <comment ref="J652" authorId="1" shapeId="0">
      <text>
        <r>
          <rPr>
            <b/>
            <sz val="9"/>
            <color indexed="81"/>
            <rFont val="Tahoma"/>
            <family val="2"/>
          </rPr>
          <t>If this highlights as an error, consider upsizing the Tether size for better ribbon utilization</t>
        </r>
      </text>
    </comment>
    <comment ref="C653" authorId="1" shapeId="0">
      <text>
        <r>
          <rPr>
            <b/>
            <sz val="9"/>
            <color indexed="81"/>
            <rFont val="Tahoma"/>
            <family val="2"/>
          </rPr>
          <t>DBL REV requires TWO rows!
TPL REV requires THREE rows!
QD REV requires FOUR rows!</t>
        </r>
      </text>
    </comment>
    <comment ref="J653" authorId="1" shapeId="0">
      <text>
        <r>
          <rPr>
            <b/>
            <sz val="9"/>
            <color indexed="81"/>
            <rFont val="Tahoma"/>
            <family val="2"/>
          </rPr>
          <t>If this highlights as an error, consider upsizing the Tether size for better ribbon utilization</t>
        </r>
      </text>
    </comment>
    <comment ref="C654" authorId="1" shapeId="0">
      <text>
        <r>
          <rPr>
            <b/>
            <sz val="9"/>
            <color indexed="81"/>
            <rFont val="Tahoma"/>
            <family val="2"/>
          </rPr>
          <t>DBL REV requires TWO rows!
TPL REV requires THREE rows!
QD REV requires FOUR rows!</t>
        </r>
      </text>
    </comment>
    <comment ref="J654" authorId="1" shapeId="0">
      <text>
        <r>
          <rPr>
            <b/>
            <sz val="9"/>
            <color indexed="81"/>
            <rFont val="Tahoma"/>
            <family val="2"/>
          </rPr>
          <t>If this highlights as an error, consider upsizing the Tether size for better ribbon utilization</t>
        </r>
      </text>
    </comment>
    <comment ref="C655" authorId="1" shapeId="0">
      <text>
        <r>
          <rPr>
            <b/>
            <sz val="9"/>
            <color indexed="81"/>
            <rFont val="Tahoma"/>
            <family val="2"/>
          </rPr>
          <t>DBL REV requires TWO rows!
TPL REV requires THREE rows!
QD REV requires FOUR rows!</t>
        </r>
      </text>
    </comment>
    <comment ref="J655" authorId="1" shapeId="0">
      <text>
        <r>
          <rPr>
            <b/>
            <sz val="9"/>
            <color indexed="81"/>
            <rFont val="Tahoma"/>
            <family val="2"/>
          </rPr>
          <t>If this highlights as an error, consider upsizing the Tether size for better ribbon utilization</t>
        </r>
      </text>
    </comment>
    <comment ref="C656" authorId="1" shapeId="0">
      <text>
        <r>
          <rPr>
            <b/>
            <sz val="9"/>
            <color indexed="81"/>
            <rFont val="Tahoma"/>
            <family val="2"/>
          </rPr>
          <t>DBL REV requires TWO rows!
TPL REV requires THREE rows!
QD REV requires FOUR rows!</t>
        </r>
      </text>
    </comment>
    <comment ref="J656" authorId="1" shapeId="0">
      <text>
        <r>
          <rPr>
            <b/>
            <sz val="9"/>
            <color indexed="81"/>
            <rFont val="Tahoma"/>
            <family val="2"/>
          </rPr>
          <t>If this highlights as an error, consider upsizing the Tether size for better ribbon utilization</t>
        </r>
      </text>
    </comment>
    <comment ref="B66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text>
        <r>
          <rPr>
            <b/>
            <sz val="8"/>
            <color indexed="81"/>
            <rFont val="Tahoma"/>
            <family val="2"/>
          </rPr>
          <t>This will be added to Planning Load Block A for TOTAL</t>
        </r>
        <r>
          <rPr>
            <sz val="8"/>
            <color indexed="81"/>
            <rFont val="Tahoma"/>
            <family val="2"/>
          </rPr>
          <t xml:space="preserve">
</t>
        </r>
      </text>
    </comment>
    <comment ref="J662" authorId="0" shapeId="0">
      <text>
        <r>
          <rPr>
            <b/>
            <sz val="8"/>
            <color indexed="81"/>
            <rFont val="Tahoma"/>
            <family val="2"/>
          </rPr>
          <t>This is the PON OUT count that is not assigned in this cable reel.</t>
        </r>
        <r>
          <rPr>
            <sz val="8"/>
            <color indexed="81"/>
            <rFont val="Tahoma"/>
            <family val="2"/>
          </rPr>
          <t xml:space="preserve">
</t>
        </r>
      </text>
    </comment>
    <comment ref="P662" authorId="1" shapeId="0">
      <text>
        <r>
          <rPr>
            <b/>
            <sz val="9"/>
            <color indexed="81"/>
            <rFont val="Tahoma"/>
            <family val="2"/>
          </rPr>
          <t>REMEMBER: 2-Fbr Tethers are NOT available for RPX CABLE!</t>
        </r>
      </text>
    </comment>
    <comment ref="Q662" authorId="1" shapeId="0">
      <text>
        <r>
          <rPr>
            <b/>
            <sz val="9"/>
            <color indexed="81"/>
            <rFont val="Tahoma"/>
            <family val="2"/>
          </rPr>
          <t>REMEMBER: 2-Fbr Tethers are NOT available for RPX CABLE!</t>
        </r>
      </text>
    </comment>
    <comment ref="S662" authorId="1" shapeId="0">
      <text>
        <r>
          <rPr>
            <b/>
            <sz val="9"/>
            <color indexed="81"/>
            <rFont val="Tahoma"/>
            <family val="2"/>
          </rPr>
          <t>REMEMBER: 2-Fbr Tethers are NOT available for RPX CABLE!</t>
        </r>
      </text>
    </comment>
    <comment ref="T662" authorId="1" shapeId="0">
      <text>
        <r>
          <rPr>
            <b/>
            <sz val="9"/>
            <color indexed="81"/>
            <rFont val="Tahoma"/>
            <family val="2"/>
          </rPr>
          <t>REMEMBER: 2-Fbr Tethers are NOT available for RPX CABLE!</t>
        </r>
      </text>
    </comment>
    <comment ref="B66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text>
        <r>
          <rPr>
            <b/>
            <sz val="8"/>
            <color indexed="81"/>
            <rFont val="Tahoma"/>
            <family val="2"/>
          </rPr>
          <t>Make sure you add this number to "TAT FIBERS ASSIGNED" for the total required in the Load Block on the prints.</t>
        </r>
      </text>
    </comment>
    <comment ref="G663" authorId="0" shapeId="0">
      <text>
        <r>
          <rPr>
            <b/>
            <sz val="8"/>
            <color indexed="81"/>
            <rFont val="Tahoma"/>
            <family val="2"/>
          </rPr>
          <t>Includes "DEAD" Count (No PON count assigned)</t>
        </r>
      </text>
    </comment>
    <comment ref="I66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text>
        <r>
          <rPr>
            <b/>
            <sz val="9"/>
            <color indexed="81"/>
            <rFont val="Tahoma"/>
            <family val="2"/>
          </rPr>
          <t>REMEMBER: 6-Fbr Tethers are NOT available for RPX CABLE!</t>
        </r>
      </text>
    </comment>
    <comment ref="Q664" authorId="1" shapeId="0">
      <text>
        <r>
          <rPr>
            <b/>
            <sz val="9"/>
            <color indexed="81"/>
            <rFont val="Tahoma"/>
            <family val="2"/>
          </rPr>
          <t>REMEMBER: 6-Fbr Tethers are NOT available for RPX CABLE!</t>
        </r>
      </text>
    </comment>
    <comment ref="S664" authorId="1" shapeId="0">
      <text>
        <r>
          <rPr>
            <b/>
            <sz val="9"/>
            <color indexed="81"/>
            <rFont val="Tahoma"/>
            <family val="2"/>
          </rPr>
          <t>REMEMBER: 6-Fbr Tethers are NOT available for RPX CABLE!</t>
        </r>
      </text>
    </comment>
    <comment ref="T664" authorId="1" shapeId="0">
      <text>
        <r>
          <rPr>
            <b/>
            <sz val="9"/>
            <color indexed="81"/>
            <rFont val="Tahoma"/>
            <family val="2"/>
          </rPr>
          <t>REMEMBER: 6-Fbr Tethers are NOT available for AERIAL CABLE!</t>
        </r>
      </text>
    </comment>
    <comment ref="B66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text>
        <r>
          <rPr>
            <b/>
            <sz val="8"/>
            <color indexed="81"/>
            <rFont val="Tahoma"/>
            <family val="2"/>
          </rPr>
          <t>These are "manufacturing rules" and general warnings</t>
        </r>
        <r>
          <rPr>
            <sz val="8"/>
            <color indexed="81"/>
            <rFont val="Tahoma"/>
            <family val="2"/>
          </rPr>
          <t xml:space="preserve">
</t>
        </r>
      </text>
    </comment>
    <comment ref="B66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text>
        <r>
          <rPr>
            <b/>
            <sz val="8"/>
            <color indexed="81"/>
            <rFont val="Tahoma"/>
            <family val="2"/>
          </rPr>
          <t>This number is a sum of TOTAL PLANNED plus the ASSIGNED TO TETHERS</t>
        </r>
        <r>
          <rPr>
            <sz val="8"/>
            <color indexed="81"/>
            <rFont val="Tahoma"/>
            <family val="2"/>
          </rPr>
          <t xml:space="preserve">
</t>
        </r>
      </text>
    </comment>
    <comment ref="Z670" authorId="0" shapeId="0">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text>
        <r>
          <rPr>
            <b/>
            <sz val="8"/>
            <color indexed="81"/>
            <rFont val="Tahoma"/>
            <family val="2"/>
          </rPr>
          <t>Counting from High count Backwards- this is Fiber Strand 133</t>
        </r>
      </text>
    </comment>
    <comment ref="AB670" authorId="0" shapeId="0">
      <text>
        <r>
          <rPr>
            <b/>
            <sz val="8"/>
            <color indexed="81"/>
            <rFont val="Tahoma"/>
            <family val="2"/>
          </rPr>
          <t>Counting from High count Backwards- this is Fiber Strand 144</t>
        </r>
        <r>
          <rPr>
            <sz val="8"/>
            <color indexed="81"/>
            <rFont val="Tahoma"/>
            <family val="2"/>
          </rPr>
          <t xml:space="preserve">
</t>
        </r>
      </text>
    </comment>
    <comment ref="C671" authorId="0" shapeId="0">
      <text>
        <r>
          <rPr>
            <b/>
            <sz val="8"/>
            <color indexed="81"/>
            <rFont val="Tahoma"/>
            <family val="2"/>
          </rPr>
          <t xml:space="preserve">Select if this tether will be used to feed a CFST or a lateral cable. </t>
        </r>
      </text>
    </comment>
    <comment ref="D671" authorId="0" shapeId="0">
      <text>
        <r>
          <rPr>
            <b/>
            <sz val="8"/>
            <color indexed="81"/>
            <rFont val="Tahoma"/>
            <family val="2"/>
          </rPr>
          <t>Note the Terminal Address to keep your locations straight</t>
        </r>
        <r>
          <rPr>
            <sz val="8"/>
            <color indexed="81"/>
            <rFont val="Tahoma"/>
            <family val="2"/>
          </rPr>
          <t xml:space="preserve">
</t>
        </r>
      </text>
    </comment>
    <comment ref="E671" authorId="0" shapeId="0">
      <text>
        <r>
          <rPr>
            <b/>
            <sz val="9"/>
            <color indexed="81"/>
            <rFont val="Calibri"/>
            <family val="2"/>
            <scheme val="minor"/>
          </rPr>
          <t>Pick the Tether Size for the location</t>
        </r>
        <r>
          <rPr>
            <sz val="8"/>
            <color indexed="81"/>
            <rFont val="Tahoma"/>
            <family val="2"/>
          </rPr>
          <t xml:space="preserve">
</t>
        </r>
      </text>
    </comment>
    <comment ref="F671" authorId="2" shapeId="0">
      <text>
        <r>
          <rPr>
            <b/>
            <sz val="9"/>
            <color indexed="81"/>
            <rFont val="Tahoma"/>
            <family val="2"/>
          </rPr>
          <t>Identify TCF or FST location.
Leave blank if tether is NOT for a TCF or FST!</t>
        </r>
      </text>
    </comment>
    <comment ref="H671" authorId="0" shapeId="0">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text>
        <r>
          <rPr>
            <b/>
            <sz val="8"/>
            <color indexed="81"/>
            <rFont val="Tahoma"/>
            <family val="2"/>
          </rPr>
          <t>If any of these numbers are negative, check your PON count and Cable size</t>
        </r>
      </text>
    </comment>
    <comment ref="J67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text>
        <r>
          <rPr>
            <b/>
            <sz val="9"/>
            <color indexed="81"/>
            <rFont val="Tahoma"/>
            <family val="2"/>
          </rPr>
          <t>Leave blank if using 10' Terminal Tail
Enter Tail length if greater than 10'</t>
        </r>
      </text>
    </comment>
    <comment ref="M671" authorId="0" shapeId="0">
      <text>
        <r>
          <rPr>
            <b/>
            <sz val="8"/>
            <color indexed="81"/>
            <rFont val="Tahoma"/>
            <family val="2"/>
          </rPr>
          <t>Make design notes such as slack coils, realingment loops,  or location notes</t>
        </r>
      </text>
    </comment>
    <comment ref="Z671" authorId="0" shapeId="0">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text>
        <r>
          <rPr>
            <b/>
            <sz val="8"/>
            <color indexed="81"/>
            <rFont val="Tahoma"/>
            <family val="2"/>
          </rPr>
          <t xml:space="preserve">Counting from High count Backwards- this is Fiber Strand 145
</t>
        </r>
      </text>
    </comment>
    <comment ref="AB671" authorId="0" shapeId="0">
      <text>
        <r>
          <rPr>
            <b/>
            <sz val="8"/>
            <color indexed="81"/>
            <rFont val="Tahoma"/>
            <family val="2"/>
          </rPr>
          <t>Counting from High count Backwards- this is Fiber Strand 156</t>
        </r>
      </text>
    </comment>
    <comment ref="J673" authorId="1" shapeId="0">
      <text>
        <r>
          <rPr>
            <b/>
            <sz val="9"/>
            <color indexed="81"/>
            <rFont val="Tahoma"/>
            <family val="2"/>
          </rPr>
          <t>If this highlights as an error, consider upsizing the Tether size for better ribbon utilization</t>
        </r>
      </text>
    </comment>
    <comment ref="J674" authorId="1" shapeId="0">
      <text>
        <r>
          <rPr>
            <b/>
            <sz val="9"/>
            <color indexed="81"/>
            <rFont val="Tahoma"/>
            <family val="2"/>
          </rPr>
          <t>If this highlights as an error, consider upsizing the Tether size for better ribbon utilization</t>
        </r>
      </text>
    </comment>
    <comment ref="J675" authorId="1" shapeId="0">
      <text>
        <r>
          <rPr>
            <b/>
            <sz val="9"/>
            <color indexed="81"/>
            <rFont val="Tahoma"/>
            <family val="2"/>
          </rPr>
          <t>If this highlights as an error, consider upsizing the Tether size for better ribbon utilization</t>
        </r>
      </text>
    </comment>
    <comment ref="J676" authorId="1" shapeId="0">
      <text>
        <r>
          <rPr>
            <b/>
            <sz val="9"/>
            <color indexed="81"/>
            <rFont val="Tahoma"/>
            <family val="2"/>
          </rPr>
          <t>If this highlights as an error, consider upsizing the Tether size for better ribbon utilization</t>
        </r>
      </text>
    </comment>
    <comment ref="J677" authorId="1" shapeId="0">
      <text>
        <r>
          <rPr>
            <b/>
            <sz val="9"/>
            <color indexed="81"/>
            <rFont val="Tahoma"/>
            <family val="2"/>
          </rPr>
          <t>If this highlights as an error, consider upsizing the Tether size for better ribbon utilization</t>
        </r>
      </text>
    </comment>
    <comment ref="J678" authorId="1" shapeId="0">
      <text>
        <r>
          <rPr>
            <b/>
            <sz val="9"/>
            <color indexed="81"/>
            <rFont val="Tahoma"/>
            <family val="2"/>
          </rPr>
          <t>If this highlights as an error, consider upsizing the Tether size for better ribbon utilization</t>
        </r>
      </text>
    </comment>
    <comment ref="J679" authorId="1" shapeId="0">
      <text>
        <r>
          <rPr>
            <b/>
            <sz val="9"/>
            <color indexed="81"/>
            <rFont val="Tahoma"/>
            <family val="2"/>
          </rPr>
          <t>If this highlights as an error, consider upsizing the Tether size for better ribbon utilization</t>
        </r>
      </text>
    </comment>
    <comment ref="J680" authorId="1" shapeId="0">
      <text>
        <r>
          <rPr>
            <b/>
            <sz val="9"/>
            <color indexed="81"/>
            <rFont val="Tahoma"/>
            <family val="2"/>
          </rPr>
          <t>If this highlights as an error, consider upsizing the Tether size for better ribbon utilization</t>
        </r>
      </text>
    </comment>
    <comment ref="J681" authorId="1" shapeId="0">
      <text>
        <r>
          <rPr>
            <b/>
            <sz val="9"/>
            <color indexed="81"/>
            <rFont val="Tahoma"/>
            <family val="2"/>
          </rPr>
          <t>If this highlights as an error, consider upsizing the Tether size for better ribbon utilization</t>
        </r>
      </text>
    </comment>
    <comment ref="J682" authorId="1" shapeId="0">
      <text>
        <r>
          <rPr>
            <b/>
            <sz val="9"/>
            <color indexed="81"/>
            <rFont val="Tahoma"/>
            <family val="2"/>
          </rPr>
          <t>If this highlights as an error, consider upsizing the Tether size for better ribbon utilization</t>
        </r>
      </text>
    </comment>
    <comment ref="J683" authorId="1" shapeId="0">
      <text>
        <r>
          <rPr>
            <b/>
            <sz val="9"/>
            <color indexed="81"/>
            <rFont val="Tahoma"/>
            <family val="2"/>
          </rPr>
          <t>If this highlights as an error, consider upsizing the Tether size for better ribbon utilization</t>
        </r>
      </text>
    </comment>
    <comment ref="J684" authorId="1" shapeId="0">
      <text>
        <r>
          <rPr>
            <b/>
            <sz val="9"/>
            <color indexed="81"/>
            <rFont val="Tahoma"/>
            <family val="2"/>
          </rPr>
          <t>If this highlights as an error, consider upsizing the Tether size for better ribbon utilization</t>
        </r>
      </text>
    </comment>
    <comment ref="J685" authorId="1" shapeId="0">
      <text>
        <r>
          <rPr>
            <b/>
            <sz val="9"/>
            <color indexed="81"/>
            <rFont val="Tahoma"/>
            <family val="2"/>
          </rPr>
          <t>If this highlights as an error, consider upsizing the Tether size for better ribbon utilization</t>
        </r>
      </text>
    </comment>
    <comment ref="J686" authorId="1" shapeId="0">
      <text>
        <r>
          <rPr>
            <b/>
            <sz val="9"/>
            <color indexed="81"/>
            <rFont val="Tahoma"/>
            <family val="2"/>
          </rPr>
          <t>If this highlights as an error, consider upsizing the Tether size for better ribbon utilization</t>
        </r>
      </text>
    </comment>
    <comment ref="J687" authorId="1" shapeId="0">
      <text>
        <r>
          <rPr>
            <b/>
            <sz val="9"/>
            <color indexed="81"/>
            <rFont val="Tahoma"/>
            <family val="2"/>
          </rPr>
          <t>If this highlights as an error, consider upsizing the Tether size for better ribbon utilization</t>
        </r>
      </text>
    </comment>
    <comment ref="J688" authorId="1" shapeId="0">
      <text>
        <r>
          <rPr>
            <b/>
            <sz val="9"/>
            <color indexed="81"/>
            <rFont val="Tahoma"/>
            <family val="2"/>
          </rPr>
          <t>If this highlights as an error, consider upsizing the Tether size for better ribbon utilization</t>
        </r>
      </text>
    </comment>
    <comment ref="J689" authorId="1" shapeId="0">
      <text>
        <r>
          <rPr>
            <b/>
            <sz val="9"/>
            <color indexed="81"/>
            <rFont val="Tahoma"/>
            <family val="2"/>
          </rPr>
          <t>If this highlights as an error, consider upsizing the Tether size for better ribbon utilization</t>
        </r>
      </text>
    </comment>
    <comment ref="J690" authorId="1" shapeId="0">
      <text>
        <r>
          <rPr>
            <b/>
            <sz val="9"/>
            <color indexed="81"/>
            <rFont val="Tahoma"/>
            <family val="2"/>
          </rPr>
          <t>If this highlights as an error, consider upsizing the Tether size for better ribbon utilization</t>
        </r>
      </text>
    </comment>
    <comment ref="C691" authorId="1" shapeId="0">
      <text>
        <r>
          <rPr>
            <b/>
            <sz val="9"/>
            <color indexed="81"/>
            <rFont val="Tahoma"/>
            <family val="2"/>
          </rPr>
          <t>DBL REV requires TWO rows!
TPL REV requires THREE rows!
QD REV requires FOUR rows!</t>
        </r>
      </text>
    </comment>
    <comment ref="J691" authorId="1" shapeId="0">
      <text>
        <r>
          <rPr>
            <b/>
            <sz val="9"/>
            <color indexed="81"/>
            <rFont val="Tahoma"/>
            <family val="2"/>
          </rPr>
          <t>If this highlights as an error, consider upsizing the Tether size for better ribbon utilization</t>
        </r>
      </text>
    </comment>
    <comment ref="C692" authorId="1" shapeId="0">
      <text>
        <r>
          <rPr>
            <b/>
            <sz val="9"/>
            <color indexed="81"/>
            <rFont val="Tahoma"/>
            <family val="2"/>
          </rPr>
          <t>DBL REV requires TWO rows!
TPL REV requires THREE rows!
QD REV requires FOUR rows!</t>
        </r>
      </text>
    </comment>
    <comment ref="J692" authorId="1" shapeId="0">
      <text>
        <r>
          <rPr>
            <b/>
            <sz val="9"/>
            <color indexed="81"/>
            <rFont val="Tahoma"/>
            <family val="2"/>
          </rPr>
          <t>If this highlights as an error, consider upsizing the Tether size for better ribbon utilization</t>
        </r>
      </text>
    </comment>
    <comment ref="C693" authorId="1" shapeId="0">
      <text>
        <r>
          <rPr>
            <b/>
            <sz val="9"/>
            <color indexed="81"/>
            <rFont val="Tahoma"/>
            <family val="2"/>
          </rPr>
          <t>DBL REV requires TWO rows!
TPL REV requires THREE rows!
QD REV requires FOUR rows!</t>
        </r>
      </text>
    </comment>
    <comment ref="J693" authorId="1" shapeId="0">
      <text>
        <r>
          <rPr>
            <b/>
            <sz val="9"/>
            <color indexed="81"/>
            <rFont val="Tahoma"/>
            <family val="2"/>
          </rPr>
          <t>If this highlights as an error, consider upsizing the Tether size for better ribbon utilization</t>
        </r>
      </text>
    </comment>
    <comment ref="C694" authorId="1" shapeId="0">
      <text>
        <r>
          <rPr>
            <b/>
            <sz val="9"/>
            <color indexed="81"/>
            <rFont val="Tahoma"/>
            <family val="2"/>
          </rPr>
          <t>DBL REV requires TWO rows!
TPL REV requires THREE rows!
QD REV requires FOUR rows!</t>
        </r>
      </text>
    </comment>
    <comment ref="J694" authorId="1" shapeId="0">
      <text>
        <r>
          <rPr>
            <b/>
            <sz val="9"/>
            <color indexed="81"/>
            <rFont val="Tahoma"/>
            <family val="2"/>
          </rPr>
          <t>If this highlights as an error, consider upsizing the Tether size for better ribbon utilization</t>
        </r>
      </text>
    </comment>
    <comment ref="C695" authorId="1" shapeId="0">
      <text>
        <r>
          <rPr>
            <b/>
            <sz val="9"/>
            <color indexed="81"/>
            <rFont val="Tahoma"/>
            <family val="2"/>
          </rPr>
          <t>DBL REV requires TWO rows!
TPL REV requires THREE rows!
QD REV requires FOUR rows!</t>
        </r>
      </text>
    </comment>
    <comment ref="J695" authorId="1" shapeId="0">
      <text>
        <r>
          <rPr>
            <b/>
            <sz val="9"/>
            <color indexed="81"/>
            <rFont val="Tahoma"/>
            <family val="2"/>
          </rPr>
          <t>If this highlights as an error, consider upsizing the Tether size for better ribbon utilization</t>
        </r>
      </text>
    </comment>
    <comment ref="C696" authorId="1" shapeId="0">
      <text>
        <r>
          <rPr>
            <b/>
            <sz val="9"/>
            <color indexed="81"/>
            <rFont val="Tahoma"/>
            <family val="2"/>
          </rPr>
          <t>DBL REV requires TWO rows!
TPL REV requires THREE rows!
QD REV requires FOUR rows!</t>
        </r>
      </text>
    </comment>
    <comment ref="J696" authorId="1" shapeId="0">
      <text>
        <r>
          <rPr>
            <b/>
            <sz val="9"/>
            <color indexed="81"/>
            <rFont val="Tahoma"/>
            <family val="2"/>
          </rPr>
          <t>If this highlights as an error, consider upsizing the Tether size for better ribbon utilization</t>
        </r>
      </text>
    </comment>
    <comment ref="C697" authorId="1" shapeId="0">
      <text>
        <r>
          <rPr>
            <b/>
            <sz val="9"/>
            <color indexed="81"/>
            <rFont val="Tahoma"/>
            <family val="2"/>
          </rPr>
          <t>DBL REV requires TWO rows!
TPL REV requires THREE rows!
QD REV requires FOUR rows!</t>
        </r>
      </text>
    </comment>
    <comment ref="J697" authorId="1" shapeId="0">
      <text>
        <r>
          <rPr>
            <b/>
            <sz val="9"/>
            <color indexed="81"/>
            <rFont val="Tahoma"/>
            <family val="2"/>
          </rPr>
          <t>If this highlights as an error, consider upsizing the Tether size for better ribbon utilization</t>
        </r>
      </text>
    </comment>
    <comment ref="B70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text>
        <r>
          <rPr>
            <b/>
            <sz val="8"/>
            <color indexed="81"/>
            <rFont val="Tahoma"/>
            <family val="2"/>
          </rPr>
          <t>This will be added to Planning Load Block A for TOTAL</t>
        </r>
        <r>
          <rPr>
            <sz val="8"/>
            <color indexed="81"/>
            <rFont val="Tahoma"/>
            <family val="2"/>
          </rPr>
          <t xml:space="preserve">
</t>
        </r>
      </text>
    </comment>
    <comment ref="J703" authorId="0" shapeId="0">
      <text>
        <r>
          <rPr>
            <b/>
            <sz val="8"/>
            <color indexed="81"/>
            <rFont val="Tahoma"/>
            <family val="2"/>
          </rPr>
          <t>This is the PON OUT count that is not assigned in this cable reel.</t>
        </r>
        <r>
          <rPr>
            <sz val="8"/>
            <color indexed="81"/>
            <rFont val="Tahoma"/>
            <family val="2"/>
          </rPr>
          <t xml:space="preserve">
</t>
        </r>
      </text>
    </comment>
    <comment ref="P703" authorId="1" shapeId="0">
      <text>
        <r>
          <rPr>
            <b/>
            <sz val="9"/>
            <color indexed="81"/>
            <rFont val="Tahoma"/>
            <family val="2"/>
          </rPr>
          <t>REMEMBER: 2-Fbr Tethers are NOT available for RPX CABLE!</t>
        </r>
      </text>
    </comment>
    <comment ref="Q703" authorId="1" shapeId="0">
      <text>
        <r>
          <rPr>
            <b/>
            <sz val="9"/>
            <color indexed="81"/>
            <rFont val="Tahoma"/>
            <family val="2"/>
          </rPr>
          <t>REMEMBER: 2-Fbr Tethers are NOT available for RPX CABLE!</t>
        </r>
      </text>
    </comment>
    <comment ref="S703" authorId="1" shapeId="0">
      <text>
        <r>
          <rPr>
            <b/>
            <sz val="9"/>
            <color indexed="81"/>
            <rFont val="Tahoma"/>
            <family val="2"/>
          </rPr>
          <t>REMEMBER: 2-Fbr Tethers are NOT available for RPX CABLE!</t>
        </r>
      </text>
    </comment>
    <comment ref="T703" authorId="1" shapeId="0">
      <text>
        <r>
          <rPr>
            <b/>
            <sz val="9"/>
            <color indexed="81"/>
            <rFont val="Tahoma"/>
            <family val="2"/>
          </rPr>
          <t>REMEMBER: 2-Fbr Tethers are NOT available for RPX CABLE!</t>
        </r>
      </text>
    </comment>
    <comment ref="B70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text>
        <r>
          <rPr>
            <b/>
            <sz val="8"/>
            <color indexed="81"/>
            <rFont val="Tahoma"/>
            <family val="2"/>
          </rPr>
          <t>Make sure you add this number to "TAT FIBERS ASSIGNED" for the total required in the Load Block on the prints.</t>
        </r>
      </text>
    </comment>
    <comment ref="G704" authorId="0" shapeId="0">
      <text>
        <r>
          <rPr>
            <b/>
            <sz val="8"/>
            <color indexed="81"/>
            <rFont val="Tahoma"/>
            <family val="2"/>
          </rPr>
          <t>Includes "DEAD" Count (No PON count assigned)</t>
        </r>
      </text>
    </comment>
    <comment ref="I70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text>
        <r>
          <rPr>
            <b/>
            <sz val="9"/>
            <color indexed="81"/>
            <rFont val="Tahoma"/>
            <family val="2"/>
          </rPr>
          <t>REMEMBER: 6-Fbr Tethers are NOT available for RPX CABLE!</t>
        </r>
      </text>
    </comment>
    <comment ref="Q705" authorId="1" shapeId="0">
      <text>
        <r>
          <rPr>
            <b/>
            <sz val="9"/>
            <color indexed="81"/>
            <rFont val="Tahoma"/>
            <family val="2"/>
          </rPr>
          <t>REMEMBER: 6-Fbr Tethers are NOT available for RPX CABLE!</t>
        </r>
      </text>
    </comment>
    <comment ref="S705" authorId="1" shapeId="0">
      <text>
        <r>
          <rPr>
            <b/>
            <sz val="9"/>
            <color indexed="81"/>
            <rFont val="Tahoma"/>
            <family val="2"/>
          </rPr>
          <t>REMEMBER: 6-Fbr Tethers are NOT available for RPX CABLE!</t>
        </r>
      </text>
    </comment>
    <comment ref="T705" authorId="1" shapeId="0">
      <text>
        <r>
          <rPr>
            <b/>
            <sz val="9"/>
            <color indexed="81"/>
            <rFont val="Tahoma"/>
            <family val="2"/>
          </rPr>
          <t>REMEMBER: 6-Fbr Tethers are NOT available for AERIAL CABLE!</t>
        </r>
      </text>
    </comment>
    <comment ref="B70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text>
        <r>
          <rPr>
            <b/>
            <sz val="8"/>
            <color indexed="81"/>
            <rFont val="Tahoma"/>
            <family val="2"/>
          </rPr>
          <t>These are "manufacturing rules" and general warnings</t>
        </r>
        <r>
          <rPr>
            <sz val="8"/>
            <color indexed="81"/>
            <rFont val="Tahoma"/>
            <family val="2"/>
          </rPr>
          <t xml:space="preserve">
</t>
        </r>
      </text>
    </comment>
    <comment ref="B70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text>
        <r>
          <rPr>
            <b/>
            <sz val="8"/>
            <color indexed="81"/>
            <rFont val="Tahoma"/>
            <family val="2"/>
          </rPr>
          <t>This number is a sum of TOTAL PLANNED plus the ASSIGNED TO TETHERS</t>
        </r>
        <r>
          <rPr>
            <sz val="8"/>
            <color indexed="81"/>
            <rFont val="Tahoma"/>
            <family val="2"/>
          </rPr>
          <t xml:space="preserve">
</t>
        </r>
      </text>
    </comment>
    <comment ref="Z711" authorId="0" shapeId="0">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text>
        <r>
          <rPr>
            <b/>
            <sz val="8"/>
            <color indexed="81"/>
            <rFont val="Tahoma"/>
            <family val="2"/>
          </rPr>
          <t>Counting from High count Backwards- this is Fiber Strand 133</t>
        </r>
      </text>
    </comment>
    <comment ref="AB711" authorId="0" shapeId="0">
      <text>
        <r>
          <rPr>
            <b/>
            <sz val="8"/>
            <color indexed="81"/>
            <rFont val="Tahoma"/>
            <family val="2"/>
          </rPr>
          <t>Counting from High count Backwards- this is Fiber Strand 144</t>
        </r>
        <r>
          <rPr>
            <sz val="8"/>
            <color indexed="81"/>
            <rFont val="Tahoma"/>
            <family val="2"/>
          </rPr>
          <t xml:space="preserve">
</t>
        </r>
      </text>
    </comment>
    <comment ref="C712" authorId="0" shapeId="0">
      <text>
        <r>
          <rPr>
            <b/>
            <sz val="8"/>
            <color indexed="81"/>
            <rFont val="Tahoma"/>
            <family val="2"/>
          </rPr>
          <t xml:space="preserve">Select if this tether will be used to feed a CFST or a lateral cable. </t>
        </r>
      </text>
    </comment>
    <comment ref="D712" authorId="0" shapeId="0">
      <text>
        <r>
          <rPr>
            <b/>
            <sz val="8"/>
            <color indexed="81"/>
            <rFont val="Tahoma"/>
            <family val="2"/>
          </rPr>
          <t>Note the Terminal Address to keep your locations straight</t>
        </r>
        <r>
          <rPr>
            <sz val="8"/>
            <color indexed="81"/>
            <rFont val="Tahoma"/>
            <family val="2"/>
          </rPr>
          <t xml:space="preserve">
</t>
        </r>
      </text>
    </comment>
    <comment ref="E712" authorId="0" shapeId="0">
      <text>
        <r>
          <rPr>
            <b/>
            <sz val="9"/>
            <color indexed="81"/>
            <rFont val="Calibri"/>
            <family val="2"/>
            <scheme val="minor"/>
          </rPr>
          <t>Pick the Tether Size for the location</t>
        </r>
        <r>
          <rPr>
            <sz val="8"/>
            <color indexed="81"/>
            <rFont val="Tahoma"/>
            <family val="2"/>
          </rPr>
          <t xml:space="preserve">
</t>
        </r>
      </text>
    </comment>
    <comment ref="F712" authorId="2" shapeId="0">
      <text>
        <r>
          <rPr>
            <b/>
            <sz val="9"/>
            <color indexed="81"/>
            <rFont val="Tahoma"/>
            <family val="2"/>
          </rPr>
          <t>Identify TCF or FST location.
Leave blank if tether is NOT for a TCF or FST!</t>
        </r>
      </text>
    </comment>
    <comment ref="H712" authorId="0" shapeId="0">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text>
        <r>
          <rPr>
            <b/>
            <sz val="8"/>
            <color indexed="81"/>
            <rFont val="Tahoma"/>
            <family val="2"/>
          </rPr>
          <t>If any of these numbers are negative, check your PON count and Cable size</t>
        </r>
      </text>
    </comment>
    <comment ref="J71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text>
        <r>
          <rPr>
            <b/>
            <sz val="9"/>
            <color indexed="81"/>
            <rFont val="Tahoma"/>
            <family val="2"/>
          </rPr>
          <t>Leave blank if using 10' Terminal Tail
Enter Tail length if greater than 10'</t>
        </r>
      </text>
    </comment>
    <comment ref="M712" authorId="0" shapeId="0">
      <text>
        <r>
          <rPr>
            <b/>
            <sz val="8"/>
            <color indexed="81"/>
            <rFont val="Tahoma"/>
            <family val="2"/>
          </rPr>
          <t>Make design notes such as slack coils, realingment loops,  or location notes</t>
        </r>
      </text>
    </comment>
    <comment ref="Z712" authorId="0" shapeId="0">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text>
        <r>
          <rPr>
            <b/>
            <sz val="8"/>
            <color indexed="81"/>
            <rFont val="Tahoma"/>
            <family val="2"/>
          </rPr>
          <t xml:space="preserve">Counting from High count Backwards- this is Fiber Strand 145
</t>
        </r>
      </text>
    </comment>
    <comment ref="AB712" authorId="0" shapeId="0">
      <text>
        <r>
          <rPr>
            <b/>
            <sz val="8"/>
            <color indexed="81"/>
            <rFont val="Tahoma"/>
            <family val="2"/>
          </rPr>
          <t>Counting from High count Backwards- this is Fiber Strand 156</t>
        </r>
      </text>
    </comment>
    <comment ref="J714" authorId="1" shapeId="0">
      <text>
        <r>
          <rPr>
            <b/>
            <sz val="9"/>
            <color indexed="81"/>
            <rFont val="Tahoma"/>
            <family val="2"/>
          </rPr>
          <t>If this highlights as an error, consider upsizing the Tether size for better ribbon utilization</t>
        </r>
      </text>
    </comment>
    <comment ref="J715" authorId="1" shapeId="0">
      <text>
        <r>
          <rPr>
            <b/>
            <sz val="9"/>
            <color indexed="81"/>
            <rFont val="Tahoma"/>
            <family val="2"/>
          </rPr>
          <t>If this highlights as an error, consider upsizing the Tether size for better ribbon utilization</t>
        </r>
      </text>
    </comment>
    <comment ref="J716" authorId="1" shapeId="0">
      <text>
        <r>
          <rPr>
            <b/>
            <sz val="9"/>
            <color indexed="81"/>
            <rFont val="Tahoma"/>
            <family val="2"/>
          </rPr>
          <t>If this highlights as an error, consider upsizing the Tether size for better ribbon utilization</t>
        </r>
      </text>
    </comment>
    <comment ref="J717" authorId="1" shapeId="0">
      <text>
        <r>
          <rPr>
            <b/>
            <sz val="9"/>
            <color indexed="81"/>
            <rFont val="Tahoma"/>
            <family val="2"/>
          </rPr>
          <t>If this highlights as an error, consider upsizing the Tether size for better ribbon utilization</t>
        </r>
      </text>
    </comment>
    <comment ref="J718" authorId="1" shapeId="0">
      <text>
        <r>
          <rPr>
            <b/>
            <sz val="9"/>
            <color indexed="81"/>
            <rFont val="Tahoma"/>
            <family val="2"/>
          </rPr>
          <t>If this highlights as an error, consider upsizing the Tether size for better ribbon utilization</t>
        </r>
      </text>
    </comment>
    <comment ref="J719" authorId="1" shapeId="0">
      <text>
        <r>
          <rPr>
            <b/>
            <sz val="9"/>
            <color indexed="81"/>
            <rFont val="Tahoma"/>
            <family val="2"/>
          </rPr>
          <t>If this highlights as an error, consider upsizing the Tether size for better ribbon utilization</t>
        </r>
      </text>
    </comment>
    <comment ref="J720" authorId="1" shapeId="0">
      <text>
        <r>
          <rPr>
            <b/>
            <sz val="9"/>
            <color indexed="81"/>
            <rFont val="Tahoma"/>
            <family val="2"/>
          </rPr>
          <t>If this highlights as an error, consider upsizing the Tether size for better ribbon utilization</t>
        </r>
      </text>
    </comment>
    <comment ref="J721" authorId="1" shapeId="0">
      <text>
        <r>
          <rPr>
            <b/>
            <sz val="9"/>
            <color indexed="81"/>
            <rFont val="Tahoma"/>
            <family val="2"/>
          </rPr>
          <t>If this highlights as an error, consider upsizing the Tether size for better ribbon utilization</t>
        </r>
      </text>
    </comment>
    <comment ref="J722" authorId="1" shapeId="0">
      <text>
        <r>
          <rPr>
            <b/>
            <sz val="9"/>
            <color indexed="81"/>
            <rFont val="Tahoma"/>
            <family val="2"/>
          </rPr>
          <t>If this highlights as an error, consider upsizing the Tether size for better ribbon utilization</t>
        </r>
      </text>
    </comment>
    <comment ref="J723" authorId="1" shapeId="0">
      <text>
        <r>
          <rPr>
            <b/>
            <sz val="9"/>
            <color indexed="81"/>
            <rFont val="Tahoma"/>
            <family val="2"/>
          </rPr>
          <t>If this highlights as an error, consider upsizing the Tether size for better ribbon utilization</t>
        </r>
      </text>
    </comment>
    <comment ref="J724" authorId="1" shapeId="0">
      <text>
        <r>
          <rPr>
            <b/>
            <sz val="9"/>
            <color indexed="81"/>
            <rFont val="Tahoma"/>
            <family val="2"/>
          </rPr>
          <t>If this highlights as an error, consider upsizing the Tether size for better ribbon utilization</t>
        </r>
      </text>
    </comment>
    <comment ref="J725" authorId="1" shapeId="0">
      <text>
        <r>
          <rPr>
            <b/>
            <sz val="9"/>
            <color indexed="81"/>
            <rFont val="Tahoma"/>
            <family val="2"/>
          </rPr>
          <t>If this highlights as an error, consider upsizing the Tether size for better ribbon utilization</t>
        </r>
      </text>
    </comment>
    <comment ref="J726" authorId="1" shapeId="0">
      <text>
        <r>
          <rPr>
            <b/>
            <sz val="9"/>
            <color indexed="81"/>
            <rFont val="Tahoma"/>
            <family val="2"/>
          </rPr>
          <t>If this highlights as an error, consider upsizing the Tether size for better ribbon utilization</t>
        </r>
      </text>
    </comment>
    <comment ref="J727" authorId="1" shapeId="0">
      <text>
        <r>
          <rPr>
            <b/>
            <sz val="9"/>
            <color indexed="81"/>
            <rFont val="Tahoma"/>
            <family val="2"/>
          </rPr>
          <t>If this highlights as an error, consider upsizing the Tether size for better ribbon utilization</t>
        </r>
      </text>
    </comment>
    <comment ref="J728" authorId="1" shapeId="0">
      <text>
        <r>
          <rPr>
            <b/>
            <sz val="9"/>
            <color indexed="81"/>
            <rFont val="Tahoma"/>
            <family val="2"/>
          </rPr>
          <t>If this highlights as an error, consider upsizing the Tether size for better ribbon utilization</t>
        </r>
      </text>
    </comment>
    <comment ref="J729" authorId="1" shapeId="0">
      <text>
        <r>
          <rPr>
            <b/>
            <sz val="9"/>
            <color indexed="81"/>
            <rFont val="Tahoma"/>
            <family val="2"/>
          </rPr>
          <t>If this highlights as an error, consider upsizing the Tether size for better ribbon utilization</t>
        </r>
      </text>
    </comment>
    <comment ref="J730" authorId="1" shapeId="0">
      <text>
        <r>
          <rPr>
            <b/>
            <sz val="9"/>
            <color indexed="81"/>
            <rFont val="Tahoma"/>
            <family val="2"/>
          </rPr>
          <t>If this highlights as an error, consider upsizing the Tether size for better ribbon utilization</t>
        </r>
      </text>
    </comment>
    <comment ref="J731" authorId="1" shapeId="0">
      <text>
        <r>
          <rPr>
            <b/>
            <sz val="9"/>
            <color indexed="81"/>
            <rFont val="Tahoma"/>
            <family val="2"/>
          </rPr>
          <t>If this highlights as an error, consider upsizing the Tether size for better ribbon utilization</t>
        </r>
      </text>
    </comment>
    <comment ref="C732" authorId="1" shapeId="0">
      <text>
        <r>
          <rPr>
            <b/>
            <sz val="9"/>
            <color indexed="81"/>
            <rFont val="Tahoma"/>
            <family val="2"/>
          </rPr>
          <t>DBL REV requires TWO rows!
TPL REV requires THREE rows!
QD REV requires FOUR rows!</t>
        </r>
      </text>
    </comment>
    <comment ref="J732" authorId="1" shapeId="0">
      <text>
        <r>
          <rPr>
            <b/>
            <sz val="9"/>
            <color indexed="81"/>
            <rFont val="Tahoma"/>
            <family val="2"/>
          </rPr>
          <t>If this highlights as an error, consider upsizing the Tether size for better ribbon utilization</t>
        </r>
      </text>
    </comment>
    <comment ref="C733" authorId="1" shapeId="0">
      <text>
        <r>
          <rPr>
            <b/>
            <sz val="9"/>
            <color indexed="81"/>
            <rFont val="Tahoma"/>
            <family val="2"/>
          </rPr>
          <t>DBL REV requires TWO rows!
TPL REV requires THREE rows!
QD REV requires FOUR rows!</t>
        </r>
      </text>
    </comment>
    <comment ref="J733" authorId="1" shapeId="0">
      <text>
        <r>
          <rPr>
            <b/>
            <sz val="9"/>
            <color indexed="81"/>
            <rFont val="Tahoma"/>
            <family val="2"/>
          </rPr>
          <t>If this highlights as an error, consider upsizing the Tether size for better ribbon utilization</t>
        </r>
      </text>
    </comment>
    <comment ref="C734" authorId="1" shapeId="0">
      <text>
        <r>
          <rPr>
            <b/>
            <sz val="9"/>
            <color indexed="81"/>
            <rFont val="Tahoma"/>
            <family val="2"/>
          </rPr>
          <t>DBL REV requires TWO rows!
TPL REV requires THREE rows!
QD REV requires FOUR rows!</t>
        </r>
      </text>
    </comment>
    <comment ref="J734" authorId="1" shapeId="0">
      <text>
        <r>
          <rPr>
            <b/>
            <sz val="9"/>
            <color indexed="81"/>
            <rFont val="Tahoma"/>
            <family val="2"/>
          </rPr>
          <t>If this highlights as an error, consider upsizing the Tether size for better ribbon utilization</t>
        </r>
      </text>
    </comment>
    <comment ref="C735" authorId="1" shapeId="0">
      <text>
        <r>
          <rPr>
            <b/>
            <sz val="9"/>
            <color indexed="81"/>
            <rFont val="Tahoma"/>
            <family val="2"/>
          </rPr>
          <t>DBL REV requires TWO rows!
TPL REV requires THREE rows!
QD REV requires FOUR rows!</t>
        </r>
      </text>
    </comment>
    <comment ref="J735" authorId="1" shapeId="0">
      <text>
        <r>
          <rPr>
            <b/>
            <sz val="9"/>
            <color indexed="81"/>
            <rFont val="Tahoma"/>
            <family val="2"/>
          </rPr>
          <t>If this highlights as an error, consider upsizing the Tether size for better ribbon utilization</t>
        </r>
      </text>
    </comment>
    <comment ref="C736" authorId="1" shapeId="0">
      <text>
        <r>
          <rPr>
            <b/>
            <sz val="9"/>
            <color indexed="81"/>
            <rFont val="Tahoma"/>
            <family val="2"/>
          </rPr>
          <t>DBL REV requires TWO rows!
TPL REV requires THREE rows!
QD REV requires FOUR rows!</t>
        </r>
      </text>
    </comment>
    <comment ref="J736" authorId="1" shapeId="0">
      <text>
        <r>
          <rPr>
            <b/>
            <sz val="9"/>
            <color indexed="81"/>
            <rFont val="Tahoma"/>
            <family val="2"/>
          </rPr>
          <t>If this highlights as an error, consider upsizing the Tether size for better ribbon utilization</t>
        </r>
      </text>
    </comment>
    <comment ref="C737" authorId="1" shapeId="0">
      <text>
        <r>
          <rPr>
            <b/>
            <sz val="9"/>
            <color indexed="81"/>
            <rFont val="Tahoma"/>
            <family val="2"/>
          </rPr>
          <t>DBL REV requires TWO rows!
TPL REV requires THREE rows!
QD REV requires FOUR rows!</t>
        </r>
      </text>
    </comment>
    <comment ref="J737" authorId="1" shapeId="0">
      <text>
        <r>
          <rPr>
            <b/>
            <sz val="9"/>
            <color indexed="81"/>
            <rFont val="Tahoma"/>
            <family val="2"/>
          </rPr>
          <t>If this highlights as an error, consider upsizing the Tether size for better ribbon utilization</t>
        </r>
      </text>
    </comment>
    <comment ref="C738" authorId="1" shapeId="0">
      <text>
        <r>
          <rPr>
            <b/>
            <sz val="9"/>
            <color indexed="81"/>
            <rFont val="Tahoma"/>
            <family val="2"/>
          </rPr>
          <t>DBL REV requires TWO rows!
TPL REV requires THREE rows!
QD REV requires FOUR rows!</t>
        </r>
      </text>
    </comment>
    <comment ref="J738" authorId="1" shapeId="0">
      <text>
        <r>
          <rPr>
            <b/>
            <sz val="9"/>
            <color indexed="81"/>
            <rFont val="Tahoma"/>
            <family val="2"/>
          </rPr>
          <t>If this highlights as an error, consider upsizing the Tether size for better ribbon utilization</t>
        </r>
      </text>
    </comment>
    <comment ref="B74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text>
        <r>
          <rPr>
            <b/>
            <sz val="8"/>
            <color indexed="81"/>
            <rFont val="Tahoma"/>
            <family val="2"/>
          </rPr>
          <t>This will be added to Planning Load Block A for TOTAL</t>
        </r>
        <r>
          <rPr>
            <sz val="8"/>
            <color indexed="81"/>
            <rFont val="Tahoma"/>
            <family val="2"/>
          </rPr>
          <t xml:space="preserve">
</t>
        </r>
      </text>
    </comment>
    <comment ref="J744" authorId="0" shapeId="0">
      <text>
        <r>
          <rPr>
            <b/>
            <sz val="8"/>
            <color indexed="81"/>
            <rFont val="Tahoma"/>
            <family val="2"/>
          </rPr>
          <t>This is the PON OUT count that is not assigned in this cable reel.</t>
        </r>
        <r>
          <rPr>
            <sz val="8"/>
            <color indexed="81"/>
            <rFont val="Tahoma"/>
            <family val="2"/>
          </rPr>
          <t xml:space="preserve">
</t>
        </r>
      </text>
    </comment>
    <comment ref="P744" authorId="1" shapeId="0">
      <text>
        <r>
          <rPr>
            <b/>
            <sz val="9"/>
            <color indexed="81"/>
            <rFont val="Tahoma"/>
            <family val="2"/>
          </rPr>
          <t>REMEMBER: 2-Fbr Tethers are NOT available for RPX CABLE!</t>
        </r>
      </text>
    </comment>
    <comment ref="Q744" authorId="1" shapeId="0">
      <text>
        <r>
          <rPr>
            <b/>
            <sz val="9"/>
            <color indexed="81"/>
            <rFont val="Tahoma"/>
            <family val="2"/>
          </rPr>
          <t>REMEMBER: 2-Fbr Tethers are NOT available for RPX CABLE!</t>
        </r>
      </text>
    </comment>
    <comment ref="S744" authorId="1" shapeId="0">
      <text>
        <r>
          <rPr>
            <b/>
            <sz val="9"/>
            <color indexed="81"/>
            <rFont val="Tahoma"/>
            <family val="2"/>
          </rPr>
          <t>REMEMBER: 2-Fbr Tethers are NOT available for RPX CABLE!</t>
        </r>
      </text>
    </comment>
    <comment ref="T744" authorId="1" shapeId="0">
      <text>
        <r>
          <rPr>
            <b/>
            <sz val="9"/>
            <color indexed="81"/>
            <rFont val="Tahoma"/>
            <family val="2"/>
          </rPr>
          <t>REMEMBER: 2-Fbr Tethers are NOT available for RPX CABLE!</t>
        </r>
      </text>
    </comment>
    <comment ref="B74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text>
        <r>
          <rPr>
            <b/>
            <sz val="8"/>
            <color indexed="81"/>
            <rFont val="Tahoma"/>
            <family val="2"/>
          </rPr>
          <t>Make sure you add this number to "TAT FIBERS ASSIGNED" for the total required in the Load Block on the prints.</t>
        </r>
      </text>
    </comment>
    <comment ref="G745" authorId="0" shapeId="0">
      <text>
        <r>
          <rPr>
            <b/>
            <sz val="8"/>
            <color indexed="81"/>
            <rFont val="Tahoma"/>
            <family val="2"/>
          </rPr>
          <t>Includes "DEAD" Count (No PON count assigned)</t>
        </r>
      </text>
    </comment>
    <comment ref="I74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text>
        <r>
          <rPr>
            <b/>
            <sz val="9"/>
            <color indexed="81"/>
            <rFont val="Tahoma"/>
            <family val="2"/>
          </rPr>
          <t>REMEMBER: 6-Fbr Tethers are NOT available for RPX CABLE!</t>
        </r>
      </text>
    </comment>
    <comment ref="Q746" authorId="1" shapeId="0">
      <text>
        <r>
          <rPr>
            <b/>
            <sz val="9"/>
            <color indexed="81"/>
            <rFont val="Tahoma"/>
            <family val="2"/>
          </rPr>
          <t>REMEMBER: 6-Fbr Tethers are NOT available for RPX CABLE!</t>
        </r>
      </text>
    </comment>
    <comment ref="S746" authorId="1" shapeId="0">
      <text>
        <r>
          <rPr>
            <b/>
            <sz val="9"/>
            <color indexed="81"/>
            <rFont val="Tahoma"/>
            <family val="2"/>
          </rPr>
          <t>REMEMBER: 6-Fbr Tethers are NOT available for RPX CABLE!</t>
        </r>
      </text>
    </comment>
    <comment ref="T746" authorId="1" shapeId="0">
      <text>
        <r>
          <rPr>
            <b/>
            <sz val="9"/>
            <color indexed="81"/>
            <rFont val="Tahoma"/>
            <family val="2"/>
          </rPr>
          <t>REMEMBER: 6-Fbr Tethers are NOT available for AERIAL CABLE!</t>
        </r>
      </text>
    </comment>
    <comment ref="B74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text>
        <r>
          <rPr>
            <b/>
            <sz val="8"/>
            <color indexed="81"/>
            <rFont val="Tahoma"/>
            <family val="2"/>
          </rPr>
          <t>These are "manufacturing rules" and general warnings</t>
        </r>
        <r>
          <rPr>
            <sz val="8"/>
            <color indexed="81"/>
            <rFont val="Tahoma"/>
            <family val="2"/>
          </rPr>
          <t xml:space="preserve">
</t>
        </r>
      </text>
    </comment>
    <comment ref="B75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text>
        <r>
          <rPr>
            <b/>
            <sz val="8"/>
            <color indexed="81"/>
            <rFont val="Tahoma"/>
            <family val="2"/>
          </rPr>
          <t>This number is a sum of TOTAL PLANNED plus the ASSIGNED TO TETHERS</t>
        </r>
        <r>
          <rPr>
            <sz val="8"/>
            <color indexed="81"/>
            <rFont val="Tahoma"/>
            <family val="2"/>
          </rPr>
          <t xml:space="preserve">
</t>
        </r>
      </text>
    </comment>
    <comment ref="Z752" authorId="0" shapeId="0">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text>
        <r>
          <rPr>
            <b/>
            <sz val="8"/>
            <color indexed="81"/>
            <rFont val="Tahoma"/>
            <family val="2"/>
          </rPr>
          <t>Counting from High count Backwards- this is Fiber Strand 133</t>
        </r>
      </text>
    </comment>
    <comment ref="AB752" authorId="0" shapeId="0">
      <text>
        <r>
          <rPr>
            <b/>
            <sz val="8"/>
            <color indexed="81"/>
            <rFont val="Tahoma"/>
            <family val="2"/>
          </rPr>
          <t>Counting from High count Backwards- this is Fiber Strand 144</t>
        </r>
        <r>
          <rPr>
            <sz val="8"/>
            <color indexed="81"/>
            <rFont val="Tahoma"/>
            <family val="2"/>
          </rPr>
          <t xml:space="preserve">
</t>
        </r>
      </text>
    </comment>
    <comment ref="C753" authorId="0" shapeId="0">
      <text>
        <r>
          <rPr>
            <b/>
            <sz val="8"/>
            <color indexed="81"/>
            <rFont val="Tahoma"/>
            <family val="2"/>
          </rPr>
          <t xml:space="preserve">Select if this tether will be used to feed a CFST or a lateral cable. </t>
        </r>
      </text>
    </comment>
    <comment ref="D753" authorId="0" shapeId="0">
      <text>
        <r>
          <rPr>
            <b/>
            <sz val="8"/>
            <color indexed="81"/>
            <rFont val="Tahoma"/>
            <family val="2"/>
          </rPr>
          <t>Note the Terminal Address to keep your locations straight</t>
        </r>
        <r>
          <rPr>
            <sz val="8"/>
            <color indexed="81"/>
            <rFont val="Tahoma"/>
            <family val="2"/>
          </rPr>
          <t xml:space="preserve">
</t>
        </r>
      </text>
    </comment>
    <comment ref="E753" authorId="0" shapeId="0">
      <text>
        <r>
          <rPr>
            <b/>
            <sz val="9"/>
            <color indexed="81"/>
            <rFont val="Calibri"/>
            <family val="2"/>
            <scheme val="minor"/>
          </rPr>
          <t>Pick the Tether Size for the location</t>
        </r>
        <r>
          <rPr>
            <sz val="8"/>
            <color indexed="81"/>
            <rFont val="Tahoma"/>
            <family val="2"/>
          </rPr>
          <t xml:space="preserve">
</t>
        </r>
      </text>
    </comment>
    <comment ref="F753" authorId="2" shapeId="0">
      <text>
        <r>
          <rPr>
            <b/>
            <sz val="9"/>
            <color indexed="81"/>
            <rFont val="Tahoma"/>
            <family val="2"/>
          </rPr>
          <t>Identify TCF or FST location.
Leave blank if tether is NOT for a TCF or FST!</t>
        </r>
      </text>
    </comment>
    <comment ref="H753" authorId="0" shapeId="0">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text>
        <r>
          <rPr>
            <b/>
            <sz val="8"/>
            <color indexed="81"/>
            <rFont val="Tahoma"/>
            <family val="2"/>
          </rPr>
          <t>If any of these numbers are negative, check your PON count and Cable size</t>
        </r>
      </text>
    </comment>
    <comment ref="J75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text>
        <r>
          <rPr>
            <b/>
            <sz val="9"/>
            <color indexed="81"/>
            <rFont val="Tahoma"/>
            <family val="2"/>
          </rPr>
          <t>Leave blank if using 10' Terminal Tail
Enter Tail length if greater than 10'</t>
        </r>
      </text>
    </comment>
    <comment ref="M753" authorId="0" shapeId="0">
      <text>
        <r>
          <rPr>
            <b/>
            <sz val="8"/>
            <color indexed="81"/>
            <rFont val="Tahoma"/>
            <family val="2"/>
          </rPr>
          <t>Make design notes such as slack coils, realingment loops,  or location notes</t>
        </r>
      </text>
    </comment>
    <comment ref="Z753" authorId="0" shapeId="0">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text>
        <r>
          <rPr>
            <b/>
            <sz val="8"/>
            <color indexed="81"/>
            <rFont val="Tahoma"/>
            <family val="2"/>
          </rPr>
          <t xml:space="preserve">Counting from High count Backwards- this is Fiber Strand 145
</t>
        </r>
      </text>
    </comment>
    <comment ref="AB753" authorId="0" shapeId="0">
      <text>
        <r>
          <rPr>
            <b/>
            <sz val="8"/>
            <color indexed="81"/>
            <rFont val="Tahoma"/>
            <family val="2"/>
          </rPr>
          <t>Counting from High count Backwards- this is Fiber Strand 156</t>
        </r>
      </text>
    </comment>
    <comment ref="J755" authorId="1" shapeId="0">
      <text>
        <r>
          <rPr>
            <b/>
            <sz val="9"/>
            <color indexed="81"/>
            <rFont val="Tahoma"/>
            <family val="2"/>
          </rPr>
          <t>If this highlights as an error, consider upsizing the Tether size for better ribbon utilization</t>
        </r>
      </text>
    </comment>
    <comment ref="J756" authorId="1" shapeId="0">
      <text>
        <r>
          <rPr>
            <b/>
            <sz val="9"/>
            <color indexed="81"/>
            <rFont val="Tahoma"/>
            <family val="2"/>
          </rPr>
          <t>If this highlights as an error, consider upsizing the Tether size for better ribbon utilization</t>
        </r>
      </text>
    </comment>
    <comment ref="J757" authorId="1" shapeId="0">
      <text>
        <r>
          <rPr>
            <b/>
            <sz val="9"/>
            <color indexed="81"/>
            <rFont val="Tahoma"/>
            <family val="2"/>
          </rPr>
          <t>If this highlights as an error, consider upsizing the Tether size for better ribbon utilization</t>
        </r>
      </text>
    </comment>
    <comment ref="J758" authorId="1" shapeId="0">
      <text>
        <r>
          <rPr>
            <b/>
            <sz val="9"/>
            <color indexed="81"/>
            <rFont val="Tahoma"/>
            <family val="2"/>
          </rPr>
          <t>If this highlights as an error, consider upsizing the Tether size for better ribbon utilization</t>
        </r>
      </text>
    </comment>
    <comment ref="J759" authorId="1" shapeId="0">
      <text>
        <r>
          <rPr>
            <b/>
            <sz val="9"/>
            <color indexed="81"/>
            <rFont val="Tahoma"/>
            <family val="2"/>
          </rPr>
          <t>If this highlights as an error, consider upsizing the Tether size for better ribbon utilization</t>
        </r>
      </text>
    </comment>
    <comment ref="J760" authorId="1" shapeId="0">
      <text>
        <r>
          <rPr>
            <b/>
            <sz val="9"/>
            <color indexed="81"/>
            <rFont val="Tahoma"/>
            <family val="2"/>
          </rPr>
          <t>If this highlights as an error, consider upsizing the Tether size for better ribbon utilization</t>
        </r>
      </text>
    </comment>
    <comment ref="J761" authorId="1" shapeId="0">
      <text>
        <r>
          <rPr>
            <b/>
            <sz val="9"/>
            <color indexed="81"/>
            <rFont val="Tahoma"/>
            <family val="2"/>
          </rPr>
          <t>If this highlights as an error, consider upsizing the Tether size for better ribbon utilization</t>
        </r>
      </text>
    </comment>
    <comment ref="J762" authorId="1" shapeId="0">
      <text>
        <r>
          <rPr>
            <b/>
            <sz val="9"/>
            <color indexed="81"/>
            <rFont val="Tahoma"/>
            <family val="2"/>
          </rPr>
          <t>If this highlights as an error, consider upsizing the Tether size for better ribbon utilization</t>
        </r>
      </text>
    </comment>
    <comment ref="J763" authorId="1" shapeId="0">
      <text>
        <r>
          <rPr>
            <b/>
            <sz val="9"/>
            <color indexed="81"/>
            <rFont val="Tahoma"/>
            <family val="2"/>
          </rPr>
          <t>If this highlights as an error, consider upsizing the Tether size for better ribbon utilization</t>
        </r>
      </text>
    </comment>
    <comment ref="J764" authorId="1" shapeId="0">
      <text>
        <r>
          <rPr>
            <b/>
            <sz val="9"/>
            <color indexed="81"/>
            <rFont val="Tahoma"/>
            <family val="2"/>
          </rPr>
          <t>If this highlights as an error, consider upsizing the Tether size for better ribbon utilization</t>
        </r>
      </text>
    </comment>
    <comment ref="J765" authorId="1" shapeId="0">
      <text>
        <r>
          <rPr>
            <b/>
            <sz val="9"/>
            <color indexed="81"/>
            <rFont val="Tahoma"/>
            <family val="2"/>
          </rPr>
          <t>If this highlights as an error, consider upsizing the Tether size for better ribbon utilization</t>
        </r>
      </text>
    </comment>
    <comment ref="J766" authorId="1" shapeId="0">
      <text>
        <r>
          <rPr>
            <b/>
            <sz val="9"/>
            <color indexed="81"/>
            <rFont val="Tahoma"/>
            <family val="2"/>
          </rPr>
          <t>If this highlights as an error, consider upsizing the Tether size for better ribbon utilization</t>
        </r>
      </text>
    </comment>
    <comment ref="J767" authorId="1" shapeId="0">
      <text>
        <r>
          <rPr>
            <b/>
            <sz val="9"/>
            <color indexed="81"/>
            <rFont val="Tahoma"/>
            <family val="2"/>
          </rPr>
          <t>If this highlights as an error, consider upsizing the Tether size for better ribbon utilization</t>
        </r>
      </text>
    </comment>
    <comment ref="J768" authorId="1" shapeId="0">
      <text>
        <r>
          <rPr>
            <b/>
            <sz val="9"/>
            <color indexed="81"/>
            <rFont val="Tahoma"/>
            <family val="2"/>
          </rPr>
          <t>If this highlights as an error, consider upsizing the Tether size for better ribbon utilization</t>
        </r>
      </text>
    </comment>
    <comment ref="J769" authorId="1" shapeId="0">
      <text>
        <r>
          <rPr>
            <b/>
            <sz val="9"/>
            <color indexed="81"/>
            <rFont val="Tahoma"/>
            <family val="2"/>
          </rPr>
          <t>If this highlights as an error, consider upsizing the Tether size for better ribbon utilization</t>
        </r>
      </text>
    </comment>
    <comment ref="J770" authorId="1" shapeId="0">
      <text>
        <r>
          <rPr>
            <b/>
            <sz val="9"/>
            <color indexed="81"/>
            <rFont val="Tahoma"/>
            <family val="2"/>
          </rPr>
          <t>If this highlights as an error, consider upsizing the Tether size for better ribbon utilization</t>
        </r>
      </text>
    </comment>
    <comment ref="J771" authorId="1" shapeId="0">
      <text>
        <r>
          <rPr>
            <b/>
            <sz val="9"/>
            <color indexed="81"/>
            <rFont val="Tahoma"/>
            <family val="2"/>
          </rPr>
          <t>If this highlights as an error, consider upsizing the Tether size for better ribbon utilization</t>
        </r>
      </text>
    </comment>
    <comment ref="J772" authorId="1" shapeId="0">
      <text>
        <r>
          <rPr>
            <b/>
            <sz val="9"/>
            <color indexed="81"/>
            <rFont val="Tahoma"/>
            <family val="2"/>
          </rPr>
          <t>If this highlights as an error, consider upsizing the Tether size for better ribbon utilization</t>
        </r>
      </text>
    </comment>
    <comment ref="C773" authorId="1" shapeId="0">
      <text>
        <r>
          <rPr>
            <b/>
            <sz val="9"/>
            <color indexed="81"/>
            <rFont val="Tahoma"/>
            <family val="2"/>
          </rPr>
          <t>DBL REV requires TWO rows!
TPL REV requires THREE rows!
QD REV requires FOUR rows!</t>
        </r>
      </text>
    </comment>
    <comment ref="J773" authorId="1" shapeId="0">
      <text>
        <r>
          <rPr>
            <b/>
            <sz val="9"/>
            <color indexed="81"/>
            <rFont val="Tahoma"/>
            <family val="2"/>
          </rPr>
          <t>If this highlights as an error, consider upsizing the Tether size for better ribbon utilization</t>
        </r>
      </text>
    </comment>
    <comment ref="C774" authorId="1" shapeId="0">
      <text>
        <r>
          <rPr>
            <b/>
            <sz val="9"/>
            <color indexed="81"/>
            <rFont val="Tahoma"/>
            <family val="2"/>
          </rPr>
          <t>DBL REV requires TWO rows!
TPL REV requires THREE rows!
QD REV requires FOUR rows!</t>
        </r>
      </text>
    </comment>
    <comment ref="J774" authorId="1" shapeId="0">
      <text>
        <r>
          <rPr>
            <b/>
            <sz val="9"/>
            <color indexed="81"/>
            <rFont val="Tahoma"/>
            <family val="2"/>
          </rPr>
          <t>If this highlights as an error, consider upsizing the Tether size for better ribbon utilization</t>
        </r>
      </text>
    </comment>
    <comment ref="C775" authorId="1" shapeId="0">
      <text>
        <r>
          <rPr>
            <b/>
            <sz val="9"/>
            <color indexed="81"/>
            <rFont val="Tahoma"/>
            <family val="2"/>
          </rPr>
          <t>DBL REV requires TWO rows!
TPL REV requires THREE rows!
QD REV requires FOUR rows!</t>
        </r>
      </text>
    </comment>
    <comment ref="J775" authorId="1" shapeId="0">
      <text>
        <r>
          <rPr>
            <b/>
            <sz val="9"/>
            <color indexed="81"/>
            <rFont val="Tahoma"/>
            <family val="2"/>
          </rPr>
          <t>If this highlights as an error, consider upsizing the Tether size for better ribbon utilization</t>
        </r>
      </text>
    </comment>
    <comment ref="C776" authorId="1" shapeId="0">
      <text>
        <r>
          <rPr>
            <b/>
            <sz val="9"/>
            <color indexed="81"/>
            <rFont val="Tahoma"/>
            <family val="2"/>
          </rPr>
          <t>DBL REV requires TWO rows!
TPL REV requires THREE rows!
QD REV requires FOUR rows!</t>
        </r>
      </text>
    </comment>
    <comment ref="J776" authorId="1" shapeId="0">
      <text>
        <r>
          <rPr>
            <b/>
            <sz val="9"/>
            <color indexed="81"/>
            <rFont val="Tahoma"/>
            <family val="2"/>
          </rPr>
          <t>If this highlights as an error, consider upsizing the Tether size for better ribbon utilization</t>
        </r>
      </text>
    </comment>
    <comment ref="C777" authorId="1" shapeId="0">
      <text>
        <r>
          <rPr>
            <b/>
            <sz val="9"/>
            <color indexed="81"/>
            <rFont val="Tahoma"/>
            <family val="2"/>
          </rPr>
          <t>DBL REV requires TWO rows!
TPL REV requires THREE rows!
QD REV requires FOUR rows!</t>
        </r>
      </text>
    </comment>
    <comment ref="J777" authorId="1" shapeId="0">
      <text>
        <r>
          <rPr>
            <b/>
            <sz val="9"/>
            <color indexed="81"/>
            <rFont val="Tahoma"/>
            <family val="2"/>
          </rPr>
          <t>If this highlights as an error, consider upsizing the Tether size for better ribbon utilization</t>
        </r>
      </text>
    </comment>
    <comment ref="C778" authorId="1" shapeId="0">
      <text>
        <r>
          <rPr>
            <b/>
            <sz val="9"/>
            <color indexed="81"/>
            <rFont val="Tahoma"/>
            <family val="2"/>
          </rPr>
          <t>DBL REV requires TWO rows!
TPL REV requires THREE rows!
QD REV requires FOUR rows!</t>
        </r>
      </text>
    </comment>
    <comment ref="J778" authorId="1" shapeId="0">
      <text>
        <r>
          <rPr>
            <b/>
            <sz val="9"/>
            <color indexed="81"/>
            <rFont val="Tahoma"/>
            <family val="2"/>
          </rPr>
          <t>If this highlights as an error, consider upsizing the Tether size for better ribbon utilization</t>
        </r>
      </text>
    </comment>
    <comment ref="C779" authorId="1" shapeId="0">
      <text>
        <r>
          <rPr>
            <b/>
            <sz val="9"/>
            <color indexed="81"/>
            <rFont val="Tahoma"/>
            <family val="2"/>
          </rPr>
          <t>DBL REV requires TWO rows!
TPL REV requires THREE rows!
QD REV requires FOUR rows!</t>
        </r>
      </text>
    </comment>
    <comment ref="J779" authorId="1" shapeId="0">
      <text>
        <r>
          <rPr>
            <b/>
            <sz val="9"/>
            <color indexed="81"/>
            <rFont val="Tahoma"/>
            <family val="2"/>
          </rPr>
          <t>If this highlights as an error, consider upsizing the Tether size for better ribbon utilization</t>
        </r>
      </text>
    </comment>
    <comment ref="B78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text>
        <r>
          <rPr>
            <b/>
            <sz val="8"/>
            <color indexed="81"/>
            <rFont val="Tahoma"/>
            <family val="2"/>
          </rPr>
          <t>This will be added to Planning Load Block A for TOTAL</t>
        </r>
        <r>
          <rPr>
            <sz val="8"/>
            <color indexed="81"/>
            <rFont val="Tahoma"/>
            <family val="2"/>
          </rPr>
          <t xml:space="preserve">
</t>
        </r>
      </text>
    </comment>
    <comment ref="J785" authorId="0" shapeId="0">
      <text>
        <r>
          <rPr>
            <b/>
            <sz val="8"/>
            <color indexed="81"/>
            <rFont val="Tahoma"/>
            <family val="2"/>
          </rPr>
          <t>This is the PON OUT count that is not assigned in this cable reel.</t>
        </r>
        <r>
          <rPr>
            <sz val="8"/>
            <color indexed="81"/>
            <rFont val="Tahoma"/>
            <family val="2"/>
          </rPr>
          <t xml:space="preserve">
</t>
        </r>
      </text>
    </comment>
    <comment ref="P785" authorId="1" shapeId="0">
      <text>
        <r>
          <rPr>
            <b/>
            <sz val="9"/>
            <color indexed="81"/>
            <rFont val="Tahoma"/>
            <family val="2"/>
          </rPr>
          <t>REMEMBER: 2-Fbr Tethers are NOT available for RPX CABLE!</t>
        </r>
      </text>
    </comment>
    <comment ref="Q785" authorId="1" shapeId="0">
      <text>
        <r>
          <rPr>
            <b/>
            <sz val="9"/>
            <color indexed="81"/>
            <rFont val="Tahoma"/>
            <family val="2"/>
          </rPr>
          <t>REMEMBER: 2-Fbr Tethers are NOT available for RPX CABLE!</t>
        </r>
      </text>
    </comment>
    <comment ref="S785" authorId="1" shapeId="0">
      <text>
        <r>
          <rPr>
            <b/>
            <sz val="9"/>
            <color indexed="81"/>
            <rFont val="Tahoma"/>
            <family val="2"/>
          </rPr>
          <t>REMEMBER: 2-Fbr Tethers are NOT available for RPX CABLE!</t>
        </r>
      </text>
    </comment>
    <comment ref="T785" authorId="1" shapeId="0">
      <text>
        <r>
          <rPr>
            <b/>
            <sz val="9"/>
            <color indexed="81"/>
            <rFont val="Tahoma"/>
            <family val="2"/>
          </rPr>
          <t>REMEMBER: 2-Fbr Tethers are NOT available for RPX CABLE!</t>
        </r>
      </text>
    </comment>
    <comment ref="B78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text>
        <r>
          <rPr>
            <b/>
            <sz val="8"/>
            <color indexed="81"/>
            <rFont val="Tahoma"/>
            <family val="2"/>
          </rPr>
          <t>Make sure you add this number to "TAT FIBERS ASSIGNED" for the total required in the Load Block on the prints.</t>
        </r>
      </text>
    </comment>
    <comment ref="G786" authorId="0" shapeId="0">
      <text>
        <r>
          <rPr>
            <b/>
            <sz val="8"/>
            <color indexed="81"/>
            <rFont val="Tahoma"/>
            <family val="2"/>
          </rPr>
          <t>Includes "DEAD" Count (No PON count assigned)</t>
        </r>
      </text>
    </comment>
    <comment ref="I78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text>
        <r>
          <rPr>
            <b/>
            <sz val="9"/>
            <color indexed="81"/>
            <rFont val="Tahoma"/>
            <family val="2"/>
          </rPr>
          <t>REMEMBER: 6-Fbr Tethers are NOT available for RPX CABLE!</t>
        </r>
      </text>
    </comment>
    <comment ref="Q787" authorId="1" shapeId="0">
      <text>
        <r>
          <rPr>
            <b/>
            <sz val="9"/>
            <color indexed="81"/>
            <rFont val="Tahoma"/>
            <family val="2"/>
          </rPr>
          <t>REMEMBER: 6-Fbr Tethers are NOT available for RPX CABLE!</t>
        </r>
      </text>
    </comment>
    <comment ref="S787" authorId="1" shapeId="0">
      <text>
        <r>
          <rPr>
            <b/>
            <sz val="9"/>
            <color indexed="81"/>
            <rFont val="Tahoma"/>
            <family val="2"/>
          </rPr>
          <t>REMEMBER: 6-Fbr Tethers are NOT available for RPX CABLE!</t>
        </r>
      </text>
    </comment>
    <comment ref="T787" authorId="1" shapeId="0">
      <text>
        <r>
          <rPr>
            <b/>
            <sz val="9"/>
            <color indexed="81"/>
            <rFont val="Tahoma"/>
            <family val="2"/>
          </rPr>
          <t>REMEMBER: 6-Fbr Tethers are NOT available for AERIAL CABLE!</t>
        </r>
      </text>
    </comment>
    <comment ref="B78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text>
        <r>
          <rPr>
            <b/>
            <sz val="8"/>
            <color indexed="81"/>
            <rFont val="Tahoma"/>
            <family val="2"/>
          </rPr>
          <t>These are "manufacturing rules" and general warnings</t>
        </r>
        <r>
          <rPr>
            <sz val="8"/>
            <color indexed="81"/>
            <rFont val="Tahoma"/>
            <family val="2"/>
          </rPr>
          <t xml:space="preserve">
</t>
        </r>
      </text>
    </comment>
    <comment ref="B79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text>
        <r>
          <rPr>
            <b/>
            <sz val="8"/>
            <color indexed="81"/>
            <rFont val="Tahoma"/>
            <family val="2"/>
          </rPr>
          <t>This number is a sum of TOTAL PLANNED plus the ASSIGNED TO TETHERS</t>
        </r>
        <r>
          <rPr>
            <sz val="8"/>
            <color indexed="81"/>
            <rFont val="Tahoma"/>
            <family val="2"/>
          </rPr>
          <t xml:space="preserve">
</t>
        </r>
      </text>
    </comment>
    <comment ref="Z793" authorId="0" shapeId="0">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text>
        <r>
          <rPr>
            <b/>
            <sz val="8"/>
            <color indexed="81"/>
            <rFont val="Tahoma"/>
            <family val="2"/>
          </rPr>
          <t>Counting from High count Backwards- this is Fiber Strand 133</t>
        </r>
      </text>
    </comment>
    <comment ref="AB793" authorId="0" shapeId="0">
      <text>
        <r>
          <rPr>
            <b/>
            <sz val="8"/>
            <color indexed="81"/>
            <rFont val="Tahoma"/>
            <family val="2"/>
          </rPr>
          <t>Counting from High count Backwards- this is Fiber Strand 144</t>
        </r>
        <r>
          <rPr>
            <sz val="8"/>
            <color indexed="81"/>
            <rFont val="Tahoma"/>
            <family val="2"/>
          </rPr>
          <t xml:space="preserve">
</t>
        </r>
      </text>
    </comment>
    <comment ref="C794" authorId="0" shapeId="0">
      <text>
        <r>
          <rPr>
            <b/>
            <sz val="8"/>
            <color indexed="81"/>
            <rFont val="Tahoma"/>
            <family val="2"/>
          </rPr>
          <t xml:space="preserve">Select if this tether will be used to feed a CFST or a lateral cable. </t>
        </r>
      </text>
    </comment>
    <comment ref="D794" authorId="0" shapeId="0">
      <text>
        <r>
          <rPr>
            <b/>
            <sz val="8"/>
            <color indexed="81"/>
            <rFont val="Tahoma"/>
            <family val="2"/>
          </rPr>
          <t>Note the Terminal Address to keep your locations straight</t>
        </r>
        <r>
          <rPr>
            <sz val="8"/>
            <color indexed="81"/>
            <rFont val="Tahoma"/>
            <family val="2"/>
          </rPr>
          <t xml:space="preserve">
</t>
        </r>
      </text>
    </comment>
    <comment ref="E794" authorId="0" shapeId="0">
      <text>
        <r>
          <rPr>
            <b/>
            <sz val="9"/>
            <color indexed="81"/>
            <rFont val="Calibri"/>
            <family val="2"/>
            <scheme val="minor"/>
          </rPr>
          <t>Pick the Tether Size for the location</t>
        </r>
        <r>
          <rPr>
            <sz val="8"/>
            <color indexed="81"/>
            <rFont val="Tahoma"/>
            <family val="2"/>
          </rPr>
          <t xml:space="preserve">
</t>
        </r>
      </text>
    </comment>
    <comment ref="F794" authorId="2" shapeId="0">
      <text>
        <r>
          <rPr>
            <b/>
            <sz val="9"/>
            <color indexed="81"/>
            <rFont val="Tahoma"/>
            <family val="2"/>
          </rPr>
          <t>Identify TCF or FST location.
Leave blank if tether is NOT for a TCF or FST!</t>
        </r>
      </text>
    </comment>
    <comment ref="H794" authorId="0" shapeId="0">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text>
        <r>
          <rPr>
            <b/>
            <sz val="8"/>
            <color indexed="81"/>
            <rFont val="Tahoma"/>
            <family val="2"/>
          </rPr>
          <t>If any of these numbers are negative, check your PON count and Cable size</t>
        </r>
      </text>
    </comment>
    <comment ref="J79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text>
        <r>
          <rPr>
            <b/>
            <sz val="9"/>
            <color indexed="81"/>
            <rFont val="Tahoma"/>
            <family val="2"/>
          </rPr>
          <t>Leave blank if using 10' Terminal Tail
Enter Tail length if greater than 10'</t>
        </r>
      </text>
    </comment>
    <comment ref="M794" authorId="0" shapeId="0">
      <text>
        <r>
          <rPr>
            <b/>
            <sz val="8"/>
            <color indexed="81"/>
            <rFont val="Tahoma"/>
            <family val="2"/>
          </rPr>
          <t>Make design notes such as slack coils, realingment loops,  or location notes</t>
        </r>
      </text>
    </comment>
    <comment ref="Z794" authorId="0" shapeId="0">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text>
        <r>
          <rPr>
            <b/>
            <sz val="8"/>
            <color indexed="81"/>
            <rFont val="Tahoma"/>
            <family val="2"/>
          </rPr>
          <t xml:space="preserve">Counting from High count Backwards- this is Fiber Strand 145
</t>
        </r>
      </text>
    </comment>
    <comment ref="AB794" authorId="0" shapeId="0">
      <text>
        <r>
          <rPr>
            <b/>
            <sz val="8"/>
            <color indexed="81"/>
            <rFont val="Tahoma"/>
            <family val="2"/>
          </rPr>
          <t>Counting from High count Backwards- this is Fiber Strand 156</t>
        </r>
      </text>
    </comment>
    <comment ref="J796" authorId="1" shapeId="0">
      <text>
        <r>
          <rPr>
            <b/>
            <sz val="9"/>
            <color indexed="81"/>
            <rFont val="Tahoma"/>
            <family val="2"/>
          </rPr>
          <t>If this highlights as an error, consider upsizing the Tether size for better ribbon utilization</t>
        </r>
      </text>
    </comment>
    <comment ref="J797" authorId="1" shapeId="0">
      <text>
        <r>
          <rPr>
            <b/>
            <sz val="9"/>
            <color indexed="81"/>
            <rFont val="Tahoma"/>
            <family val="2"/>
          </rPr>
          <t>If this highlights as an error, consider upsizing the Tether size for better ribbon utilization</t>
        </r>
      </text>
    </comment>
    <comment ref="J798" authorId="1" shapeId="0">
      <text>
        <r>
          <rPr>
            <b/>
            <sz val="9"/>
            <color indexed="81"/>
            <rFont val="Tahoma"/>
            <family val="2"/>
          </rPr>
          <t>If this highlights as an error, consider upsizing the Tether size for better ribbon utilization</t>
        </r>
      </text>
    </comment>
    <comment ref="J799" authorId="1" shapeId="0">
      <text>
        <r>
          <rPr>
            <b/>
            <sz val="9"/>
            <color indexed="81"/>
            <rFont val="Tahoma"/>
            <family val="2"/>
          </rPr>
          <t>If this highlights as an error, consider upsizing the Tether size for better ribbon utilization</t>
        </r>
      </text>
    </comment>
    <comment ref="J800" authorId="1" shapeId="0">
      <text>
        <r>
          <rPr>
            <b/>
            <sz val="9"/>
            <color indexed="81"/>
            <rFont val="Tahoma"/>
            <family val="2"/>
          </rPr>
          <t>If this highlights as an error, consider upsizing the Tether size for better ribbon utilization</t>
        </r>
      </text>
    </comment>
    <comment ref="J801" authorId="1" shapeId="0">
      <text>
        <r>
          <rPr>
            <b/>
            <sz val="9"/>
            <color indexed="81"/>
            <rFont val="Tahoma"/>
            <family val="2"/>
          </rPr>
          <t>If this highlights as an error, consider upsizing the Tether size for better ribbon utilization</t>
        </r>
      </text>
    </comment>
    <comment ref="J802" authorId="1" shapeId="0">
      <text>
        <r>
          <rPr>
            <b/>
            <sz val="9"/>
            <color indexed="81"/>
            <rFont val="Tahoma"/>
            <family val="2"/>
          </rPr>
          <t>If this highlights as an error, consider upsizing the Tether size for better ribbon utilization</t>
        </r>
      </text>
    </comment>
    <comment ref="J803" authorId="1" shapeId="0">
      <text>
        <r>
          <rPr>
            <b/>
            <sz val="9"/>
            <color indexed="81"/>
            <rFont val="Tahoma"/>
            <family val="2"/>
          </rPr>
          <t>If this highlights as an error, consider upsizing the Tether size for better ribbon utilization</t>
        </r>
      </text>
    </comment>
    <comment ref="J804" authorId="1" shapeId="0">
      <text>
        <r>
          <rPr>
            <b/>
            <sz val="9"/>
            <color indexed="81"/>
            <rFont val="Tahoma"/>
            <family val="2"/>
          </rPr>
          <t>If this highlights as an error, consider upsizing the Tether size for better ribbon utilization</t>
        </r>
      </text>
    </comment>
    <comment ref="J805" authorId="1" shapeId="0">
      <text>
        <r>
          <rPr>
            <b/>
            <sz val="9"/>
            <color indexed="81"/>
            <rFont val="Tahoma"/>
            <family val="2"/>
          </rPr>
          <t>If this highlights as an error, consider upsizing the Tether size for better ribbon utilization</t>
        </r>
      </text>
    </comment>
    <comment ref="J806" authorId="1" shapeId="0">
      <text>
        <r>
          <rPr>
            <b/>
            <sz val="9"/>
            <color indexed="81"/>
            <rFont val="Tahoma"/>
            <family val="2"/>
          </rPr>
          <t>If this highlights as an error, consider upsizing the Tether size for better ribbon utilization</t>
        </r>
      </text>
    </comment>
    <comment ref="J807" authorId="1" shapeId="0">
      <text>
        <r>
          <rPr>
            <b/>
            <sz val="9"/>
            <color indexed="81"/>
            <rFont val="Tahoma"/>
            <family val="2"/>
          </rPr>
          <t>If this highlights as an error, consider upsizing the Tether size for better ribbon utilization</t>
        </r>
      </text>
    </comment>
    <comment ref="J808" authorId="1" shapeId="0">
      <text>
        <r>
          <rPr>
            <b/>
            <sz val="9"/>
            <color indexed="81"/>
            <rFont val="Tahoma"/>
            <family val="2"/>
          </rPr>
          <t>If this highlights as an error, consider upsizing the Tether size for better ribbon utilization</t>
        </r>
      </text>
    </comment>
    <comment ref="J809" authorId="1" shapeId="0">
      <text>
        <r>
          <rPr>
            <b/>
            <sz val="9"/>
            <color indexed="81"/>
            <rFont val="Tahoma"/>
            <family val="2"/>
          </rPr>
          <t>If this highlights as an error, consider upsizing the Tether size for better ribbon utilization</t>
        </r>
      </text>
    </comment>
    <comment ref="J810" authorId="1" shapeId="0">
      <text>
        <r>
          <rPr>
            <b/>
            <sz val="9"/>
            <color indexed="81"/>
            <rFont val="Tahoma"/>
            <family val="2"/>
          </rPr>
          <t>If this highlights as an error, consider upsizing the Tether size for better ribbon utilization</t>
        </r>
      </text>
    </comment>
    <comment ref="J811" authorId="1" shapeId="0">
      <text>
        <r>
          <rPr>
            <b/>
            <sz val="9"/>
            <color indexed="81"/>
            <rFont val="Tahoma"/>
            <family val="2"/>
          </rPr>
          <t>If this highlights as an error, consider upsizing the Tether size for better ribbon utilization</t>
        </r>
      </text>
    </comment>
    <comment ref="J812" authorId="1" shapeId="0">
      <text>
        <r>
          <rPr>
            <b/>
            <sz val="9"/>
            <color indexed="81"/>
            <rFont val="Tahoma"/>
            <family val="2"/>
          </rPr>
          <t>If this highlights as an error, consider upsizing the Tether size for better ribbon utilization</t>
        </r>
      </text>
    </comment>
    <comment ref="J813" authorId="1" shapeId="0">
      <text>
        <r>
          <rPr>
            <b/>
            <sz val="9"/>
            <color indexed="81"/>
            <rFont val="Tahoma"/>
            <family val="2"/>
          </rPr>
          <t>If this highlights as an error, consider upsizing the Tether size for better ribbon utilization</t>
        </r>
      </text>
    </comment>
    <comment ref="C814" authorId="1" shapeId="0">
      <text>
        <r>
          <rPr>
            <b/>
            <sz val="9"/>
            <color indexed="81"/>
            <rFont val="Tahoma"/>
            <family val="2"/>
          </rPr>
          <t>DBL REV requires TWO rows!
TPL REV requires THREE rows!
QD REV requires FOUR rows!</t>
        </r>
      </text>
    </comment>
    <comment ref="J814" authorId="1" shapeId="0">
      <text>
        <r>
          <rPr>
            <b/>
            <sz val="9"/>
            <color indexed="81"/>
            <rFont val="Tahoma"/>
            <family val="2"/>
          </rPr>
          <t>If this highlights as an error, consider upsizing the Tether size for better ribbon utilization</t>
        </r>
      </text>
    </comment>
    <comment ref="C815" authorId="1" shapeId="0">
      <text>
        <r>
          <rPr>
            <b/>
            <sz val="9"/>
            <color indexed="81"/>
            <rFont val="Tahoma"/>
            <family val="2"/>
          </rPr>
          <t>DBL REV requires TWO rows!
TPL REV requires THREE rows!
QD REV requires FOUR rows!</t>
        </r>
      </text>
    </comment>
    <comment ref="J815" authorId="1" shapeId="0">
      <text>
        <r>
          <rPr>
            <b/>
            <sz val="9"/>
            <color indexed="81"/>
            <rFont val="Tahoma"/>
            <family val="2"/>
          </rPr>
          <t>If this highlights as an error, consider upsizing the Tether size for better ribbon utilization</t>
        </r>
      </text>
    </comment>
    <comment ref="C816" authorId="1" shapeId="0">
      <text>
        <r>
          <rPr>
            <b/>
            <sz val="9"/>
            <color indexed="81"/>
            <rFont val="Tahoma"/>
            <family val="2"/>
          </rPr>
          <t>DBL REV requires TWO rows!
TPL REV requires THREE rows!
QD REV requires FOUR rows!</t>
        </r>
      </text>
    </comment>
    <comment ref="J816" authorId="1" shapeId="0">
      <text>
        <r>
          <rPr>
            <b/>
            <sz val="9"/>
            <color indexed="81"/>
            <rFont val="Tahoma"/>
            <family val="2"/>
          </rPr>
          <t>If this highlights as an error, consider upsizing the Tether size for better ribbon utilization</t>
        </r>
      </text>
    </comment>
    <comment ref="C817" authorId="1" shapeId="0">
      <text>
        <r>
          <rPr>
            <b/>
            <sz val="9"/>
            <color indexed="81"/>
            <rFont val="Tahoma"/>
            <family val="2"/>
          </rPr>
          <t>DBL REV requires TWO rows!
TPL REV requires THREE rows!
QD REV requires FOUR rows!</t>
        </r>
      </text>
    </comment>
    <comment ref="J817" authorId="1" shapeId="0">
      <text>
        <r>
          <rPr>
            <b/>
            <sz val="9"/>
            <color indexed="81"/>
            <rFont val="Tahoma"/>
            <family val="2"/>
          </rPr>
          <t>If this highlights as an error, consider upsizing the Tether size for better ribbon utilization</t>
        </r>
      </text>
    </comment>
    <comment ref="C818" authorId="1" shapeId="0">
      <text>
        <r>
          <rPr>
            <b/>
            <sz val="9"/>
            <color indexed="81"/>
            <rFont val="Tahoma"/>
            <family val="2"/>
          </rPr>
          <t>DBL REV requires TWO rows!
TPL REV requires THREE rows!
QD REV requires FOUR rows!</t>
        </r>
      </text>
    </comment>
    <comment ref="J818" authorId="1" shapeId="0">
      <text>
        <r>
          <rPr>
            <b/>
            <sz val="9"/>
            <color indexed="81"/>
            <rFont val="Tahoma"/>
            <family val="2"/>
          </rPr>
          <t>If this highlights as an error, consider upsizing the Tether size for better ribbon utilization</t>
        </r>
      </text>
    </comment>
    <comment ref="C819" authorId="1" shapeId="0">
      <text>
        <r>
          <rPr>
            <b/>
            <sz val="9"/>
            <color indexed="81"/>
            <rFont val="Tahoma"/>
            <family val="2"/>
          </rPr>
          <t>DBL REV requires TWO rows!
TPL REV requires THREE rows!
QD REV requires FOUR rows!</t>
        </r>
      </text>
    </comment>
    <comment ref="J819" authorId="1" shapeId="0">
      <text>
        <r>
          <rPr>
            <b/>
            <sz val="9"/>
            <color indexed="81"/>
            <rFont val="Tahoma"/>
            <family val="2"/>
          </rPr>
          <t>If this highlights as an error, consider upsizing the Tether size for better ribbon utilization</t>
        </r>
      </text>
    </comment>
    <comment ref="C820" authorId="1" shapeId="0">
      <text>
        <r>
          <rPr>
            <b/>
            <sz val="9"/>
            <color indexed="81"/>
            <rFont val="Tahoma"/>
            <family val="2"/>
          </rPr>
          <t>DBL REV requires TWO rows!
TPL REV requires THREE rows!
QD REV requires FOUR rows!</t>
        </r>
      </text>
    </comment>
    <comment ref="J820" authorId="1" shapeId="0">
      <text>
        <r>
          <rPr>
            <b/>
            <sz val="9"/>
            <color indexed="81"/>
            <rFont val="Tahoma"/>
            <family val="2"/>
          </rPr>
          <t>If this highlights as an error, consider upsizing the Tether size for better ribbon utilization</t>
        </r>
      </text>
    </comment>
    <comment ref="B82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text>
        <r>
          <rPr>
            <b/>
            <sz val="8"/>
            <color indexed="81"/>
            <rFont val="Tahoma"/>
            <family val="2"/>
          </rPr>
          <t>This will be added to Planning Load Block A for TOTAL</t>
        </r>
        <r>
          <rPr>
            <sz val="8"/>
            <color indexed="81"/>
            <rFont val="Tahoma"/>
            <family val="2"/>
          </rPr>
          <t xml:space="preserve">
</t>
        </r>
      </text>
    </comment>
    <comment ref="J826" authorId="0" shapeId="0">
      <text>
        <r>
          <rPr>
            <b/>
            <sz val="8"/>
            <color indexed="81"/>
            <rFont val="Tahoma"/>
            <family val="2"/>
          </rPr>
          <t>This is the PON OUT count that is not assigned in this cable reel.</t>
        </r>
        <r>
          <rPr>
            <sz val="8"/>
            <color indexed="81"/>
            <rFont val="Tahoma"/>
            <family val="2"/>
          </rPr>
          <t xml:space="preserve">
</t>
        </r>
      </text>
    </comment>
    <comment ref="P826" authorId="1" shapeId="0">
      <text>
        <r>
          <rPr>
            <b/>
            <sz val="9"/>
            <color indexed="81"/>
            <rFont val="Tahoma"/>
            <family val="2"/>
          </rPr>
          <t>REMEMBER: 2-Fbr Tethers are NOT available for RPX CABLE!</t>
        </r>
      </text>
    </comment>
    <comment ref="Q826" authorId="1" shapeId="0">
      <text>
        <r>
          <rPr>
            <b/>
            <sz val="9"/>
            <color indexed="81"/>
            <rFont val="Tahoma"/>
            <family val="2"/>
          </rPr>
          <t>REMEMBER: 2-Fbr Tethers are NOT available for RPX CABLE!</t>
        </r>
      </text>
    </comment>
    <comment ref="S826" authorId="1" shapeId="0">
      <text>
        <r>
          <rPr>
            <b/>
            <sz val="9"/>
            <color indexed="81"/>
            <rFont val="Tahoma"/>
            <family val="2"/>
          </rPr>
          <t>REMEMBER: 2-Fbr Tethers are NOT available for RPX CABLE!</t>
        </r>
      </text>
    </comment>
    <comment ref="T826" authorId="1" shapeId="0">
      <text>
        <r>
          <rPr>
            <b/>
            <sz val="9"/>
            <color indexed="81"/>
            <rFont val="Tahoma"/>
            <family val="2"/>
          </rPr>
          <t>REMEMBER: 2-Fbr Tethers are NOT available for RPX CABLE!</t>
        </r>
      </text>
    </comment>
    <comment ref="B82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text>
        <r>
          <rPr>
            <b/>
            <sz val="8"/>
            <color indexed="81"/>
            <rFont val="Tahoma"/>
            <family val="2"/>
          </rPr>
          <t>Make sure you add this number to "TAT FIBERS ASSIGNED" for the total required in the Load Block on the prints.</t>
        </r>
      </text>
    </comment>
    <comment ref="G827" authorId="0" shapeId="0">
      <text>
        <r>
          <rPr>
            <b/>
            <sz val="8"/>
            <color indexed="81"/>
            <rFont val="Tahoma"/>
            <family val="2"/>
          </rPr>
          <t>Includes "DEAD" Count (No PON count assigned)</t>
        </r>
      </text>
    </comment>
    <comment ref="I82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text>
        <r>
          <rPr>
            <b/>
            <sz val="9"/>
            <color indexed="81"/>
            <rFont val="Tahoma"/>
            <family val="2"/>
          </rPr>
          <t>REMEMBER: 6-Fbr Tethers are NOT available for RPX CABLE!</t>
        </r>
      </text>
    </comment>
    <comment ref="Q828" authorId="1" shapeId="0">
      <text>
        <r>
          <rPr>
            <b/>
            <sz val="9"/>
            <color indexed="81"/>
            <rFont val="Tahoma"/>
            <family val="2"/>
          </rPr>
          <t>REMEMBER: 6-Fbr Tethers are NOT available for RPX CABLE!</t>
        </r>
      </text>
    </comment>
    <comment ref="S828" authorId="1" shapeId="0">
      <text>
        <r>
          <rPr>
            <b/>
            <sz val="9"/>
            <color indexed="81"/>
            <rFont val="Tahoma"/>
            <family val="2"/>
          </rPr>
          <t>REMEMBER: 6-Fbr Tethers are NOT available for RPX CABLE!</t>
        </r>
      </text>
    </comment>
    <comment ref="T828" authorId="1" shapeId="0">
      <text>
        <r>
          <rPr>
            <b/>
            <sz val="9"/>
            <color indexed="81"/>
            <rFont val="Tahoma"/>
            <family val="2"/>
          </rPr>
          <t>REMEMBER: 6-Fbr Tethers are NOT available for AERIAL CABLE!</t>
        </r>
      </text>
    </comment>
    <comment ref="B82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text>
        <r>
          <rPr>
            <b/>
            <sz val="8"/>
            <color indexed="81"/>
            <rFont val="Tahoma"/>
            <family val="2"/>
          </rPr>
          <t>These are "manufacturing rules" and general warnings</t>
        </r>
        <r>
          <rPr>
            <sz val="8"/>
            <color indexed="81"/>
            <rFont val="Tahoma"/>
            <family val="2"/>
          </rPr>
          <t xml:space="preserve">
</t>
        </r>
      </text>
    </comment>
    <comment ref="B83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text>
        <r>
          <rPr>
            <b/>
            <sz val="8"/>
            <color indexed="81"/>
            <rFont val="Tahoma"/>
            <family val="2"/>
          </rPr>
          <t>This number is a sum of TOTAL PLANNED plus the ASSIGNED TO TETHERS</t>
        </r>
        <r>
          <rPr>
            <sz val="8"/>
            <color indexed="81"/>
            <rFont val="Tahoma"/>
            <family val="2"/>
          </rPr>
          <t xml:space="preserve">
</t>
        </r>
      </text>
    </comment>
    <comment ref="Z834" authorId="0" shapeId="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text>
        <r>
          <rPr>
            <b/>
            <sz val="8"/>
            <color indexed="81"/>
            <rFont val="Tahoma"/>
            <family val="2"/>
          </rPr>
          <t>Counting from High count Backwards- this is Fiber Strand 133</t>
        </r>
      </text>
    </comment>
    <comment ref="AB834" authorId="0" shapeId="0">
      <text>
        <r>
          <rPr>
            <b/>
            <sz val="8"/>
            <color indexed="81"/>
            <rFont val="Tahoma"/>
            <family val="2"/>
          </rPr>
          <t>Counting from High count Backwards- this is Fiber Strand 144</t>
        </r>
        <r>
          <rPr>
            <sz val="8"/>
            <color indexed="81"/>
            <rFont val="Tahoma"/>
            <family val="2"/>
          </rPr>
          <t xml:space="preserve">
</t>
        </r>
      </text>
    </comment>
    <comment ref="C835" authorId="0" shapeId="0">
      <text>
        <r>
          <rPr>
            <b/>
            <sz val="8"/>
            <color indexed="81"/>
            <rFont val="Tahoma"/>
            <family val="2"/>
          </rPr>
          <t xml:space="preserve">Select if this tether will be used to feed a CFST or a lateral cable. </t>
        </r>
      </text>
    </comment>
    <comment ref="D835" authorId="0" shapeId="0">
      <text>
        <r>
          <rPr>
            <b/>
            <sz val="8"/>
            <color indexed="81"/>
            <rFont val="Tahoma"/>
            <family val="2"/>
          </rPr>
          <t>Note the Terminal Address to keep your locations straight</t>
        </r>
        <r>
          <rPr>
            <sz val="8"/>
            <color indexed="81"/>
            <rFont val="Tahoma"/>
            <family val="2"/>
          </rPr>
          <t xml:space="preserve">
</t>
        </r>
      </text>
    </comment>
    <comment ref="E835" authorId="0" shapeId="0">
      <text>
        <r>
          <rPr>
            <b/>
            <sz val="9"/>
            <color indexed="81"/>
            <rFont val="Calibri"/>
            <family val="2"/>
            <scheme val="minor"/>
          </rPr>
          <t>Pick the Tether Size for the location</t>
        </r>
        <r>
          <rPr>
            <sz val="8"/>
            <color indexed="81"/>
            <rFont val="Tahoma"/>
            <family val="2"/>
          </rPr>
          <t xml:space="preserve">
</t>
        </r>
      </text>
    </comment>
    <comment ref="F835" authorId="2" shapeId="0">
      <text>
        <r>
          <rPr>
            <b/>
            <sz val="9"/>
            <color indexed="81"/>
            <rFont val="Tahoma"/>
            <family val="2"/>
          </rPr>
          <t>Identify TCF or FST location.
Leave blank if tether is NOT for a TCF or FST!</t>
        </r>
      </text>
    </comment>
    <comment ref="H835" authorId="0" shapeId="0">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text>
        <r>
          <rPr>
            <b/>
            <sz val="8"/>
            <color indexed="81"/>
            <rFont val="Tahoma"/>
            <family val="2"/>
          </rPr>
          <t>If any of these numbers are negative, check your PON count and Cable size</t>
        </r>
      </text>
    </comment>
    <comment ref="J83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text>
        <r>
          <rPr>
            <b/>
            <sz val="9"/>
            <color indexed="81"/>
            <rFont val="Tahoma"/>
            <family val="2"/>
          </rPr>
          <t>Leave blank if using 10' Terminal Tail
Enter Tail length if greater than 10'</t>
        </r>
      </text>
    </comment>
    <comment ref="M835" authorId="0" shapeId="0">
      <text>
        <r>
          <rPr>
            <b/>
            <sz val="8"/>
            <color indexed="81"/>
            <rFont val="Tahoma"/>
            <family val="2"/>
          </rPr>
          <t>Make design notes such as slack coils, realingment loops,  or location notes</t>
        </r>
      </text>
    </comment>
    <comment ref="Z835" authorId="0" shapeId="0">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text>
        <r>
          <rPr>
            <b/>
            <sz val="8"/>
            <color indexed="81"/>
            <rFont val="Tahoma"/>
            <family val="2"/>
          </rPr>
          <t xml:space="preserve">Counting from High count Backwards- this is Fiber Strand 145
</t>
        </r>
      </text>
    </comment>
    <comment ref="AB835" authorId="0" shapeId="0">
      <text>
        <r>
          <rPr>
            <b/>
            <sz val="8"/>
            <color indexed="81"/>
            <rFont val="Tahoma"/>
            <family val="2"/>
          </rPr>
          <t>Counting from High count Backwards- this is Fiber Strand 156</t>
        </r>
      </text>
    </comment>
    <comment ref="J837" authorId="1" shapeId="0">
      <text>
        <r>
          <rPr>
            <b/>
            <sz val="9"/>
            <color indexed="81"/>
            <rFont val="Tahoma"/>
            <family val="2"/>
          </rPr>
          <t>If this highlights as an error, consider upsizing the Tether size for better ribbon utilization</t>
        </r>
      </text>
    </comment>
    <comment ref="J838" authorId="1" shapeId="0">
      <text>
        <r>
          <rPr>
            <b/>
            <sz val="9"/>
            <color indexed="81"/>
            <rFont val="Tahoma"/>
            <family val="2"/>
          </rPr>
          <t>If this highlights as an error, consider upsizing the Tether size for better ribbon utilization</t>
        </r>
      </text>
    </comment>
    <comment ref="J839" authorId="1" shapeId="0">
      <text>
        <r>
          <rPr>
            <b/>
            <sz val="9"/>
            <color indexed="81"/>
            <rFont val="Tahoma"/>
            <family val="2"/>
          </rPr>
          <t>If this highlights as an error, consider upsizing the Tether size for better ribbon utilization</t>
        </r>
      </text>
    </comment>
    <comment ref="J840" authorId="1" shapeId="0">
      <text>
        <r>
          <rPr>
            <b/>
            <sz val="9"/>
            <color indexed="81"/>
            <rFont val="Tahoma"/>
            <family val="2"/>
          </rPr>
          <t>If this highlights as an error, consider upsizing the Tether size for better ribbon utilization</t>
        </r>
      </text>
    </comment>
    <comment ref="J841" authorId="1" shapeId="0">
      <text>
        <r>
          <rPr>
            <b/>
            <sz val="9"/>
            <color indexed="81"/>
            <rFont val="Tahoma"/>
            <family val="2"/>
          </rPr>
          <t>If this highlights as an error, consider upsizing the Tether size for better ribbon utilization</t>
        </r>
      </text>
    </comment>
    <comment ref="J842" authorId="1" shapeId="0">
      <text>
        <r>
          <rPr>
            <b/>
            <sz val="9"/>
            <color indexed="81"/>
            <rFont val="Tahoma"/>
            <family val="2"/>
          </rPr>
          <t>If this highlights as an error, consider upsizing the Tether size for better ribbon utilization</t>
        </r>
      </text>
    </comment>
    <comment ref="J843" authorId="1" shapeId="0">
      <text>
        <r>
          <rPr>
            <b/>
            <sz val="9"/>
            <color indexed="81"/>
            <rFont val="Tahoma"/>
            <family val="2"/>
          </rPr>
          <t>If this highlights as an error, consider upsizing the Tether size for better ribbon utilization</t>
        </r>
      </text>
    </comment>
    <comment ref="J844" authorId="1" shapeId="0">
      <text>
        <r>
          <rPr>
            <b/>
            <sz val="9"/>
            <color indexed="81"/>
            <rFont val="Tahoma"/>
            <family val="2"/>
          </rPr>
          <t>If this highlights as an error, consider upsizing the Tether size for better ribbon utilization</t>
        </r>
      </text>
    </comment>
    <comment ref="J845" authorId="1" shapeId="0">
      <text>
        <r>
          <rPr>
            <b/>
            <sz val="9"/>
            <color indexed="81"/>
            <rFont val="Tahoma"/>
            <family val="2"/>
          </rPr>
          <t>If this highlights as an error, consider upsizing the Tether size for better ribbon utilization</t>
        </r>
      </text>
    </comment>
    <comment ref="J846" authorId="1" shapeId="0">
      <text>
        <r>
          <rPr>
            <b/>
            <sz val="9"/>
            <color indexed="81"/>
            <rFont val="Tahoma"/>
            <family val="2"/>
          </rPr>
          <t>If this highlights as an error, consider upsizing the Tether size for better ribbon utilization</t>
        </r>
      </text>
    </comment>
    <comment ref="J847" authorId="1" shapeId="0">
      <text>
        <r>
          <rPr>
            <b/>
            <sz val="9"/>
            <color indexed="81"/>
            <rFont val="Tahoma"/>
            <family val="2"/>
          </rPr>
          <t>If this highlights as an error, consider upsizing the Tether size for better ribbon utilization</t>
        </r>
      </text>
    </comment>
    <comment ref="J848" authorId="1" shapeId="0">
      <text>
        <r>
          <rPr>
            <b/>
            <sz val="9"/>
            <color indexed="81"/>
            <rFont val="Tahoma"/>
            <family val="2"/>
          </rPr>
          <t>If this highlights as an error, consider upsizing the Tether size for better ribbon utilization</t>
        </r>
      </text>
    </comment>
    <comment ref="J849" authorId="1" shapeId="0">
      <text>
        <r>
          <rPr>
            <b/>
            <sz val="9"/>
            <color indexed="81"/>
            <rFont val="Tahoma"/>
            <family val="2"/>
          </rPr>
          <t>If this highlights as an error, consider upsizing the Tether size for better ribbon utilization</t>
        </r>
      </text>
    </comment>
    <comment ref="J850" authorId="1" shapeId="0">
      <text>
        <r>
          <rPr>
            <b/>
            <sz val="9"/>
            <color indexed="81"/>
            <rFont val="Tahoma"/>
            <family val="2"/>
          </rPr>
          <t>If this highlights as an error, consider upsizing the Tether size for better ribbon utilization</t>
        </r>
      </text>
    </comment>
    <comment ref="J851" authorId="1" shapeId="0">
      <text>
        <r>
          <rPr>
            <b/>
            <sz val="9"/>
            <color indexed="81"/>
            <rFont val="Tahoma"/>
            <family val="2"/>
          </rPr>
          <t>If this highlights as an error, consider upsizing the Tether size for better ribbon utilization</t>
        </r>
      </text>
    </comment>
    <comment ref="J852" authorId="1" shapeId="0">
      <text>
        <r>
          <rPr>
            <b/>
            <sz val="9"/>
            <color indexed="81"/>
            <rFont val="Tahoma"/>
            <family val="2"/>
          </rPr>
          <t>If this highlights as an error, consider upsizing the Tether size for better ribbon utilization</t>
        </r>
      </text>
    </comment>
    <comment ref="J853" authorId="1" shapeId="0">
      <text>
        <r>
          <rPr>
            <b/>
            <sz val="9"/>
            <color indexed="81"/>
            <rFont val="Tahoma"/>
            <family val="2"/>
          </rPr>
          <t>If this highlights as an error, consider upsizing the Tether size for better ribbon utilization</t>
        </r>
      </text>
    </comment>
    <comment ref="J854" authorId="1" shapeId="0">
      <text>
        <r>
          <rPr>
            <b/>
            <sz val="9"/>
            <color indexed="81"/>
            <rFont val="Tahoma"/>
            <family val="2"/>
          </rPr>
          <t>If this highlights as an error, consider upsizing the Tether size for better ribbon utilization</t>
        </r>
      </text>
    </comment>
    <comment ref="C855" authorId="1" shapeId="0">
      <text>
        <r>
          <rPr>
            <b/>
            <sz val="9"/>
            <color indexed="81"/>
            <rFont val="Tahoma"/>
            <family val="2"/>
          </rPr>
          <t>DBL REV requires TWO rows!
TPL REV requires THREE rows!
QD REV requires FOUR rows!</t>
        </r>
      </text>
    </comment>
    <comment ref="J855" authorId="1" shapeId="0">
      <text>
        <r>
          <rPr>
            <b/>
            <sz val="9"/>
            <color indexed="81"/>
            <rFont val="Tahoma"/>
            <family val="2"/>
          </rPr>
          <t>If this highlights as an error, consider upsizing the Tether size for better ribbon utilization</t>
        </r>
      </text>
    </comment>
    <comment ref="C856" authorId="1" shapeId="0">
      <text>
        <r>
          <rPr>
            <b/>
            <sz val="9"/>
            <color indexed="81"/>
            <rFont val="Tahoma"/>
            <family val="2"/>
          </rPr>
          <t>DBL REV requires TWO rows!
TPL REV requires THREE rows!
QD REV requires FOUR rows!</t>
        </r>
      </text>
    </comment>
    <comment ref="J856" authorId="1" shapeId="0">
      <text>
        <r>
          <rPr>
            <b/>
            <sz val="9"/>
            <color indexed="81"/>
            <rFont val="Tahoma"/>
            <family val="2"/>
          </rPr>
          <t>If this highlights as an error, consider upsizing the Tether size for better ribbon utilization</t>
        </r>
      </text>
    </comment>
    <comment ref="C857" authorId="1" shapeId="0">
      <text>
        <r>
          <rPr>
            <b/>
            <sz val="9"/>
            <color indexed="81"/>
            <rFont val="Tahoma"/>
            <family val="2"/>
          </rPr>
          <t>DBL REV requires TWO rows!
TPL REV requires THREE rows!
QD REV requires FOUR rows!</t>
        </r>
      </text>
    </comment>
    <comment ref="J857" authorId="1" shapeId="0">
      <text>
        <r>
          <rPr>
            <b/>
            <sz val="9"/>
            <color indexed="81"/>
            <rFont val="Tahoma"/>
            <family val="2"/>
          </rPr>
          <t>If this highlights as an error, consider upsizing the Tether size for better ribbon utilization</t>
        </r>
      </text>
    </comment>
    <comment ref="C858" authorId="1" shapeId="0">
      <text>
        <r>
          <rPr>
            <b/>
            <sz val="9"/>
            <color indexed="81"/>
            <rFont val="Tahoma"/>
            <family val="2"/>
          </rPr>
          <t>DBL REV requires TWO rows!
TPL REV requires THREE rows!
QD REV requires FOUR rows!</t>
        </r>
      </text>
    </comment>
    <comment ref="J858" authorId="1" shapeId="0">
      <text>
        <r>
          <rPr>
            <b/>
            <sz val="9"/>
            <color indexed="81"/>
            <rFont val="Tahoma"/>
            <family val="2"/>
          </rPr>
          <t>If this highlights as an error, consider upsizing the Tether size for better ribbon utilization</t>
        </r>
      </text>
    </comment>
    <comment ref="C859" authorId="1" shapeId="0">
      <text>
        <r>
          <rPr>
            <b/>
            <sz val="9"/>
            <color indexed="81"/>
            <rFont val="Tahoma"/>
            <family val="2"/>
          </rPr>
          <t>DBL REV requires TWO rows!
TPL REV requires THREE rows!
QD REV requires FOUR rows!</t>
        </r>
      </text>
    </comment>
    <comment ref="J859" authorId="1" shapeId="0">
      <text>
        <r>
          <rPr>
            <b/>
            <sz val="9"/>
            <color indexed="81"/>
            <rFont val="Tahoma"/>
            <family val="2"/>
          </rPr>
          <t>If this highlights as an error, consider upsizing the Tether size for better ribbon utilization</t>
        </r>
      </text>
    </comment>
    <comment ref="C860" authorId="1" shapeId="0">
      <text>
        <r>
          <rPr>
            <b/>
            <sz val="9"/>
            <color indexed="81"/>
            <rFont val="Tahoma"/>
            <family val="2"/>
          </rPr>
          <t>DBL REV requires TWO rows!
TPL REV requires THREE rows!
QD REV requires FOUR rows!</t>
        </r>
      </text>
    </comment>
    <comment ref="J860" authorId="1" shapeId="0">
      <text>
        <r>
          <rPr>
            <b/>
            <sz val="9"/>
            <color indexed="81"/>
            <rFont val="Tahoma"/>
            <family val="2"/>
          </rPr>
          <t>If this highlights as an error, consider upsizing the Tether size for better ribbon utilization</t>
        </r>
      </text>
    </comment>
    <comment ref="C861" authorId="1" shapeId="0">
      <text>
        <r>
          <rPr>
            <b/>
            <sz val="9"/>
            <color indexed="81"/>
            <rFont val="Tahoma"/>
            <family val="2"/>
          </rPr>
          <t>DBL REV requires TWO rows!
TPL REV requires THREE rows!
QD REV requires FOUR rows!</t>
        </r>
      </text>
    </comment>
    <comment ref="J861" authorId="1" shapeId="0">
      <text>
        <r>
          <rPr>
            <b/>
            <sz val="9"/>
            <color indexed="81"/>
            <rFont val="Tahoma"/>
            <family val="2"/>
          </rPr>
          <t>If this highlights as an error, consider upsizing the Tether size for better ribbon utilization</t>
        </r>
      </text>
    </comment>
    <comment ref="B86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text>
        <r>
          <rPr>
            <b/>
            <sz val="8"/>
            <color indexed="81"/>
            <rFont val="Tahoma"/>
            <family val="2"/>
          </rPr>
          <t>This will be added to Planning Load Block A for TOTAL</t>
        </r>
        <r>
          <rPr>
            <sz val="8"/>
            <color indexed="81"/>
            <rFont val="Tahoma"/>
            <family val="2"/>
          </rPr>
          <t xml:space="preserve">
</t>
        </r>
      </text>
    </comment>
    <comment ref="J867" authorId="0" shapeId="0">
      <text>
        <r>
          <rPr>
            <b/>
            <sz val="8"/>
            <color indexed="81"/>
            <rFont val="Tahoma"/>
            <family val="2"/>
          </rPr>
          <t>This is the PON OUT count that is not assigned in this cable reel.</t>
        </r>
        <r>
          <rPr>
            <sz val="8"/>
            <color indexed="81"/>
            <rFont val="Tahoma"/>
            <family val="2"/>
          </rPr>
          <t xml:space="preserve">
</t>
        </r>
      </text>
    </comment>
    <comment ref="P867" authorId="1" shapeId="0">
      <text>
        <r>
          <rPr>
            <b/>
            <sz val="9"/>
            <color indexed="81"/>
            <rFont val="Tahoma"/>
            <family val="2"/>
          </rPr>
          <t>REMEMBER: 2-Fbr Tethers are NOT available for RPX CABLE!</t>
        </r>
      </text>
    </comment>
    <comment ref="Q867" authorId="1" shapeId="0">
      <text>
        <r>
          <rPr>
            <b/>
            <sz val="9"/>
            <color indexed="81"/>
            <rFont val="Tahoma"/>
            <family val="2"/>
          </rPr>
          <t>REMEMBER: 2-Fbr Tethers are NOT available for RPX CABLE!</t>
        </r>
      </text>
    </comment>
    <comment ref="S867" authorId="1" shapeId="0">
      <text>
        <r>
          <rPr>
            <b/>
            <sz val="9"/>
            <color indexed="81"/>
            <rFont val="Tahoma"/>
            <family val="2"/>
          </rPr>
          <t>REMEMBER: 2-Fbr Tethers are NOT available for RPX CABLE!</t>
        </r>
      </text>
    </comment>
    <comment ref="T867" authorId="1" shapeId="0">
      <text>
        <r>
          <rPr>
            <b/>
            <sz val="9"/>
            <color indexed="81"/>
            <rFont val="Tahoma"/>
            <family val="2"/>
          </rPr>
          <t>REMEMBER: 2-Fbr Tethers are NOT available for RPX CABLE!</t>
        </r>
      </text>
    </comment>
    <comment ref="B86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text>
        <r>
          <rPr>
            <b/>
            <sz val="8"/>
            <color indexed="81"/>
            <rFont val="Tahoma"/>
            <family val="2"/>
          </rPr>
          <t>Make sure you add this number to "TAT FIBERS ASSIGNED" for the total required in the Load Block on the prints.</t>
        </r>
      </text>
    </comment>
    <comment ref="G868" authorId="0" shapeId="0">
      <text>
        <r>
          <rPr>
            <b/>
            <sz val="8"/>
            <color indexed="81"/>
            <rFont val="Tahoma"/>
            <family val="2"/>
          </rPr>
          <t>Includes "DEAD" Count (No PON count assigned)</t>
        </r>
      </text>
    </comment>
    <comment ref="I86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text>
        <r>
          <rPr>
            <b/>
            <sz val="9"/>
            <color indexed="81"/>
            <rFont val="Tahoma"/>
            <family val="2"/>
          </rPr>
          <t>REMEMBER: 6-Fbr Tethers are NOT available for RPX CABLE!</t>
        </r>
      </text>
    </comment>
    <comment ref="Q869" authorId="1" shapeId="0">
      <text>
        <r>
          <rPr>
            <b/>
            <sz val="9"/>
            <color indexed="81"/>
            <rFont val="Tahoma"/>
            <family val="2"/>
          </rPr>
          <t>REMEMBER: 6-Fbr Tethers are NOT available for RPX CABLE!</t>
        </r>
      </text>
    </comment>
    <comment ref="S869" authorId="1" shapeId="0">
      <text>
        <r>
          <rPr>
            <b/>
            <sz val="9"/>
            <color indexed="81"/>
            <rFont val="Tahoma"/>
            <family val="2"/>
          </rPr>
          <t>REMEMBER: 6-Fbr Tethers are NOT available for RPX CABLE!</t>
        </r>
      </text>
    </comment>
    <comment ref="T869" authorId="1" shapeId="0">
      <text>
        <r>
          <rPr>
            <b/>
            <sz val="9"/>
            <color indexed="81"/>
            <rFont val="Tahoma"/>
            <family val="2"/>
          </rPr>
          <t>REMEMBER: 6-Fbr Tethers are NOT available for AERIAL CABLE!</t>
        </r>
      </text>
    </comment>
    <comment ref="B87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text>
        <r>
          <rPr>
            <b/>
            <sz val="8"/>
            <color indexed="81"/>
            <rFont val="Tahoma"/>
            <family val="2"/>
          </rPr>
          <t>These are "manufacturing rules" and general warnings</t>
        </r>
        <r>
          <rPr>
            <sz val="8"/>
            <color indexed="81"/>
            <rFont val="Tahoma"/>
            <family val="2"/>
          </rPr>
          <t xml:space="preserve">
</t>
        </r>
      </text>
    </comment>
    <comment ref="B87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text>
        <r>
          <rPr>
            <b/>
            <sz val="8"/>
            <color indexed="81"/>
            <rFont val="Tahoma"/>
            <family val="2"/>
          </rPr>
          <t>This number is a sum of TOTAL PLANNED plus the ASSIGNED TO TETHERS</t>
        </r>
        <r>
          <rPr>
            <sz val="8"/>
            <color indexed="81"/>
            <rFont val="Tahoma"/>
            <family val="2"/>
          </rPr>
          <t xml:space="preserve">
</t>
        </r>
      </text>
    </comment>
    <comment ref="Z875" authorId="0" shapeId="0">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text>
        <r>
          <rPr>
            <b/>
            <sz val="8"/>
            <color indexed="81"/>
            <rFont val="Tahoma"/>
            <family val="2"/>
          </rPr>
          <t>Counting from High count Backwards- this is Fiber Strand 133</t>
        </r>
      </text>
    </comment>
    <comment ref="AB875" authorId="0" shapeId="0">
      <text>
        <r>
          <rPr>
            <b/>
            <sz val="8"/>
            <color indexed="81"/>
            <rFont val="Tahoma"/>
            <family val="2"/>
          </rPr>
          <t>Counting from High count Backwards- this is Fiber Strand 144</t>
        </r>
        <r>
          <rPr>
            <sz val="8"/>
            <color indexed="81"/>
            <rFont val="Tahoma"/>
            <family val="2"/>
          </rPr>
          <t xml:space="preserve">
</t>
        </r>
      </text>
    </comment>
    <comment ref="C876" authorId="0" shapeId="0">
      <text>
        <r>
          <rPr>
            <b/>
            <sz val="8"/>
            <color indexed="81"/>
            <rFont val="Tahoma"/>
            <family val="2"/>
          </rPr>
          <t xml:space="preserve">Select if this tether will be used to feed a CFST or a lateral cable. </t>
        </r>
      </text>
    </comment>
    <comment ref="D876" authorId="0" shapeId="0">
      <text>
        <r>
          <rPr>
            <b/>
            <sz val="8"/>
            <color indexed="81"/>
            <rFont val="Tahoma"/>
            <family val="2"/>
          </rPr>
          <t>Note the Terminal Address to keep your locations straight</t>
        </r>
        <r>
          <rPr>
            <sz val="8"/>
            <color indexed="81"/>
            <rFont val="Tahoma"/>
            <family val="2"/>
          </rPr>
          <t xml:space="preserve">
</t>
        </r>
      </text>
    </comment>
    <comment ref="E876" authorId="0" shapeId="0">
      <text>
        <r>
          <rPr>
            <b/>
            <sz val="9"/>
            <color indexed="81"/>
            <rFont val="Calibri"/>
            <family val="2"/>
            <scheme val="minor"/>
          </rPr>
          <t>Pick the Tether Size for the location</t>
        </r>
        <r>
          <rPr>
            <sz val="8"/>
            <color indexed="81"/>
            <rFont val="Tahoma"/>
            <family val="2"/>
          </rPr>
          <t xml:space="preserve">
</t>
        </r>
      </text>
    </comment>
    <comment ref="F876" authorId="2" shapeId="0">
      <text>
        <r>
          <rPr>
            <b/>
            <sz val="9"/>
            <color indexed="81"/>
            <rFont val="Tahoma"/>
            <family val="2"/>
          </rPr>
          <t>Identify TCF or FST location.
Leave blank if tether is NOT for a TCF or FST!</t>
        </r>
      </text>
    </comment>
    <comment ref="H876" authorId="0" shapeId="0">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text>
        <r>
          <rPr>
            <b/>
            <sz val="8"/>
            <color indexed="81"/>
            <rFont val="Tahoma"/>
            <family val="2"/>
          </rPr>
          <t>If any of these numbers are negative, check your PON count and Cable size</t>
        </r>
      </text>
    </comment>
    <comment ref="J87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text>
        <r>
          <rPr>
            <b/>
            <sz val="9"/>
            <color indexed="81"/>
            <rFont val="Tahoma"/>
            <family val="2"/>
          </rPr>
          <t>Leave blank if using 10' Terminal Tail
Enter Tail length if greater than 10'</t>
        </r>
      </text>
    </comment>
    <comment ref="M876" authorId="0" shapeId="0">
      <text>
        <r>
          <rPr>
            <b/>
            <sz val="8"/>
            <color indexed="81"/>
            <rFont val="Tahoma"/>
            <family val="2"/>
          </rPr>
          <t>Make design notes such as slack coils, realingment loops,  or location notes</t>
        </r>
      </text>
    </comment>
    <comment ref="Z876" authorId="0" shapeId="0">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text>
        <r>
          <rPr>
            <b/>
            <sz val="8"/>
            <color indexed="81"/>
            <rFont val="Tahoma"/>
            <family val="2"/>
          </rPr>
          <t xml:space="preserve">Counting from High count Backwards- this is Fiber Strand 145
</t>
        </r>
      </text>
    </comment>
    <comment ref="AB876" authorId="0" shapeId="0">
      <text>
        <r>
          <rPr>
            <b/>
            <sz val="8"/>
            <color indexed="81"/>
            <rFont val="Tahoma"/>
            <family val="2"/>
          </rPr>
          <t>Counting from High count Backwards- this is Fiber Strand 156</t>
        </r>
      </text>
    </comment>
    <comment ref="J878" authorId="1" shapeId="0">
      <text>
        <r>
          <rPr>
            <b/>
            <sz val="9"/>
            <color indexed="81"/>
            <rFont val="Tahoma"/>
            <family val="2"/>
          </rPr>
          <t>If this highlights as an error, consider upsizing the Tether size for better ribbon utilization</t>
        </r>
      </text>
    </comment>
    <comment ref="J879" authorId="1" shapeId="0">
      <text>
        <r>
          <rPr>
            <b/>
            <sz val="9"/>
            <color indexed="81"/>
            <rFont val="Tahoma"/>
            <family val="2"/>
          </rPr>
          <t>If this highlights as an error, consider upsizing the Tether size for better ribbon utilization</t>
        </r>
      </text>
    </comment>
    <comment ref="J880" authorId="1" shapeId="0">
      <text>
        <r>
          <rPr>
            <b/>
            <sz val="9"/>
            <color indexed="81"/>
            <rFont val="Tahoma"/>
            <family val="2"/>
          </rPr>
          <t>If this highlights as an error, consider upsizing the Tether size for better ribbon utilization</t>
        </r>
      </text>
    </comment>
    <comment ref="J881" authorId="1" shapeId="0">
      <text>
        <r>
          <rPr>
            <b/>
            <sz val="9"/>
            <color indexed="81"/>
            <rFont val="Tahoma"/>
            <family val="2"/>
          </rPr>
          <t>If this highlights as an error, consider upsizing the Tether size for better ribbon utilization</t>
        </r>
      </text>
    </comment>
    <comment ref="J882" authorId="1" shapeId="0">
      <text>
        <r>
          <rPr>
            <b/>
            <sz val="9"/>
            <color indexed="81"/>
            <rFont val="Tahoma"/>
            <family val="2"/>
          </rPr>
          <t>If this highlights as an error, consider upsizing the Tether size for better ribbon utilization</t>
        </r>
      </text>
    </comment>
    <comment ref="J883" authorId="1" shapeId="0">
      <text>
        <r>
          <rPr>
            <b/>
            <sz val="9"/>
            <color indexed="81"/>
            <rFont val="Tahoma"/>
            <family val="2"/>
          </rPr>
          <t>If this highlights as an error, consider upsizing the Tether size for better ribbon utilization</t>
        </r>
      </text>
    </comment>
    <comment ref="J884" authorId="1" shapeId="0">
      <text>
        <r>
          <rPr>
            <b/>
            <sz val="9"/>
            <color indexed="81"/>
            <rFont val="Tahoma"/>
            <family val="2"/>
          </rPr>
          <t>If this highlights as an error, consider upsizing the Tether size for better ribbon utilization</t>
        </r>
      </text>
    </comment>
    <comment ref="J885" authorId="1" shapeId="0">
      <text>
        <r>
          <rPr>
            <b/>
            <sz val="9"/>
            <color indexed="81"/>
            <rFont val="Tahoma"/>
            <family val="2"/>
          </rPr>
          <t>If this highlights as an error, consider upsizing the Tether size for better ribbon utilization</t>
        </r>
      </text>
    </comment>
    <comment ref="J886" authorId="1" shapeId="0">
      <text>
        <r>
          <rPr>
            <b/>
            <sz val="9"/>
            <color indexed="81"/>
            <rFont val="Tahoma"/>
            <family val="2"/>
          </rPr>
          <t>If this highlights as an error, consider upsizing the Tether size for better ribbon utilization</t>
        </r>
      </text>
    </comment>
    <comment ref="J887" authorId="1" shapeId="0">
      <text>
        <r>
          <rPr>
            <b/>
            <sz val="9"/>
            <color indexed="81"/>
            <rFont val="Tahoma"/>
            <family val="2"/>
          </rPr>
          <t>If this highlights as an error, consider upsizing the Tether size for better ribbon utilization</t>
        </r>
      </text>
    </comment>
    <comment ref="J888" authorId="1" shapeId="0">
      <text>
        <r>
          <rPr>
            <b/>
            <sz val="9"/>
            <color indexed="81"/>
            <rFont val="Tahoma"/>
            <family val="2"/>
          </rPr>
          <t>If this highlights as an error, consider upsizing the Tether size for better ribbon utilization</t>
        </r>
      </text>
    </comment>
    <comment ref="J889" authorId="1" shapeId="0">
      <text>
        <r>
          <rPr>
            <b/>
            <sz val="9"/>
            <color indexed="81"/>
            <rFont val="Tahoma"/>
            <family val="2"/>
          </rPr>
          <t>If this highlights as an error, consider upsizing the Tether size for better ribbon utilization</t>
        </r>
      </text>
    </comment>
    <comment ref="J890" authorId="1" shapeId="0">
      <text>
        <r>
          <rPr>
            <b/>
            <sz val="9"/>
            <color indexed="81"/>
            <rFont val="Tahoma"/>
            <family val="2"/>
          </rPr>
          <t>If this highlights as an error, consider upsizing the Tether size for better ribbon utilization</t>
        </r>
      </text>
    </comment>
    <comment ref="J891" authorId="1" shapeId="0">
      <text>
        <r>
          <rPr>
            <b/>
            <sz val="9"/>
            <color indexed="81"/>
            <rFont val="Tahoma"/>
            <family val="2"/>
          </rPr>
          <t>If this highlights as an error, consider upsizing the Tether size for better ribbon utilization</t>
        </r>
      </text>
    </comment>
    <comment ref="J892" authorId="1" shapeId="0">
      <text>
        <r>
          <rPr>
            <b/>
            <sz val="9"/>
            <color indexed="81"/>
            <rFont val="Tahoma"/>
            <family val="2"/>
          </rPr>
          <t>If this highlights as an error, consider upsizing the Tether size for better ribbon utilization</t>
        </r>
      </text>
    </comment>
    <comment ref="J893" authorId="1" shapeId="0">
      <text>
        <r>
          <rPr>
            <b/>
            <sz val="9"/>
            <color indexed="81"/>
            <rFont val="Tahoma"/>
            <family val="2"/>
          </rPr>
          <t>If this highlights as an error, consider upsizing the Tether size for better ribbon utilization</t>
        </r>
      </text>
    </comment>
    <comment ref="J894" authorId="1" shapeId="0">
      <text>
        <r>
          <rPr>
            <b/>
            <sz val="9"/>
            <color indexed="81"/>
            <rFont val="Tahoma"/>
            <family val="2"/>
          </rPr>
          <t>If this highlights as an error, consider upsizing the Tether size for better ribbon utilization</t>
        </r>
      </text>
    </comment>
    <comment ref="J895" authorId="1" shapeId="0">
      <text>
        <r>
          <rPr>
            <b/>
            <sz val="9"/>
            <color indexed="81"/>
            <rFont val="Tahoma"/>
            <family val="2"/>
          </rPr>
          <t>If this highlights as an error, consider upsizing the Tether size for better ribbon utilization</t>
        </r>
      </text>
    </comment>
    <comment ref="C896" authorId="1" shapeId="0">
      <text>
        <r>
          <rPr>
            <b/>
            <sz val="9"/>
            <color indexed="81"/>
            <rFont val="Tahoma"/>
            <family val="2"/>
          </rPr>
          <t>DBL REV requires TWO rows!
TPL REV requires THREE rows!
QD REV requires FOUR rows!</t>
        </r>
      </text>
    </comment>
    <comment ref="J896" authorId="1" shapeId="0">
      <text>
        <r>
          <rPr>
            <b/>
            <sz val="9"/>
            <color indexed="81"/>
            <rFont val="Tahoma"/>
            <family val="2"/>
          </rPr>
          <t>If this highlights as an error, consider upsizing the Tether size for better ribbon utilization</t>
        </r>
      </text>
    </comment>
    <comment ref="C897" authorId="1" shapeId="0">
      <text>
        <r>
          <rPr>
            <b/>
            <sz val="9"/>
            <color indexed="81"/>
            <rFont val="Tahoma"/>
            <family val="2"/>
          </rPr>
          <t>DBL REV requires TWO rows!
TPL REV requires THREE rows!
QD REV requires FOUR rows!</t>
        </r>
      </text>
    </comment>
    <comment ref="J897" authorId="1" shapeId="0">
      <text>
        <r>
          <rPr>
            <b/>
            <sz val="9"/>
            <color indexed="81"/>
            <rFont val="Tahoma"/>
            <family val="2"/>
          </rPr>
          <t>If this highlights as an error, consider upsizing the Tether size for better ribbon utilization</t>
        </r>
      </text>
    </comment>
    <comment ref="C898" authorId="1" shapeId="0">
      <text>
        <r>
          <rPr>
            <b/>
            <sz val="9"/>
            <color indexed="81"/>
            <rFont val="Tahoma"/>
            <family val="2"/>
          </rPr>
          <t>DBL REV requires TWO rows!
TPL REV requires THREE rows!
QD REV requires FOUR rows!</t>
        </r>
      </text>
    </comment>
    <comment ref="J898" authorId="1" shapeId="0">
      <text>
        <r>
          <rPr>
            <b/>
            <sz val="9"/>
            <color indexed="81"/>
            <rFont val="Tahoma"/>
            <family val="2"/>
          </rPr>
          <t>If this highlights as an error, consider upsizing the Tether size for better ribbon utilization</t>
        </r>
      </text>
    </comment>
    <comment ref="C899" authorId="1" shapeId="0">
      <text>
        <r>
          <rPr>
            <b/>
            <sz val="9"/>
            <color indexed="81"/>
            <rFont val="Tahoma"/>
            <family val="2"/>
          </rPr>
          <t>DBL REV requires TWO rows!
TPL REV requires THREE rows!
QD REV requires FOUR rows!</t>
        </r>
      </text>
    </comment>
    <comment ref="J899" authorId="1" shapeId="0">
      <text>
        <r>
          <rPr>
            <b/>
            <sz val="9"/>
            <color indexed="81"/>
            <rFont val="Tahoma"/>
            <family val="2"/>
          </rPr>
          <t>If this highlights as an error, consider upsizing the Tether size for better ribbon utilization</t>
        </r>
      </text>
    </comment>
    <comment ref="C900" authorId="1" shapeId="0">
      <text>
        <r>
          <rPr>
            <b/>
            <sz val="9"/>
            <color indexed="81"/>
            <rFont val="Tahoma"/>
            <family val="2"/>
          </rPr>
          <t>DBL REV requires TWO rows!
TPL REV requires THREE rows!
QD REV requires FOUR rows!</t>
        </r>
      </text>
    </comment>
    <comment ref="J900" authorId="1" shapeId="0">
      <text>
        <r>
          <rPr>
            <b/>
            <sz val="9"/>
            <color indexed="81"/>
            <rFont val="Tahoma"/>
            <family val="2"/>
          </rPr>
          <t>If this highlights as an error, consider upsizing the Tether size for better ribbon utilization</t>
        </r>
      </text>
    </comment>
    <comment ref="C901" authorId="1" shapeId="0">
      <text>
        <r>
          <rPr>
            <b/>
            <sz val="9"/>
            <color indexed="81"/>
            <rFont val="Tahoma"/>
            <family val="2"/>
          </rPr>
          <t>DBL REV requires TWO rows!
TPL REV requires THREE rows!
QD REV requires FOUR rows!</t>
        </r>
      </text>
    </comment>
    <comment ref="J901" authorId="1" shapeId="0">
      <text>
        <r>
          <rPr>
            <b/>
            <sz val="9"/>
            <color indexed="81"/>
            <rFont val="Tahoma"/>
            <family val="2"/>
          </rPr>
          <t>If this highlights as an error, consider upsizing the Tether size for better ribbon utilization</t>
        </r>
      </text>
    </comment>
    <comment ref="C902" authorId="1" shapeId="0">
      <text>
        <r>
          <rPr>
            <b/>
            <sz val="9"/>
            <color indexed="81"/>
            <rFont val="Tahoma"/>
            <family val="2"/>
          </rPr>
          <t>DBL REV requires TWO rows!
TPL REV requires THREE rows!
QD REV requires FOUR rows!</t>
        </r>
      </text>
    </comment>
    <comment ref="J902" authorId="1" shapeId="0">
      <text>
        <r>
          <rPr>
            <b/>
            <sz val="9"/>
            <color indexed="81"/>
            <rFont val="Tahoma"/>
            <family val="2"/>
          </rPr>
          <t>If this highlights as an error, consider upsizing the Tether size for better ribbon utilization</t>
        </r>
      </text>
    </comment>
    <comment ref="B90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text>
        <r>
          <rPr>
            <b/>
            <sz val="8"/>
            <color indexed="81"/>
            <rFont val="Tahoma"/>
            <family val="2"/>
          </rPr>
          <t>This will be added to Planning Load Block A for TOTAL</t>
        </r>
        <r>
          <rPr>
            <sz val="8"/>
            <color indexed="81"/>
            <rFont val="Tahoma"/>
            <family val="2"/>
          </rPr>
          <t xml:space="preserve">
</t>
        </r>
      </text>
    </comment>
    <comment ref="J908" authorId="0" shapeId="0">
      <text>
        <r>
          <rPr>
            <b/>
            <sz val="8"/>
            <color indexed="81"/>
            <rFont val="Tahoma"/>
            <family val="2"/>
          </rPr>
          <t>This is the PON OUT count that is not assigned in this cable reel.</t>
        </r>
        <r>
          <rPr>
            <sz val="8"/>
            <color indexed="81"/>
            <rFont val="Tahoma"/>
            <family val="2"/>
          </rPr>
          <t xml:space="preserve">
</t>
        </r>
      </text>
    </comment>
    <comment ref="P908" authorId="1" shapeId="0">
      <text>
        <r>
          <rPr>
            <b/>
            <sz val="9"/>
            <color indexed="81"/>
            <rFont val="Tahoma"/>
            <family val="2"/>
          </rPr>
          <t>REMEMBER: 2-Fbr Tethers are NOT available for RPX CABLE!</t>
        </r>
      </text>
    </comment>
    <comment ref="Q908" authorId="1" shapeId="0">
      <text>
        <r>
          <rPr>
            <b/>
            <sz val="9"/>
            <color indexed="81"/>
            <rFont val="Tahoma"/>
            <family val="2"/>
          </rPr>
          <t>REMEMBER: 2-Fbr Tethers are NOT available for RPX CABLE!</t>
        </r>
      </text>
    </comment>
    <comment ref="S908" authorId="1" shapeId="0">
      <text>
        <r>
          <rPr>
            <b/>
            <sz val="9"/>
            <color indexed="81"/>
            <rFont val="Tahoma"/>
            <family val="2"/>
          </rPr>
          <t>REMEMBER: 2-Fbr Tethers are NOT available for RPX CABLE!</t>
        </r>
      </text>
    </comment>
    <comment ref="T908" authorId="1" shapeId="0">
      <text>
        <r>
          <rPr>
            <b/>
            <sz val="9"/>
            <color indexed="81"/>
            <rFont val="Tahoma"/>
            <family val="2"/>
          </rPr>
          <t>REMEMBER: 2-Fbr Tethers are NOT available for RPX CABLE!</t>
        </r>
      </text>
    </comment>
    <comment ref="B90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text>
        <r>
          <rPr>
            <b/>
            <sz val="8"/>
            <color indexed="81"/>
            <rFont val="Tahoma"/>
            <family val="2"/>
          </rPr>
          <t>Make sure you add this number to "TAT FIBERS ASSIGNED" for the total required in the Load Block on the prints.</t>
        </r>
      </text>
    </comment>
    <comment ref="G909" authorId="0" shapeId="0">
      <text>
        <r>
          <rPr>
            <b/>
            <sz val="8"/>
            <color indexed="81"/>
            <rFont val="Tahoma"/>
            <family val="2"/>
          </rPr>
          <t>Includes "DEAD" Count (No PON count assigned)</t>
        </r>
      </text>
    </comment>
    <comment ref="I90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text>
        <r>
          <rPr>
            <b/>
            <sz val="9"/>
            <color indexed="81"/>
            <rFont val="Tahoma"/>
            <family val="2"/>
          </rPr>
          <t>REMEMBER: 6-Fbr Tethers are NOT available for RPX CABLE!</t>
        </r>
      </text>
    </comment>
    <comment ref="Q910" authorId="1" shapeId="0">
      <text>
        <r>
          <rPr>
            <b/>
            <sz val="9"/>
            <color indexed="81"/>
            <rFont val="Tahoma"/>
            <family val="2"/>
          </rPr>
          <t>REMEMBER: 6-Fbr Tethers are NOT available for RPX CABLE!</t>
        </r>
      </text>
    </comment>
    <comment ref="S910" authorId="1" shapeId="0">
      <text>
        <r>
          <rPr>
            <b/>
            <sz val="9"/>
            <color indexed="81"/>
            <rFont val="Tahoma"/>
            <family val="2"/>
          </rPr>
          <t>REMEMBER: 6-Fbr Tethers are NOT available for RPX CABLE!</t>
        </r>
      </text>
    </comment>
    <comment ref="T910" authorId="1" shapeId="0">
      <text>
        <r>
          <rPr>
            <b/>
            <sz val="9"/>
            <color indexed="81"/>
            <rFont val="Tahoma"/>
            <family val="2"/>
          </rPr>
          <t>REMEMBER: 6-Fbr Tethers are NOT available for AERIAL CABLE!</t>
        </r>
      </text>
    </comment>
    <comment ref="B91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text>
        <r>
          <rPr>
            <b/>
            <sz val="8"/>
            <color indexed="81"/>
            <rFont val="Tahoma"/>
            <family val="2"/>
          </rPr>
          <t>These are "manufacturing rules" and general warnings</t>
        </r>
        <r>
          <rPr>
            <sz val="8"/>
            <color indexed="81"/>
            <rFont val="Tahoma"/>
            <family val="2"/>
          </rPr>
          <t xml:space="preserve">
</t>
        </r>
      </text>
    </comment>
    <comment ref="B91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text>
        <r>
          <rPr>
            <b/>
            <sz val="8"/>
            <color indexed="81"/>
            <rFont val="Tahoma"/>
            <family val="2"/>
          </rPr>
          <t>This number is a sum of TOTAL PLANNED plus the ASSIGNED TO TETHERS</t>
        </r>
        <r>
          <rPr>
            <sz val="8"/>
            <color indexed="81"/>
            <rFont val="Tahoma"/>
            <family val="2"/>
          </rPr>
          <t xml:space="preserve">
</t>
        </r>
      </text>
    </comment>
    <comment ref="Z916" authorId="0" shapeId="0">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text>
        <r>
          <rPr>
            <b/>
            <sz val="8"/>
            <color indexed="81"/>
            <rFont val="Tahoma"/>
            <family val="2"/>
          </rPr>
          <t>Counting from High count Backwards- this is Fiber Strand 133</t>
        </r>
      </text>
    </comment>
    <comment ref="AB916" authorId="0" shapeId="0">
      <text>
        <r>
          <rPr>
            <b/>
            <sz val="8"/>
            <color indexed="81"/>
            <rFont val="Tahoma"/>
            <family val="2"/>
          </rPr>
          <t>Counting from High count Backwards- this is Fiber Strand 144</t>
        </r>
        <r>
          <rPr>
            <sz val="8"/>
            <color indexed="81"/>
            <rFont val="Tahoma"/>
            <family val="2"/>
          </rPr>
          <t xml:space="preserve">
</t>
        </r>
      </text>
    </comment>
    <comment ref="C917" authorId="0" shapeId="0">
      <text>
        <r>
          <rPr>
            <b/>
            <sz val="8"/>
            <color indexed="81"/>
            <rFont val="Tahoma"/>
            <family val="2"/>
          </rPr>
          <t xml:space="preserve">Select if this tether will be used to feed a CFST or a lateral cable. </t>
        </r>
      </text>
    </comment>
    <comment ref="D917" authorId="0" shapeId="0">
      <text>
        <r>
          <rPr>
            <b/>
            <sz val="8"/>
            <color indexed="81"/>
            <rFont val="Tahoma"/>
            <family val="2"/>
          </rPr>
          <t>Note the Terminal Address to keep your locations straight</t>
        </r>
        <r>
          <rPr>
            <sz val="8"/>
            <color indexed="81"/>
            <rFont val="Tahoma"/>
            <family val="2"/>
          </rPr>
          <t xml:space="preserve">
</t>
        </r>
      </text>
    </comment>
    <comment ref="E917" authorId="0" shapeId="0">
      <text>
        <r>
          <rPr>
            <b/>
            <sz val="9"/>
            <color indexed="81"/>
            <rFont val="Calibri"/>
            <family val="2"/>
            <scheme val="minor"/>
          </rPr>
          <t>Pick the Tether Size for the location</t>
        </r>
        <r>
          <rPr>
            <sz val="8"/>
            <color indexed="81"/>
            <rFont val="Tahoma"/>
            <family val="2"/>
          </rPr>
          <t xml:space="preserve">
</t>
        </r>
      </text>
    </comment>
    <comment ref="F917" authorId="2" shapeId="0">
      <text>
        <r>
          <rPr>
            <b/>
            <sz val="9"/>
            <color indexed="81"/>
            <rFont val="Tahoma"/>
            <family val="2"/>
          </rPr>
          <t>Identify TCF or FST location.
Leave blank if tether is NOT for a TCF or FST!</t>
        </r>
      </text>
    </comment>
    <comment ref="H917" authorId="0" shapeId="0">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text>
        <r>
          <rPr>
            <b/>
            <sz val="8"/>
            <color indexed="81"/>
            <rFont val="Tahoma"/>
            <family val="2"/>
          </rPr>
          <t>If any of these numbers are negative, check your PON count and Cable size</t>
        </r>
      </text>
    </comment>
    <comment ref="J91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text>
        <r>
          <rPr>
            <b/>
            <sz val="9"/>
            <color indexed="81"/>
            <rFont val="Tahoma"/>
            <family val="2"/>
          </rPr>
          <t>Leave blank if using 10' Terminal Tail
Enter Tail length if greater than 10'</t>
        </r>
      </text>
    </comment>
    <comment ref="M917" authorId="0" shapeId="0">
      <text>
        <r>
          <rPr>
            <b/>
            <sz val="8"/>
            <color indexed="81"/>
            <rFont val="Tahoma"/>
            <family val="2"/>
          </rPr>
          <t>Make design notes such as slack coils, realingment loops,  or location notes</t>
        </r>
      </text>
    </comment>
    <comment ref="Z917" authorId="0" shapeId="0">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text>
        <r>
          <rPr>
            <b/>
            <sz val="8"/>
            <color indexed="81"/>
            <rFont val="Tahoma"/>
            <family val="2"/>
          </rPr>
          <t xml:space="preserve">Counting from High count Backwards- this is Fiber Strand 145
</t>
        </r>
      </text>
    </comment>
    <comment ref="AB917" authorId="0" shapeId="0">
      <text>
        <r>
          <rPr>
            <b/>
            <sz val="8"/>
            <color indexed="81"/>
            <rFont val="Tahoma"/>
            <family val="2"/>
          </rPr>
          <t>Counting from High count Backwards- this is Fiber Strand 156</t>
        </r>
      </text>
    </comment>
    <comment ref="J919" authorId="1" shapeId="0">
      <text>
        <r>
          <rPr>
            <b/>
            <sz val="9"/>
            <color indexed="81"/>
            <rFont val="Tahoma"/>
            <family val="2"/>
          </rPr>
          <t>If this highlights as an error, consider upsizing the Tether size for better ribbon utilization</t>
        </r>
      </text>
    </comment>
    <comment ref="J920" authorId="1" shapeId="0">
      <text>
        <r>
          <rPr>
            <b/>
            <sz val="9"/>
            <color indexed="81"/>
            <rFont val="Tahoma"/>
            <family val="2"/>
          </rPr>
          <t>If this highlights as an error, consider upsizing the Tether size for better ribbon utilization</t>
        </r>
      </text>
    </comment>
    <comment ref="J921" authorId="1" shapeId="0">
      <text>
        <r>
          <rPr>
            <b/>
            <sz val="9"/>
            <color indexed="81"/>
            <rFont val="Tahoma"/>
            <family val="2"/>
          </rPr>
          <t>If this highlights as an error, consider upsizing the Tether size for better ribbon utilization</t>
        </r>
      </text>
    </comment>
    <comment ref="J922" authorId="1" shapeId="0">
      <text>
        <r>
          <rPr>
            <b/>
            <sz val="9"/>
            <color indexed="81"/>
            <rFont val="Tahoma"/>
            <family val="2"/>
          </rPr>
          <t>If this highlights as an error, consider upsizing the Tether size for better ribbon utilization</t>
        </r>
      </text>
    </comment>
    <comment ref="J923" authorId="1" shapeId="0">
      <text>
        <r>
          <rPr>
            <b/>
            <sz val="9"/>
            <color indexed="81"/>
            <rFont val="Tahoma"/>
            <family val="2"/>
          </rPr>
          <t>If this highlights as an error, consider upsizing the Tether size for better ribbon utilization</t>
        </r>
      </text>
    </comment>
    <comment ref="J924" authorId="1" shapeId="0">
      <text>
        <r>
          <rPr>
            <b/>
            <sz val="9"/>
            <color indexed="81"/>
            <rFont val="Tahoma"/>
            <family val="2"/>
          </rPr>
          <t>If this highlights as an error, consider upsizing the Tether size for better ribbon utilization</t>
        </r>
      </text>
    </comment>
    <comment ref="J925" authorId="1" shapeId="0">
      <text>
        <r>
          <rPr>
            <b/>
            <sz val="9"/>
            <color indexed="81"/>
            <rFont val="Tahoma"/>
            <family val="2"/>
          </rPr>
          <t>If this highlights as an error, consider upsizing the Tether size for better ribbon utilization</t>
        </r>
      </text>
    </comment>
    <comment ref="J926" authorId="1" shapeId="0">
      <text>
        <r>
          <rPr>
            <b/>
            <sz val="9"/>
            <color indexed="81"/>
            <rFont val="Tahoma"/>
            <family val="2"/>
          </rPr>
          <t>If this highlights as an error, consider upsizing the Tether size for better ribbon utilization</t>
        </r>
      </text>
    </comment>
    <comment ref="J927" authorId="1" shapeId="0">
      <text>
        <r>
          <rPr>
            <b/>
            <sz val="9"/>
            <color indexed="81"/>
            <rFont val="Tahoma"/>
            <family val="2"/>
          </rPr>
          <t>If this highlights as an error, consider upsizing the Tether size for better ribbon utilization</t>
        </r>
      </text>
    </comment>
    <comment ref="J928" authorId="1" shapeId="0">
      <text>
        <r>
          <rPr>
            <b/>
            <sz val="9"/>
            <color indexed="81"/>
            <rFont val="Tahoma"/>
            <family val="2"/>
          </rPr>
          <t>If this highlights as an error, consider upsizing the Tether size for better ribbon utilization</t>
        </r>
      </text>
    </comment>
    <comment ref="J929" authorId="1" shapeId="0">
      <text>
        <r>
          <rPr>
            <b/>
            <sz val="9"/>
            <color indexed="81"/>
            <rFont val="Tahoma"/>
            <family val="2"/>
          </rPr>
          <t>If this highlights as an error, consider upsizing the Tether size for better ribbon utilization</t>
        </r>
      </text>
    </comment>
    <comment ref="J930" authorId="1" shapeId="0">
      <text>
        <r>
          <rPr>
            <b/>
            <sz val="9"/>
            <color indexed="81"/>
            <rFont val="Tahoma"/>
            <family val="2"/>
          </rPr>
          <t>If this highlights as an error, consider upsizing the Tether size for better ribbon utilization</t>
        </r>
      </text>
    </comment>
    <comment ref="J931" authorId="1" shapeId="0">
      <text>
        <r>
          <rPr>
            <b/>
            <sz val="9"/>
            <color indexed="81"/>
            <rFont val="Tahoma"/>
            <family val="2"/>
          </rPr>
          <t>If this highlights as an error, consider upsizing the Tether size for better ribbon utilization</t>
        </r>
      </text>
    </comment>
    <comment ref="J932" authorId="1" shapeId="0">
      <text>
        <r>
          <rPr>
            <b/>
            <sz val="9"/>
            <color indexed="81"/>
            <rFont val="Tahoma"/>
            <family val="2"/>
          </rPr>
          <t>If this highlights as an error, consider upsizing the Tether size for better ribbon utilization</t>
        </r>
      </text>
    </comment>
    <comment ref="J933" authorId="1" shapeId="0">
      <text>
        <r>
          <rPr>
            <b/>
            <sz val="9"/>
            <color indexed="81"/>
            <rFont val="Tahoma"/>
            <family val="2"/>
          </rPr>
          <t>If this highlights as an error, consider upsizing the Tether size for better ribbon utilization</t>
        </r>
      </text>
    </comment>
    <comment ref="J934" authorId="1" shapeId="0">
      <text>
        <r>
          <rPr>
            <b/>
            <sz val="9"/>
            <color indexed="81"/>
            <rFont val="Tahoma"/>
            <family val="2"/>
          </rPr>
          <t>If this highlights as an error, consider upsizing the Tether size for better ribbon utilization</t>
        </r>
      </text>
    </comment>
    <comment ref="J935" authorId="1" shapeId="0">
      <text>
        <r>
          <rPr>
            <b/>
            <sz val="9"/>
            <color indexed="81"/>
            <rFont val="Tahoma"/>
            <family val="2"/>
          </rPr>
          <t>If this highlights as an error, consider upsizing the Tether size for better ribbon utilization</t>
        </r>
      </text>
    </comment>
    <comment ref="J936" authorId="1" shapeId="0">
      <text>
        <r>
          <rPr>
            <b/>
            <sz val="9"/>
            <color indexed="81"/>
            <rFont val="Tahoma"/>
            <family val="2"/>
          </rPr>
          <t>If this highlights as an error, consider upsizing the Tether size for better ribbon utilization</t>
        </r>
      </text>
    </comment>
    <comment ref="C937" authorId="1" shapeId="0">
      <text>
        <r>
          <rPr>
            <b/>
            <sz val="9"/>
            <color indexed="81"/>
            <rFont val="Tahoma"/>
            <family val="2"/>
          </rPr>
          <t>DBL REV requires TWO rows!
TPL REV requires THREE rows!
QD REV requires FOUR rows!</t>
        </r>
      </text>
    </comment>
    <comment ref="J937" authorId="1" shapeId="0">
      <text>
        <r>
          <rPr>
            <b/>
            <sz val="9"/>
            <color indexed="81"/>
            <rFont val="Tahoma"/>
            <family val="2"/>
          </rPr>
          <t>If this highlights as an error, consider upsizing the Tether size for better ribbon utilization</t>
        </r>
      </text>
    </comment>
    <comment ref="C938" authorId="1" shapeId="0">
      <text>
        <r>
          <rPr>
            <b/>
            <sz val="9"/>
            <color indexed="81"/>
            <rFont val="Tahoma"/>
            <family val="2"/>
          </rPr>
          <t>DBL REV requires TWO rows!
TPL REV requires THREE rows!
QD REV requires FOUR rows!</t>
        </r>
      </text>
    </comment>
    <comment ref="J938" authorId="1" shapeId="0">
      <text>
        <r>
          <rPr>
            <b/>
            <sz val="9"/>
            <color indexed="81"/>
            <rFont val="Tahoma"/>
            <family val="2"/>
          </rPr>
          <t>If this highlights as an error, consider upsizing the Tether size for better ribbon utilization</t>
        </r>
      </text>
    </comment>
    <comment ref="C939" authorId="1" shapeId="0">
      <text>
        <r>
          <rPr>
            <b/>
            <sz val="9"/>
            <color indexed="81"/>
            <rFont val="Tahoma"/>
            <family val="2"/>
          </rPr>
          <t>DBL REV requires TWO rows!
TPL REV requires THREE rows!
QD REV requires FOUR rows!</t>
        </r>
      </text>
    </comment>
    <comment ref="J939" authorId="1" shapeId="0">
      <text>
        <r>
          <rPr>
            <b/>
            <sz val="9"/>
            <color indexed="81"/>
            <rFont val="Tahoma"/>
            <family val="2"/>
          </rPr>
          <t>If this highlights as an error, consider upsizing the Tether size for better ribbon utilization</t>
        </r>
      </text>
    </comment>
    <comment ref="C940" authorId="1" shapeId="0">
      <text>
        <r>
          <rPr>
            <b/>
            <sz val="9"/>
            <color indexed="81"/>
            <rFont val="Tahoma"/>
            <family val="2"/>
          </rPr>
          <t>DBL REV requires TWO rows!
TPL REV requires THREE rows!
QD REV requires FOUR rows!</t>
        </r>
      </text>
    </comment>
    <comment ref="J940" authorId="1" shapeId="0">
      <text>
        <r>
          <rPr>
            <b/>
            <sz val="9"/>
            <color indexed="81"/>
            <rFont val="Tahoma"/>
            <family val="2"/>
          </rPr>
          <t>If this highlights as an error, consider upsizing the Tether size for better ribbon utilization</t>
        </r>
      </text>
    </comment>
    <comment ref="C941" authorId="1" shapeId="0">
      <text>
        <r>
          <rPr>
            <b/>
            <sz val="9"/>
            <color indexed="81"/>
            <rFont val="Tahoma"/>
            <family val="2"/>
          </rPr>
          <t>DBL REV requires TWO rows!
TPL REV requires THREE rows!
QD REV requires FOUR rows!</t>
        </r>
      </text>
    </comment>
    <comment ref="J941" authorId="1" shapeId="0">
      <text>
        <r>
          <rPr>
            <b/>
            <sz val="9"/>
            <color indexed="81"/>
            <rFont val="Tahoma"/>
            <family val="2"/>
          </rPr>
          <t>If this highlights as an error, consider upsizing the Tether size for better ribbon utilization</t>
        </r>
      </text>
    </comment>
    <comment ref="C942" authorId="1" shapeId="0">
      <text>
        <r>
          <rPr>
            <b/>
            <sz val="9"/>
            <color indexed="81"/>
            <rFont val="Tahoma"/>
            <family val="2"/>
          </rPr>
          <t>DBL REV requires TWO rows!
TPL REV requires THREE rows!
QD REV requires FOUR rows!</t>
        </r>
      </text>
    </comment>
    <comment ref="J942" authorId="1" shapeId="0">
      <text>
        <r>
          <rPr>
            <b/>
            <sz val="9"/>
            <color indexed="81"/>
            <rFont val="Tahoma"/>
            <family val="2"/>
          </rPr>
          <t>If this highlights as an error, consider upsizing the Tether size for better ribbon utilization</t>
        </r>
      </text>
    </comment>
    <comment ref="C943" authorId="1" shapeId="0">
      <text>
        <r>
          <rPr>
            <b/>
            <sz val="9"/>
            <color indexed="81"/>
            <rFont val="Tahoma"/>
            <family val="2"/>
          </rPr>
          <t>DBL REV requires TWO rows!
TPL REV requires THREE rows!
QD REV requires FOUR rows!</t>
        </r>
      </text>
    </comment>
    <comment ref="J943" authorId="1" shapeId="0">
      <text>
        <r>
          <rPr>
            <b/>
            <sz val="9"/>
            <color indexed="81"/>
            <rFont val="Tahoma"/>
            <family val="2"/>
          </rPr>
          <t>If this highlights as an error, consider upsizing the Tether size for better ribbon utilization</t>
        </r>
      </text>
    </comment>
    <comment ref="B94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text>
        <r>
          <rPr>
            <b/>
            <sz val="8"/>
            <color indexed="81"/>
            <rFont val="Tahoma"/>
            <family val="2"/>
          </rPr>
          <t>This will be added to Planning Load Block A for TOTAL</t>
        </r>
        <r>
          <rPr>
            <sz val="8"/>
            <color indexed="81"/>
            <rFont val="Tahoma"/>
            <family val="2"/>
          </rPr>
          <t xml:space="preserve">
</t>
        </r>
      </text>
    </comment>
    <comment ref="J949" authorId="0" shapeId="0">
      <text>
        <r>
          <rPr>
            <b/>
            <sz val="8"/>
            <color indexed="81"/>
            <rFont val="Tahoma"/>
            <family val="2"/>
          </rPr>
          <t>This is the PON OUT count that is not assigned in this cable reel.</t>
        </r>
        <r>
          <rPr>
            <sz val="8"/>
            <color indexed="81"/>
            <rFont val="Tahoma"/>
            <family val="2"/>
          </rPr>
          <t xml:space="preserve">
</t>
        </r>
      </text>
    </comment>
    <comment ref="P949" authorId="1" shapeId="0">
      <text>
        <r>
          <rPr>
            <b/>
            <sz val="9"/>
            <color indexed="81"/>
            <rFont val="Tahoma"/>
            <family val="2"/>
          </rPr>
          <t>REMEMBER: 2-Fbr Tethers are NOT available for RPX CABLE!</t>
        </r>
      </text>
    </comment>
    <comment ref="Q949" authorId="1" shapeId="0">
      <text>
        <r>
          <rPr>
            <b/>
            <sz val="9"/>
            <color indexed="81"/>
            <rFont val="Tahoma"/>
            <family val="2"/>
          </rPr>
          <t>REMEMBER: 2-Fbr Tethers are NOT available for RPX CABLE!</t>
        </r>
      </text>
    </comment>
    <comment ref="S949" authorId="1" shapeId="0">
      <text>
        <r>
          <rPr>
            <b/>
            <sz val="9"/>
            <color indexed="81"/>
            <rFont val="Tahoma"/>
            <family val="2"/>
          </rPr>
          <t>REMEMBER: 2-Fbr Tethers are NOT available for RPX CABLE!</t>
        </r>
      </text>
    </comment>
    <comment ref="T949" authorId="1" shapeId="0">
      <text>
        <r>
          <rPr>
            <b/>
            <sz val="9"/>
            <color indexed="81"/>
            <rFont val="Tahoma"/>
            <family val="2"/>
          </rPr>
          <t>REMEMBER: 2-Fbr Tethers are NOT available for RPX CABLE!</t>
        </r>
      </text>
    </comment>
    <comment ref="B95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text>
        <r>
          <rPr>
            <b/>
            <sz val="8"/>
            <color indexed="81"/>
            <rFont val="Tahoma"/>
            <family val="2"/>
          </rPr>
          <t>Make sure you add this number to "TAT FIBERS ASSIGNED" for the total required in the Load Block on the prints.</t>
        </r>
      </text>
    </comment>
    <comment ref="G950" authorId="0" shapeId="0">
      <text>
        <r>
          <rPr>
            <b/>
            <sz val="8"/>
            <color indexed="81"/>
            <rFont val="Tahoma"/>
            <family val="2"/>
          </rPr>
          <t>Includes "DEAD" Count (No PON count assigned)</t>
        </r>
      </text>
    </comment>
    <comment ref="I95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text>
        <r>
          <rPr>
            <b/>
            <sz val="9"/>
            <color indexed="81"/>
            <rFont val="Tahoma"/>
            <family val="2"/>
          </rPr>
          <t>REMEMBER: 6-Fbr Tethers are NOT available for RPX CABLE!</t>
        </r>
      </text>
    </comment>
    <comment ref="Q951" authorId="1" shapeId="0">
      <text>
        <r>
          <rPr>
            <b/>
            <sz val="9"/>
            <color indexed="81"/>
            <rFont val="Tahoma"/>
            <family val="2"/>
          </rPr>
          <t>REMEMBER: 6-Fbr Tethers are NOT available for RPX CABLE!</t>
        </r>
      </text>
    </comment>
    <comment ref="S951" authorId="1" shapeId="0">
      <text>
        <r>
          <rPr>
            <b/>
            <sz val="9"/>
            <color indexed="81"/>
            <rFont val="Tahoma"/>
            <family val="2"/>
          </rPr>
          <t>REMEMBER: 6-Fbr Tethers are NOT available for RPX CABLE!</t>
        </r>
      </text>
    </comment>
    <comment ref="T951" authorId="1" shapeId="0">
      <text>
        <r>
          <rPr>
            <b/>
            <sz val="9"/>
            <color indexed="81"/>
            <rFont val="Tahoma"/>
            <family val="2"/>
          </rPr>
          <t>REMEMBER: 6-Fbr Tethers are NOT available for AERIAL CABLE!</t>
        </r>
      </text>
    </comment>
    <comment ref="B95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text>
        <r>
          <rPr>
            <b/>
            <sz val="8"/>
            <color indexed="81"/>
            <rFont val="Tahoma"/>
            <family val="2"/>
          </rPr>
          <t>These are "manufacturing rules" and general warnings</t>
        </r>
        <r>
          <rPr>
            <sz val="8"/>
            <color indexed="81"/>
            <rFont val="Tahoma"/>
            <family val="2"/>
          </rPr>
          <t xml:space="preserve">
</t>
        </r>
      </text>
    </comment>
    <comment ref="B95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text>
        <r>
          <rPr>
            <b/>
            <sz val="8"/>
            <color indexed="81"/>
            <rFont val="Tahoma"/>
            <family val="2"/>
          </rPr>
          <t>This number is a sum of TOTAL PLANNED plus the ASSIGNED TO TETHERS</t>
        </r>
        <r>
          <rPr>
            <sz val="8"/>
            <color indexed="81"/>
            <rFont val="Tahoma"/>
            <family val="2"/>
          </rPr>
          <t xml:space="preserve">
</t>
        </r>
      </text>
    </comment>
    <comment ref="Z957" authorId="0" shapeId="0">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text>
        <r>
          <rPr>
            <b/>
            <sz val="8"/>
            <color indexed="81"/>
            <rFont val="Tahoma"/>
            <family val="2"/>
          </rPr>
          <t>Counting from High count Backwards- this is Fiber Strand 133</t>
        </r>
      </text>
    </comment>
    <comment ref="AB957" authorId="0" shapeId="0">
      <text>
        <r>
          <rPr>
            <b/>
            <sz val="8"/>
            <color indexed="81"/>
            <rFont val="Tahoma"/>
            <family val="2"/>
          </rPr>
          <t>Counting from High count Backwards- this is Fiber Strand 144</t>
        </r>
        <r>
          <rPr>
            <sz val="8"/>
            <color indexed="81"/>
            <rFont val="Tahoma"/>
            <family val="2"/>
          </rPr>
          <t xml:space="preserve">
</t>
        </r>
      </text>
    </comment>
    <comment ref="C958" authorId="0" shapeId="0">
      <text>
        <r>
          <rPr>
            <b/>
            <sz val="8"/>
            <color indexed="81"/>
            <rFont val="Tahoma"/>
            <family val="2"/>
          </rPr>
          <t xml:space="preserve">Select if this tether will be used to feed a CFST or a lateral cable. </t>
        </r>
      </text>
    </comment>
    <comment ref="D958" authorId="0" shapeId="0">
      <text>
        <r>
          <rPr>
            <b/>
            <sz val="8"/>
            <color indexed="81"/>
            <rFont val="Tahoma"/>
            <family val="2"/>
          </rPr>
          <t>Note the Terminal Address to keep your locations straight</t>
        </r>
        <r>
          <rPr>
            <sz val="8"/>
            <color indexed="81"/>
            <rFont val="Tahoma"/>
            <family val="2"/>
          </rPr>
          <t xml:space="preserve">
</t>
        </r>
      </text>
    </comment>
    <comment ref="E958" authorId="0" shapeId="0">
      <text>
        <r>
          <rPr>
            <b/>
            <sz val="9"/>
            <color indexed="81"/>
            <rFont val="Calibri"/>
            <family val="2"/>
            <scheme val="minor"/>
          </rPr>
          <t>Pick the Tether Size for the location</t>
        </r>
        <r>
          <rPr>
            <sz val="8"/>
            <color indexed="81"/>
            <rFont val="Tahoma"/>
            <family val="2"/>
          </rPr>
          <t xml:space="preserve">
</t>
        </r>
      </text>
    </comment>
    <comment ref="F958" authorId="2" shapeId="0">
      <text>
        <r>
          <rPr>
            <b/>
            <sz val="9"/>
            <color indexed="81"/>
            <rFont val="Tahoma"/>
            <family val="2"/>
          </rPr>
          <t>Identify TCF or FST location.
Leave blank if tether is NOT for a TCF or FST!</t>
        </r>
      </text>
    </comment>
    <comment ref="H958" authorId="0" shapeId="0">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text>
        <r>
          <rPr>
            <b/>
            <sz val="8"/>
            <color indexed="81"/>
            <rFont val="Tahoma"/>
            <family val="2"/>
          </rPr>
          <t>If any of these numbers are negative, check your PON count and Cable size</t>
        </r>
      </text>
    </comment>
    <comment ref="J95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text>
        <r>
          <rPr>
            <b/>
            <sz val="9"/>
            <color indexed="81"/>
            <rFont val="Tahoma"/>
            <family val="2"/>
          </rPr>
          <t>Leave blank if using 10' Terminal Tail
Enter Tail length if greater than 10'</t>
        </r>
      </text>
    </comment>
    <comment ref="M958" authorId="0" shapeId="0">
      <text>
        <r>
          <rPr>
            <b/>
            <sz val="8"/>
            <color indexed="81"/>
            <rFont val="Tahoma"/>
            <family val="2"/>
          </rPr>
          <t>Make design notes such as slack coils, realingment loops,  or location notes</t>
        </r>
      </text>
    </comment>
    <comment ref="Z958" authorId="0" shapeId="0">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text>
        <r>
          <rPr>
            <b/>
            <sz val="8"/>
            <color indexed="81"/>
            <rFont val="Tahoma"/>
            <family val="2"/>
          </rPr>
          <t xml:space="preserve">Counting from High count Backwards- this is Fiber Strand 145
</t>
        </r>
      </text>
    </comment>
    <comment ref="AB958" authorId="0" shapeId="0">
      <text>
        <r>
          <rPr>
            <b/>
            <sz val="8"/>
            <color indexed="81"/>
            <rFont val="Tahoma"/>
            <family val="2"/>
          </rPr>
          <t>Counting from High count Backwards- this is Fiber Strand 156</t>
        </r>
      </text>
    </comment>
    <comment ref="J960" authorId="1" shapeId="0">
      <text>
        <r>
          <rPr>
            <b/>
            <sz val="9"/>
            <color indexed="81"/>
            <rFont val="Tahoma"/>
            <family val="2"/>
          </rPr>
          <t>If this highlights as an error, consider upsizing the Tether size for better ribbon utilization</t>
        </r>
      </text>
    </comment>
    <comment ref="J961" authorId="1" shapeId="0">
      <text>
        <r>
          <rPr>
            <b/>
            <sz val="9"/>
            <color indexed="81"/>
            <rFont val="Tahoma"/>
            <family val="2"/>
          </rPr>
          <t>If this highlights as an error, consider upsizing the Tether size for better ribbon utilization</t>
        </r>
      </text>
    </comment>
    <comment ref="J962" authorId="1" shapeId="0">
      <text>
        <r>
          <rPr>
            <b/>
            <sz val="9"/>
            <color indexed="81"/>
            <rFont val="Tahoma"/>
            <family val="2"/>
          </rPr>
          <t>If this highlights as an error, consider upsizing the Tether size for better ribbon utilization</t>
        </r>
      </text>
    </comment>
    <comment ref="J963" authorId="1" shapeId="0">
      <text>
        <r>
          <rPr>
            <b/>
            <sz val="9"/>
            <color indexed="81"/>
            <rFont val="Tahoma"/>
            <family val="2"/>
          </rPr>
          <t>If this highlights as an error, consider upsizing the Tether size for better ribbon utilization</t>
        </r>
      </text>
    </comment>
    <comment ref="J964" authorId="1" shapeId="0">
      <text>
        <r>
          <rPr>
            <b/>
            <sz val="9"/>
            <color indexed="81"/>
            <rFont val="Tahoma"/>
            <family val="2"/>
          </rPr>
          <t>If this highlights as an error, consider upsizing the Tether size for better ribbon utilization</t>
        </r>
      </text>
    </comment>
    <comment ref="J965" authorId="1" shapeId="0">
      <text>
        <r>
          <rPr>
            <b/>
            <sz val="9"/>
            <color indexed="81"/>
            <rFont val="Tahoma"/>
            <family val="2"/>
          </rPr>
          <t>If this highlights as an error, consider upsizing the Tether size for better ribbon utilization</t>
        </r>
      </text>
    </comment>
    <comment ref="J966" authorId="1" shapeId="0">
      <text>
        <r>
          <rPr>
            <b/>
            <sz val="9"/>
            <color indexed="81"/>
            <rFont val="Tahoma"/>
            <family val="2"/>
          </rPr>
          <t>If this highlights as an error, consider upsizing the Tether size for better ribbon utilization</t>
        </r>
      </text>
    </comment>
    <comment ref="J967" authorId="1" shapeId="0">
      <text>
        <r>
          <rPr>
            <b/>
            <sz val="9"/>
            <color indexed="81"/>
            <rFont val="Tahoma"/>
            <family val="2"/>
          </rPr>
          <t>If this highlights as an error, consider upsizing the Tether size for better ribbon utilization</t>
        </r>
      </text>
    </comment>
    <comment ref="J968" authorId="1" shapeId="0">
      <text>
        <r>
          <rPr>
            <b/>
            <sz val="9"/>
            <color indexed="81"/>
            <rFont val="Tahoma"/>
            <family val="2"/>
          </rPr>
          <t>If this highlights as an error, consider upsizing the Tether size for better ribbon utilization</t>
        </r>
      </text>
    </comment>
    <comment ref="J969" authorId="1" shapeId="0">
      <text>
        <r>
          <rPr>
            <b/>
            <sz val="9"/>
            <color indexed="81"/>
            <rFont val="Tahoma"/>
            <family val="2"/>
          </rPr>
          <t>If this highlights as an error, consider upsizing the Tether size for better ribbon utilization</t>
        </r>
      </text>
    </comment>
    <comment ref="J970" authorId="1" shapeId="0">
      <text>
        <r>
          <rPr>
            <b/>
            <sz val="9"/>
            <color indexed="81"/>
            <rFont val="Tahoma"/>
            <family val="2"/>
          </rPr>
          <t>If this highlights as an error, consider upsizing the Tether size for better ribbon utilization</t>
        </r>
      </text>
    </comment>
    <comment ref="J971" authorId="1" shapeId="0">
      <text>
        <r>
          <rPr>
            <b/>
            <sz val="9"/>
            <color indexed="81"/>
            <rFont val="Tahoma"/>
            <family val="2"/>
          </rPr>
          <t>If this highlights as an error, consider upsizing the Tether size for better ribbon utilization</t>
        </r>
      </text>
    </comment>
    <comment ref="J972" authorId="1" shapeId="0">
      <text>
        <r>
          <rPr>
            <b/>
            <sz val="9"/>
            <color indexed="81"/>
            <rFont val="Tahoma"/>
            <family val="2"/>
          </rPr>
          <t>If this highlights as an error, consider upsizing the Tether size for better ribbon utilization</t>
        </r>
      </text>
    </comment>
    <comment ref="J973" authorId="1" shapeId="0">
      <text>
        <r>
          <rPr>
            <b/>
            <sz val="9"/>
            <color indexed="81"/>
            <rFont val="Tahoma"/>
            <family val="2"/>
          </rPr>
          <t>If this highlights as an error, consider upsizing the Tether size for better ribbon utilization</t>
        </r>
      </text>
    </comment>
    <comment ref="J974" authorId="1" shapeId="0">
      <text>
        <r>
          <rPr>
            <b/>
            <sz val="9"/>
            <color indexed="81"/>
            <rFont val="Tahoma"/>
            <family val="2"/>
          </rPr>
          <t>If this highlights as an error, consider upsizing the Tether size for better ribbon utilization</t>
        </r>
      </text>
    </comment>
    <comment ref="J975" authorId="1" shapeId="0">
      <text>
        <r>
          <rPr>
            <b/>
            <sz val="9"/>
            <color indexed="81"/>
            <rFont val="Tahoma"/>
            <family val="2"/>
          </rPr>
          <t>If this highlights as an error, consider upsizing the Tether size for better ribbon utilization</t>
        </r>
      </text>
    </comment>
    <comment ref="J976" authorId="1" shapeId="0">
      <text>
        <r>
          <rPr>
            <b/>
            <sz val="9"/>
            <color indexed="81"/>
            <rFont val="Tahoma"/>
            <family val="2"/>
          </rPr>
          <t>If this highlights as an error, consider upsizing the Tether size for better ribbon utilization</t>
        </r>
      </text>
    </comment>
    <comment ref="J977" authorId="1" shapeId="0">
      <text>
        <r>
          <rPr>
            <b/>
            <sz val="9"/>
            <color indexed="81"/>
            <rFont val="Tahoma"/>
            <family val="2"/>
          </rPr>
          <t>If this highlights as an error, consider upsizing the Tether size for better ribbon utilization</t>
        </r>
      </text>
    </comment>
    <comment ref="C978" authorId="1" shapeId="0">
      <text>
        <r>
          <rPr>
            <b/>
            <sz val="9"/>
            <color indexed="81"/>
            <rFont val="Tahoma"/>
            <family val="2"/>
          </rPr>
          <t>DBL REV requires TWO rows!
TPL REV requires THREE rows!
QD REV requires FOUR rows!</t>
        </r>
      </text>
    </comment>
    <comment ref="J978" authorId="1" shapeId="0">
      <text>
        <r>
          <rPr>
            <b/>
            <sz val="9"/>
            <color indexed="81"/>
            <rFont val="Tahoma"/>
            <family val="2"/>
          </rPr>
          <t>If this highlights as an error, consider upsizing the Tether size for better ribbon utilization</t>
        </r>
      </text>
    </comment>
    <comment ref="C979" authorId="1" shapeId="0">
      <text>
        <r>
          <rPr>
            <b/>
            <sz val="9"/>
            <color indexed="81"/>
            <rFont val="Tahoma"/>
            <family val="2"/>
          </rPr>
          <t>DBL REV requires TWO rows!
TPL REV requires THREE rows!
QD REV requires FOUR rows!</t>
        </r>
      </text>
    </comment>
    <comment ref="J979" authorId="1" shapeId="0">
      <text>
        <r>
          <rPr>
            <b/>
            <sz val="9"/>
            <color indexed="81"/>
            <rFont val="Tahoma"/>
            <family val="2"/>
          </rPr>
          <t>If this highlights as an error, consider upsizing the Tether size for better ribbon utilization</t>
        </r>
      </text>
    </comment>
    <comment ref="C980" authorId="1" shapeId="0">
      <text>
        <r>
          <rPr>
            <b/>
            <sz val="9"/>
            <color indexed="81"/>
            <rFont val="Tahoma"/>
            <family val="2"/>
          </rPr>
          <t>DBL REV requires TWO rows!
TPL REV requires THREE rows!
QD REV requires FOUR rows!</t>
        </r>
      </text>
    </comment>
    <comment ref="J980" authorId="1" shapeId="0">
      <text>
        <r>
          <rPr>
            <b/>
            <sz val="9"/>
            <color indexed="81"/>
            <rFont val="Tahoma"/>
            <family val="2"/>
          </rPr>
          <t>If this highlights as an error, consider upsizing the Tether size for better ribbon utilization</t>
        </r>
      </text>
    </comment>
    <comment ref="C981" authorId="1" shapeId="0">
      <text>
        <r>
          <rPr>
            <b/>
            <sz val="9"/>
            <color indexed="81"/>
            <rFont val="Tahoma"/>
            <family val="2"/>
          </rPr>
          <t>DBL REV requires TWO rows!
TPL REV requires THREE rows!
QD REV requires FOUR rows!</t>
        </r>
      </text>
    </comment>
    <comment ref="J981" authorId="1" shapeId="0">
      <text>
        <r>
          <rPr>
            <b/>
            <sz val="9"/>
            <color indexed="81"/>
            <rFont val="Tahoma"/>
            <family val="2"/>
          </rPr>
          <t>If this highlights as an error, consider upsizing the Tether size for better ribbon utilization</t>
        </r>
      </text>
    </comment>
    <comment ref="C982" authorId="1" shapeId="0">
      <text>
        <r>
          <rPr>
            <b/>
            <sz val="9"/>
            <color indexed="81"/>
            <rFont val="Tahoma"/>
            <family val="2"/>
          </rPr>
          <t>DBL REV requires TWO rows!
TPL REV requires THREE rows!
QD REV requires FOUR rows!</t>
        </r>
      </text>
    </comment>
    <comment ref="J982" authorId="1" shapeId="0">
      <text>
        <r>
          <rPr>
            <b/>
            <sz val="9"/>
            <color indexed="81"/>
            <rFont val="Tahoma"/>
            <family val="2"/>
          </rPr>
          <t>If this highlights as an error, consider upsizing the Tether size for better ribbon utilization</t>
        </r>
      </text>
    </comment>
    <comment ref="C983" authorId="1" shapeId="0">
      <text>
        <r>
          <rPr>
            <b/>
            <sz val="9"/>
            <color indexed="81"/>
            <rFont val="Tahoma"/>
            <family val="2"/>
          </rPr>
          <t>DBL REV requires TWO rows!
TPL REV requires THREE rows!
QD REV requires FOUR rows!</t>
        </r>
      </text>
    </comment>
    <comment ref="J983" authorId="1" shapeId="0">
      <text>
        <r>
          <rPr>
            <b/>
            <sz val="9"/>
            <color indexed="81"/>
            <rFont val="Tahoma"/>
            <family val="2"/>
          </rPr>
          <t>If this highlights as an error, consider upsizing the Tether size for better ribbon utilization</t>
        </r>
      </text>
    </comment>
    <comment ref="C984" authorId="1" shapeId="0">
      <text>
        <r>
          <rPr>
            <b/>
            <sz val="9"/>
            <color indexed="81"/>
            <rFont val="Tahoma"/>
            <family val="2"/>
          </rPr>
          <t>DBL REV requires TWO rows!
TPL REV requires THREE rows!
QD REV requires FOUR rows!</t>
        </r>
      </text>
    </comment>
    <comment ref="J984" authorId="1" shapeId="0">
      <text>
        <r>
          <rPr>
            <b/>
            <sz val="9"/>
            <color indexed="81"/>
            <rFont val="Tahoma"/>
            <family val="2"/>
          </rPr>
          <t>If this highlights as an error, consider upsizing the Tether size for better ribbon utilization</t>
        </r>
      </text>
    </comment>
    <comment ref="B99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text>
        <r>
          <rPr>
            <b/>
            <sz val="8"/>
            <color indexed="81"/>
            <rFont val="Tahoma"/>
            <family val="2"/>
          </rPr>
          <t>This will be added to Planning Load Block A for TOTAL</t>
        </r>
        <r>
          <rPr>
            <sz val="8"/>
            <color indexed="81"/>
            <rFont val="Tahoma"/>
            <family val="2"/>
          </rPr>
          <t xml:space="preserve">
</t>
        </r>
      </text>
    </comment>
    <comment ref="J990" authorId="0" shapeId="0">
      <text>
        <r>
          <rPr>
            <b/>
            <sz val="8"/>
            <color indexed="81"/>
            <rFont val="Tahoma"/>
            <family val="2"/>
          </rPr>
          <t>This is the PON OUT count that is not assigned in this cable reel.</t>
        </r>
        <r>
          <rPr>
            <sz val="8"/>
            <color indexed="81"/>
            <rFont val="Tahoma"/>
            <family val="2"/>
          </rPr>
          <t xml:space="preserve">
</t>
        </r>
      </text>
    </comment>
    <comment ref="P990" authorId="1" shapeId="0">
      <text>
        <r>
          <rPr>
            <b/>
            <sz val="9"/>
            <color indexed="81"/>
            <rFont val="Tahoma"/>
            <family val="2"/>
          </rPr>
          <t>REMEMBER: 2-Fbr Tethers are NOT available for RPX CABLE!</t>
        </r>
      </text>
    </comment>
    <comment ref="Q990" authorId="1" shapeId="0">
      <text>
        <r>
          <rPr>
            <b/>
            <sz val="9"/>
            <color indexed="81"/>
            <rFont val="Tahoma"/>
            <family val="2"/>
          </rPr>
          <t>REMEMBER: 2-Fbr Tethers are NOT available for RPX CABLE!</t>
        </r>
      </text>
    </comment>
    <comment ref="S990" authorId="1" shapeId="0">
      <text>
        <r>
          <rPr>
            <b/>
            <sz val="9"/>
            <color indexed="81"/>
            <rFont val="Tahoma"/>
            <family val="2"/>
          </rPr>
          <t>REMEMBER: 2-Fbr Tethers are NOT available for RPX CABLE!</t>
        </r>
      </text>
    </comment>
    <comment ref="T990" authorId="1" shapeId="0">
      <text>
        <r>
          <rPr>
            <b/>
            <sz val="9"/>
            <color indexed="81"/>
            <rFont val="Tahoma"/>
            <family val="2"/>
          </rPr>
          <t>REMEMBER: 2-Fbr Tethers are NOT available for RPX CABLE!</t>
        </r>
      </text>
    </comment>
    <comment ref="B99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text>
        <r>
          <rPr>
            <b/>
            <sz val="8"/>
            <color indexed="81"/>
            <rFont val="Tahoma"/>
            <family val="2"/>
          </rPr>
          <t>Make sure you add this number to "TAT FIBERS ASSIGNED" for the total required in the Load Block on the prints.</t>
        </r>
      </text>
    </comment>
    <comment ref="G991" authorId="0" shapeId="0">
      <text>
        <r>
          <rPr>
            <b/>
            <sz val="8"/>
            <color indexed="81"/>
            <rFont val="Tahoma"/>
            <family val="2"/>
          </rPr>
          <t>Includes "DEAD" Count (No PON count assigned)</t>
        </r>
      </text>
    </comment>
    <comment ref="I99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text>
        <r>
          <rPr>
            <b/>
            <sz val="9"/>
            <color indexed="81"/>
            <rFont val="Tahoma"/>
            <family val="2"/>
          </rPr>
          <t>REMEMBER: 6-Fbr Tethers are NOT available for RPX CABLE!</t>
        </r>
      </text>
    </comment>
    <comment ref="Q992" authorId="1" shapeId="0">
      <text>
        <r>
          <rPr>
            <b/>
            <sz val="9"/>
            <color indexed="81"/>
            <rFont val="Tahoma"/>
            <family val="2"/>
          </rPr>
          <t>REMEMBER: 6-Fbr Tethers are NOT available for RPX CABLE!</t>
        </r>
      </text>
    </comment>
    <comment ref="S992" authorId="1" shapeId="0">
      <text>
        <r>
          <rPr>
            <b/>
            <sz val="9"/>
            <color indexed="81"/>
            <rFont val="Tahoma"/>
            <family val="2"/>
          </rPr>
          <t>REMEMBER: 6-Fbr Tethers are NOT available for RPX CABLE!</t>
        </r>
      </text>
    </comment>
    <comment ref="T992" authorId="1" shapeId="0">
      <text>
        <r>
          <rPr>
            <b/>
            <sz val="9"/>
            <color indexed="81"/>
            <rFont val="Tahoma"/>
            <family val="2"/>
          </rPr>
          <t>REMEMBER: 6-Fbr Tethers are NOT available for AERIAL CABLE!</t>
        </r>
      </text>
    </comment>
    <comment ref="B99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text>
        <r>
          <rPr>
            <b/>
            <sz val="8"/>
            <color indexed="81"/>
            <rFont val="Tahoma"/>
            <family val="2"/>
          </rPr>
          <t>These are "manufacturing rules" and general warnings</t>
        </r>
        <r>
          <rPr>
            <sz val="8"/>
            <color indexed="81"/>
            <rFont val="Tahoma"/>
            <family val="2"/>
          </rPr>
          <t xml:space="preserve">
</t>
        </r>
      </text>
    </comment>
    <comment ref="B99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text>
        <r>
          <rPr>
            <b/>
            <sz val="8"/>
            <color indexed="81"/>
            <rFont val="Tahoma"/>
            <family val="2"/>
          </rPr>
          <t>This number is a sum of TOTAL PLANNED plus the ASSIGNED TO TETHERS</t>
        </r>
        <r>
          <rPr>
            <sz val="8"/>
            <color indexed="81"/>
            <rFont val="Tahoma"/>
            <family val="2"/>
          </rPr>
          <t xml:space="preserve">
</t>
        </r>
      </text>
    </comment>
    <comment ref="Z998" authorId="0" shapeId="0">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text>
        <r>
          <rPr>
            <b/>
            <sz val="8"/>
            <color indexed="81"/>
            <rFont val="Tahoma"/>
            <family val="2"/>
          </rPr>
          <t>Counting from High count Backwards- this is Fiber Strand 133</t>
        </r>
      </text>
    </comment>
    <comment ref="AB998" authorId="0" shapeId="0">
      <text>
        <r>
          <rPr>
            <b/>
            <sz val="8"/>
            <color indexed="81"/>
            <rFont val="Tahoma"/>
            <family val="2"/>
          </rPr>
          <t>Counting from High count Backwards- this is Fiber Strand 144</t>
        </r>
        <r>
          <rPr>
            <sz val="8"/>
            <color indexed="81"/>
            <rFont val="Tahoma"/>
            <family val="2"/>
          </rPr>
          <t xml:space="preserve">
</t>
        </r>
      </text>
    </comment>
    <comment ref="C999" authorId="0" shapeId="0">
      <text>
        <r>
          <rPr>
            <b/>
            <sz val="8"/>
            <color indexed="81"/>
            <rFont val="Tahoma"/>
            <family val="2"/>
          </rPr>
          <t xml:space="preserve">Select if this tether will be used to feed a CFST or a lateral cable. </t>
        </r>
      </text>
    </comment>
    <comment ref="D999" authorId="0" shapeId="0">
      <text>
        <r>
          <rPr>
            <b/>
            <sz val="8"/>
            <color indexed="81"/>
            <rFont val="Tahoma"/>
            <family val="2"/>
          </rPr>
          <t>Note the Terminal Address to keep your locations straight</t>
        </r>
        <r>
          <rPr>
            <sz val="8"/>
            <color indexed="81"/>
            <rFont val="Tahoma"/>
            <family val="2"/>
          </rPr>
          <t xml:space="preserve">
</t>
        </r>
      </text>
    </comment>
    <comment ref="E999" authorId="0" shapeId="0">
      <text>
        <r>
          <rPr>
            <b/>
            <sz val="9"/>
            <color indexed="81"/>
            <rFont val="Calibri"/>
            <family val="2"/>
            <scheme val="minor"/>
          </rPr>
          <t>Pick the Tether Size for the location</t>
        </r>
        <r>
          <rPr>
            <sz val="8"/>
            <color indexed="81"/>
            <rFont val="Tahoma"/>
            <family val="2"/>
          </rPr>
          <t xml:space="preserve">
</t>
        </r>
      </text>
    </comment>
    <comment ref="F999" authorId="2" shapeId="0">
      <text>
        <r>
          <rPr>
            <b/>
            <sz val="9"/>
            <color indexed="81"/>
            <rFont val="Tahoma"/>
            <family val="2"/>
          </rPr>
          <t>Identify TCF or FST location.
Leave blank if tether is NOT for a TCF or FST!</t>
        </r>
      </text>
    </comment>
    <comment ref="H999" authorId="0" shapeId="0">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text>
        <r>
          <rPr>
            <b/>
            <sz val="8"/>
            <color indexed="81"/>
            <rFont val="Tahoma"/>
            <family val="2"/>
          </rPr>
          <t>If any of these numbers are negative, check your PON count and Cable size</t>
        </r>
      </text>
    </comment>
    <comment ref="J99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text>
        <r>
          <rPr>
            <b/>
            <sz val="9"/>
            <color indexed="81"/>
            <rFont val="Tahoma"/>
            <family val="2"/>
          </rPr>
          <t>Leave blank if using 10' Terminal Tail
Enter Tail length if greater than 10'</t>
        </r>
      </text>
    </comment>
    <comment ref="M999" authorId="0" shapeId="0">
      <text>
        <r>
          <rPr>
            <b/>
            <sz val="8"/>
            <color indexed="81"/>
            <rFont val="Tahoma"/>
            <family val="2"/>
          </rPr>
          <t>Make design notes such as slack coils, realingment loops,  or location notes</t>
        </r>
      </text>
    </comment>
    <comment ref="Z999" authorId="0" shapeId="0">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text>
        <r>
          <rPr>
            <b/>
            <sz val="8"/>
            <color indexed="81"/>
            <rFont val="Tahoma"/>
            <family val="2"/>
          </rPr>
          <t xml:space="preserve">Counting from High count Backwards- this is Fiber Strand 145
</t>
        </r>
      </text>
    </comment>
    <comment ref="AB999" authorId="0" shapeId="0">
      <text>
        <r>
          <rPr>
            <b/>
            <sz val="8"/>
            <color indexed="81"/>
            <rFont val="Tahoma"/>
            <family val="2"/>
          </rPr>
          <t>Counting from High count Backwards- this is Fiber Strand 156</t>
        </r>
      </text>
    </comment>
    <comment ref="J1001" authorId="1" shapeId="0">
      <text>
        <r>
          <rPr>
            <b/>
            <sz val="9"/>
            <color indexed="81"/>
            <rFont val="Tahoma"/>
            <family val="2"/>
          </rPr>
          <t>If this highlights as an error, consider upsizing the Tether size for better ribbon utilization</t>
        </r>
      </text>
    </comment>
    <comment ref="J1002" authorId="1" shapeId="0">
      <text>
        <r>
          <rPr>
            <b/>
            <sz val="9"/>
            <color indexed="81"/>
            <rFont val="Tahoma"/>
            <family val="2"/>
          </rPr>
          <t>If this highlights as an error, consider upsizing the Tether size for better ribbon utilization</t>
        </r>
      </text>
    </comment>
    <comment ref="J1003" authorId="1" shapeId="0">
      <text>
        <r>
          <rPr>
            <b/>
            <sz val="9"/>
            <color indexed="81"/>
            <rFont val="Tahoma"/>
            <family val="2"/>
          </rPr>
          <t>If this highlights as an error, consider upsizing the Tether size for better ribbon utilization</t>
        </r>
      </text>
    </comment>
    <comment ref="J1004" authorId="1" shapeId="0">
      <text>
        <r>
          <rPr>
            <b/>
            <sz val="9"/>
            <color indexed="81"/>
            <rFont val="Tahoma"/>
            <family val="2"/>
          </rPr>
          <t>If this highlights as an error, consider upsizing the Tether size for better ribbon utilization</t>
        </r>
      </text>
    </comment>
    <comment ref="J1005" authorId="1" shapeId="0">
      <text>
        <r>
          <rPr>
            <b/>
            <sz val="9"/>
            <color indexed="81"/>
            <rFont val="Tahoma"/>
            <family val="2"/>
          </rPr>
          <t>If this highlights as an error, consider upsizing the Tether size for better ribbon utilization</t>
        </r>
      </text>
    </comment>
    <comment ref="J1006" authorId="1" shapeId="0">
      <text>
        <r>
          <rPr>
            <b/>
            <sz val="9"/>
            <color indexed="81"/>
            <rFont val="Tahoma"/>
            <family val="2"/>
          </rPr>
          <t>If this highlights as an error, consider upsizing the Tether size for better ribbon utilization</t>
        </r>
      </text>
    </comment>
    <comment ref="J1007" authorId="1" shapeId="0">
      <text>
        <r>
          <rPr>
            <b/>
            <sz val="9"/>
            <color indexed="81"/>
            <rFont val="Tahoma"/>
            <family val="2"/>
          </rPr>
          <t>If this highlights as an error, consider upsizing the Tether size for better ribbon utilization</t>
        </r>
      </text>
    </comment>
    <comment ref="J1008" authorId="1" shapeId="0">
      <text>
        <r>
          <rPr>
            <b/>
            <sz val="9"/>
            <color indexed="81"/>
            <rFont val="Tahoma"/>
            <family val="2"/>
          </rPr>
          <t>If this highlights as an error, consider upsizing the Tether size for better ribbon utilization</t>
        </r>
      </text>
    </comment>
    <comment ref="J1009" authorId="1" shapeId="0">
      <text>
        <r>
          <rPr>
            <b/>
            <sz val="9"/>
            <color indexed="81"/>
            <rFont val="Tahoma"/>
            <family val="2"/>
          </rPr>
          <t>If this highlights as an error, consider upsizing the Tether size for better ribbon utilization</t>
        </r>
      </text>
    </comment>
    <comment ref="J1010" authorId="1" shapeId="0">
      <text>
        <r>
          <rPr>
            <b/>
            <sz val="9"/>
            <color indexed="81"/>
            <rFont val="Tahoma"/>
            <family val="2"/>
          </rPr>
          <t>If this highlights as an error, consider upsizing the Tether size for better ribbon utilization</t>
        </r>
      </text>
    </comment>
    <comment ref="J1011" authorId="1" shapeId="0">
      <text>
        <r>
          <rPr>
            <b/>
            <sz val="9"/>
            <color indexed="81"/>
            <rFont val="Tahoma"/>
            <family val="2"/>
          </rPr>
          <t>If this highlights as an error, consider upsizing the Tether size for better ribbon utilization</t>
        </r>
      </text>
    </comment>
    <comment ref="J1012" authorId="1" shapeId="0">
      <text>
        <r>
          <rPr>
            <b/>
            <sz val="9"/>
            <color indexed="81"/>
            <rFont val="Tahoma"/>
            <family val="2"/>
          </rPr>
          <t>If this highlights as an error, consider upsizing the Tether size for better ribbon utilization</t>
        </r>
      </text>
    </comment>
    <comment ref="J1013" authorId="1" shapeId="0">
      <text>
        <r>
          <rPr>
            <b/>
            <sz val="9"/>
            <color indexed="81"/>
            <rFont val="Tahoma"/>
            <family val="2"/>
          </rPr>
          <t>If this highlights as an error, consider upsizing the Tether size for better ribbon utilization</t>
        </r>
      </text>
    </comment>
    <comment ref="J1014" authorId="1" shapeId="0">
      <text>
        <r>
          <rPr>
            <b/>
            <sz val="9"/>
            <color indexed="81"/>
            <rFont val="Tahoma"/>
            <family val="2"/>
          </rPr>
          <t>If this highlights as an error, consider upsizing the Tether size for better ribbon utilization</t>
        </r>
      </text>
    </comment>
    <comment ref="J1015" authorId="1" shapeId="0">
      <text>
        <r>
          <rPr>
            <b/>
            <sz val="9"/>
            <color indexed="81"/>
            <rFont val="Tahoma"/>
            <family val="2"/>
          </rPr>
          <t>If this highlights as an error, consider upsizing the Tether size for better ribbon utilization</t>
        </r>
      </text>
    </comment>
    <comment ref="J1016" authorId="1" shapeId="0">
      <text>
        <r>
          <rPr>
            <b/>
            <sz val="9"/>
            <color indexed="81"/>
            <rFont val="Tahoma"/>
            <family val="2"/>
          </rPr>
          <t>If this highlights as an error, consider upsizing the Tether size for better ribbon utilization</t>
        </r>
      </text>
    </comment>
    <comment ref="J1017" authorId="1" shapeId="0">
      <text>
        <r>
          <rPr>
            <b/>
            <sz val="9"/>
            <color indexed="81"/>
            <rFont val="Tahoma"/>
            <family val="2"/>
          </rPr>
          <t>If this highlights as an error, consider upsizing the Tether size for better ribbon utilization</t>
        </r>
      </text>
    </comment>
    <comment ref="J1018" authorId="1" shapeId="0">
      <text>
        <r>
          <rPr>
            <b/>
            <sz val="9"/>
            <color indexed="81"/>
            <rFont val="Tahoma"/>
            <family val="2"/>
          </rPr>
          <t>If this highlights as an error, consider upsizing the Tether size for better ribbon utilization</t>
        </r>
      </text>
    </comment>
    <comment ref="C1019" authorId="1" shapeId="0">
      <text>
        <r>
          <rPr>
            <b/>
            <sz val="9"/>
            <color indexed="81"/>
            <rFont val="Tahoma"/>
            <family val="2"/>
          </rPr>
          <t>DBL REV requires TWO rows!
TPL REV requires THREE rows!
QD REV requires FOUR rows!</t>
        </r>
      </text>
    </comment>
    <comment ref="J1019" authorId="1" shapeId="0">
      <text>
        <r>
          <rPr>
            <b/>
            <sz val="9"/>
            <color indexed="81"/>
            <rFont val="Tahoma"/>
            <family val="2"/>
          </rPr>
          <t>If this highlights as an error, consider upsizing the Tether size for better ribbon utilization</t>
        </r>
      </text>
    </comment>
    <comment ref="C1020" authorId="1" shapeId="0">
      <text>
        <r>
          <rPr>
            <b/>
            <sz val="9"/>
            <color indexed="81"/>
            <rFont val="Tahoma"/>
            <family val="2"/>
          </rPr>
          <t>DBL REV requires TWO rows!
TPL REV requires THREE rows!
QD REV requires FOUR rows!</t>
        </r>
      </text>
    </comment>
    <comment ref="J1020" authorId="1" shapeId="0">
      <text>
        <r>
          <rPr>
            <b/>
            <sz val="9"/>
            <color indexed="81"/>
            <rFont val="Tahoma"/>
            <family val="2"/>
          </rPr>
          <t>If this highlights as an error, consider upsizing the Tether size for better ribbon utilization</t>
        </r>
      </text>
    </comment>
    <comment ref="C1021" authorId="1" shapeId="0">
      <text>
        <r>
          <rPr>
            <b/>
            <sz val="9"/>
            <color indexed="81"/>
            <rFont val="Tahoma"/>
            <family val="2"/>
          </rPr>
          <t>DBL REV requires TWO rows!
TPL REV requires THREE rows!
QD REV requires FOUR rows!</t>
        </r>
      </text>
    </comment>
    <comment ref="J1021" authorId="1" shapeId="0">
      <text>
        <r>
          <rPr>
            <b/>
            <sz val="9"/>
            <color indexed="81"/>
            <rFont val="Tahoma"/>
            <family val="2"/>
          </rPr>
          <t>If this highlights as an error, consider upsizing the Tether size for better ribbon utilization</t>
        </r>
      </text>
    </comment>
    <comment ref="C1022" authorId="1" shapeId="0">
      <text>
        <r>
          <rPr>
            <b/>
            <sz val="9"/>
            <color indexed="81"/>
            <rFont val="Tahoma"/>
            <family val="2"/>
          </rPr>
          <t>DBL REV requires TWO rows!
TPL REV requires THREE rows!
QD REV requires FOUR rows!</t>
        </r>
      </text>
    </comment>
    <comment ref="J1022" authorId="1" shapeId="0">
      <text>
        <r>
          <rPr>
            <b/>
            <sz val="9"/>
            <color indexed="81"/>
            <rFont val="Tahoma"/>
            <family val="2"/>
          </rPr>
          <t>If this highlights as an error, consider upsizing the Tether size for better ribbon utilization</t>
        </r>
      </text>
    </comment>
    <comment ref="C1023" authorId="1" shapeId="0">
      <text>
        <r>
          <rPr>
            <b/>
            <sz val="9"/>
            <color indexed="81"/>
            <rFont val="Tahoma"/>
            <family val="2"/>
          </rPr>
          <t>DBL REV requires TWO rows!
TPL REV requires THREE rows!
QD REV requires FOUR rows!</t>
        </r>
      </text>
    </comment>
    <comment ref="J1023" authorId="1" shapeId="0">
      <text>
        <r>
          <rPr>
            <b/>
            <sz val="9"/>
            <color indexed="81"/>
            <rFont val="Tahoma"/>
            <family val="2"/>
          </rPr>
          <t>If this highlights as an error, consider upsizing the Tether size for better ribbon utilization</t>
        </r>
      </text>
    </comment>
    <comment ref="C1024" authorId="1" shapeId="0">
      <text>
        <r>
          <rPr>
            <b/>
            <sz val="9"/>
            <color indexed="81"/>
            <rFont val="Tahoma"/>
            <family val="2"/>
          </rPr>
          <t>DBL REV requires TWO rows!
TPL REV requires THREE rows!
QD REV requires FOUR rows!</t>
        </r>
      </text>
    </comment>
    <comment ref="J1024" authorId="1" shapeId="0">
      <text>
        <r>
          <rPr>
            <b/>
            <sz val="9"/>
            <color indexed="81"/>
            <rFont val="Tahoma"/>
            <family val="2"/>
          </rPr>
          <t>If this highlights as an error, consider upsizing the Tether size for better ribbon utilization</t>
        </r>
      </text>
    </comment>
    <comment ref="C1025" authorId="1" shapeId="0">
      <text>
        <r>
          <rPr>
            <b/>
            <sz val="9"/>
            <color indexed="81"/>
            <rFont val="Tahoma"/>
            <family val="2"/>
          </rPr>
          <t>DBL REV requires TWO rows!
TPL REV requires THREE rows!
QD REV requires FOUR rows!</t>
        </r>
      </text>
    </comment>
    <comment ref="J1025" authorId="1" shapeId="0">
      <text>
        <r>
          <rPr>
            <b/>
            <sz val="9"/>
            <color indexed="81"/>
            <rFont val="Tahoma"/>
            <family val="2"/>
          </rPr>
          <t>If this highlights as an error, consider upsizing the Tether size for better ribbon utilization</t>
        </r>
      </text>
    </comment>
    <comment ref="B103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text>
        <r>
          <rPr>
            <b/>
            <sz val="8"/>
            <color indexed="81"/>
            <rFont val="Tahoma"/>
            <family val="2"/>
          </rPr>
          <t>This will be added to Planning Load Block A for TOTAL</t>
        </r>
        <r>
          <rPr>
            <sz val="8"/>
            <color indexed="81"/>
            <rFont val="Tahoma"/>
            <family val="2"/>
          </rPr>
          <t xml:space="preserve">
</t>
        </r>
      </text>
    </comment>
    <comment ref="J1031" authorId="0" shapeId="0">
      <text>
        <r>
          <rPr>
            <b/>
            <sz val="8"/>
            <color indexed="81"/>
            <rFont val="Tahoma"/>
            <family val="2"/>
          </rPr>
          <t>This is the PON OUT count that is not assigned in this cable reel.</t>
        </r>
        <r>
          <rPr>
            <sz val="8"/>
            <color indexed="81"/>
            <rFont val="Tahoma"/>
            <family val="2"/>
          </rPr>
          <t xml:space="preserve">
</t>
        </r>
      </text>
    </comment>
    <comment ref="P1031" authorId="1" shapeId="0">
      <text>
        <r>
          <rPr>
            <b/>
            <sz val="9"/>
            <color indexed="81"/>
            <rFont val="Tahoma"/>
            <family val="2"/>
          </rPr>
          <t>REMEMBER: 2-Fbr Tethers are NOT available for RPX CABLE!</t>
        </r>
      </text>
    </comment>
    <comment ref="Q1031" authorId="1" shapeId="0">
      <text>
        <r>
          <rPr>
            <b/>
            <sz val="9"/>
            <color indexed="81"/>
            <rFont val="Tahoma"/>
            <family val="2"/>
          </rPr>
          <t>REMEMBER: 2-Fbr Tethers are NOT available for RPX CABLE!</t>
        </r>
      </text>
    </comment>
    <comment ref="S1031" authorId="1" shapeId="0">
      <text>
        <r>
          <rPr>
            <b/>
            <sz val="9"/>
            <color indexed="81"/>
            <rFont val="Tahoma"/>
            <family val="2"/>
          </rPr>
          <t>REMEMBER: 2-Fbr Tethers are NOT available for RPX CABLE!</t>
        </r>
      </text>
    </comment>
    <comment ref="T1031" authorId="1" shapeId="0">
      <text>
        <r>
          <rPr>
            <b/>
            <sz val="9"/>
            <color indexed="81"/>
            <rFont val="Tahoma"/>
            <family val="2"/>
          </rPr>
          <t>REMEMBER: 2-Fbr Tethers are NOT available for RPX CABLE!</t>
        </r>
      </text>
    </comment>
    <comment ref="B103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text>
        <r>
          <rPr>
            <b/>
            <sz val="8"/>
            <color indexed="81"/>
            <rFont val="Tahoma"/>
            <family val="2"/>
          </rPr>
          <t>Make sure you add this number to "TAT FIBERS ASSIGNED" for the total required in the Load Block on the prints.</t>
        </r>
      </text>
    </comment>
    <comment ref="G1032" authorId="0" shapeId="0">
      <text>
        <r>
          <rPr>
            <b/>
            <sz val="8"/>
            <color indexed="81"/>
            <rFont val="Tahoma"/>
            <family val="2"/>
          </rPr>
          <t>Includes "DEAD" Count (No PON count assigned)</t>
        </r>
      </text>
    </comment>
    <comment ref="I103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text>
        <r>
          <rPr>
            <b/>
            <sz val="9"/>
            <color indexed="81"/>
            <rFont val="Tahoma"/>
            <family val="2"/>
          </rPr>
          <t>REMEMBER: 6-Fbr Tethers are NOT available for RPX CABLE!</t>
        </r>
      </text>
    </comment>
    <comment ref="Q1033" authorId="1" shapeId="0">
      <text>
        <r>
          <rPr>
            <b/>
            <sz val="9"/>
            <color indexed="81"/>
            <rFont val="Tahoma"/>
            <family val="2"/>
          </rPr>
          <t>REMEMBER: 6-Fbr Tethers are NOT available for RPX CABLE!</t>
        </r>
      </text>
    </comment>
    <comment ref="S1033" authorId="1" shapeId="0">
      <text>
        <r>
          <rPr>
            <b/>
            <sz val="9"/>
            <color indexed="81"/>
            <rFont val="Tahoma"/>
            <family val="2"/>
          </rPr>
          <t>REMEMBER: 6-Fbr Tethers are NOT available for RPX CABLE!</t>
        </r>
      </text>
    </comment>
    <comment ref="T1033" authorId="1" shapeId="0">
      <text>
        <r>
          <rPr>
            <b/>
            <sz val="9"/>
            <color indexed="81"/>
            <rFont val="Tahoma"/>
            <family val="2"/>
          </rPr>
          <t>REMEMBER: 6-Fbr Tethers are NOT available for AERIAL CABLE!</t>
        </r>
      </text>
    </comment>
    <comment ref="B103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text>
        <r>
          <rPr>
            <b/>
            <sz val="8"/>
            <color indexed="81"/>
            <rFont val="Tahoma"/>
            <family val="2"/>
          </rPr>
          <t>These are "manufacturing rules" and general warnings</t>
        </r>
        <r>
          <rPr>
            <sz val="8"/>
            <color indexed="81"/>
            <rFont val="Tahoma"/>
            <family val="2"/>
          </rPr>
          <t xml:space="preserve">
</t>
        </r>
      </text>
    </comment>
    <comment ref="B103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text>
        <r>
          <rPr>
            <b/>
            <sz val="8"/>
            <color indexed="81"/>
            <rFont val="Tahoma"/>
            <family val="2"/>
          </rPr>
          <t>This number is a sum of TOTAL PLANNED plus the ASSIGNED TO TETHERS</t>
        </r>
        <r>
          <rPr>
            <sz val="8"/>
            <color indexed="81"/>
            <rFont val="Tahoma"/>
            <family val="2"/>
          </rPr>
          <t xml:space="preserve">
</t>
        </r>
      </text>
    </comment>
    <comment ref="Z1039" authorId="0" shapeId="0">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text>
        <r>
          <rPr>
            <b/>
            <sz val="8"/>
            <color indexed="81"/>
            <rFont val="Tahoma"/>
            <family val="2"/>
          </rPr>
          <t>Counting from High count Backwards- this is Fiber Strand 133</t>
        </r>
      </text>
    </comment>
    <comment ref="AB1039" authorId="0" shapeId="0">
      <text>
        <r>
          <rPr>
            <b/>
            <sz val="8"/>
            <color indexed="81"/>
            <rFont val="Tahoma"/>
            <family val="2"/>
          </rPr>
          <t>Counting from High count Backwards- this is Fiber Strand 144</t>
        </r>
        <r>
          <rPr>
            <sz val="8"/>
            <color indexed="81"/>
            <rFont val="Tahoma"/>
            <family val="2"/>
          </rPr>
          <t xml:space="preserve">
</t>
        </r>
      </text>
    </comment>
    <comment ref="C1040" authorId="0" shapeId="0">
      <text>
        <r>
          <rPr>
            <b/>
            <sz val="8"/>
            <color indexed="81"/>
            <rFont val="Tahoma"/>
            <family val="2"/>
          </rPr>
          <t xml:space="preserve">Select if this tether will be used to feed a CFST or a lateral cable. </t>
        </r>
      </text>
    </comment>
    <comment ref="D1040" authorId="0" shapeId="0">
      <text>
        <r>
          <rPr>
            <b/>
            <sz val="8"/>
            <color indexed="81"/>
            <rFont val="Tahoma"/>
            <family val="2"/>
          </rPr>
          <t>Note the Terminal Address to keep your locations straight</t>
        </r>
        <r>
          <rPr>
            <sz val="8"/>
            <color indexed="81"/>
            <rFont val="Tahoma"/>
            <family val="2"/>
          </rPr>
          <t xml:space="preserve">
</t>
        </r>
      </text>
    </comment>
    <comment ref="E1040" authorId="0" shapeId="0">
      <text>
        <r>
          <rPr>
            <b/>
            <sz val="9"/>
            <color indexed="81"/>
            <rFont val="Calibri"/>
            <family val="2"/>
            <scheme val="minor"/>
          </rPr>
          <t>Pick the Tether Size for the location</t>
        </r>
        <r>
          <rPr>
            <sz val="8"/>
            <color indexed="81"/>
            <rFont val="Tahoma"/>
            <family val="2"/>
          </rPr>
          <t xml:space="preserve">
</t>
        </r>
      </text>
    </comment>
    <comment ref="F1040" authorId="2" shapeId="0">
      <text>
        <r>
          <rPr>
            <b/>
            <sz val="9"/>
            <color indexed="81"/>
            <rFont val="Tahoma"/>
            <family val="2"/>
          </rPr>
          <t>Identify TCF or FST location.
Leave blank if tether is NOT for a TCF or FST!</t>
        </r>
      </text>
    </comment>
    <comment ref="H1040" authorId="0" shapeId="0">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text>
        <r>
          <rPr>
            <b/>
            <sz val="8"/>
            <color indexed="81"/>
            <rFont val="Tahoma"/>
            <family val="2"/>
          </rPr>
          <t>If any of these numbers are negative, check your PON count and Cable size</t>
        </r>
      </text>
    </comment>
    <comment ref="J104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text>
        <r>
          <rPr>
            <b/>
            <sz val="9"/>
            <color indexed="81"/>
            <rFont val="Tahoma"/>
            <family val="2"/>
          </rPr>
          <t>Leave blank if using 10' Terminal Tail
Enter Tail length if greater than 10'</t>
        </r>
      </text>
    </comment>
    <comment ref="M1040" authorId="0" shapeId="0">
      <text>
        <r>
          <rPr>
            <b/>
            <sz val="8"/>
            <color indexed="81"/>
            <rFont val="Tahoma"/>
            <family val="2"/>
          </rPr>
          <t>Make design notes such as slack coils, realingment loops,  or location notes</t>
        </r>
      </text>
    </comment>
    <comment ref="Z1040" authorId="0" shapeId="0">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text>
        <r>
          <rPr>
            <b/>
            <sz val="8"/>
            <color indexed="81"/>
            <rFont val="Tahoma"/>
            <family val="2"/>
          </rPr>
          <t xml:space="preserve">Counting from High count Backwards- this is Fiber Strand 145
</t>
        </r>
      </text>
    </comment>
    <comment ref="AB1040" authorId="0" shapeId="0">
      <text>
        <r>
          <rPr>
            <b/>
            <sz val="8"/>
            <color indexed="81"/>
            <rFont val="Tahoma"/>
            <family val="2"/>
          </rPr>
          <t>Counting from High count Backwards- this is Fiber Strand 156</t>
        </r>
      </text>
    </comment>
    <comment ref="J1042" authorId="1" shapeId="0">
      <text>
        <r>
          <rPr>
            <b/>
            <sz val="9"/>
            <color indexed="81"/>
            <rFont val="Tahoma"/>
            <family val="2"/>
          </rPr>
          <t>If this highlights as an error, consider upsizing the Tether size for better ribbon utilization</t>
        </r>
      </text>
    </comment>
    <comment ref="J1043" authorId="1" shapeId="0">
      <text>
        <r>
          <rPr>
            <b/>
            <sz val="9"/>
            <color indexed="81"/>
            <rFont val="Tahoma"/>
            <family val="2"/>
          </rPr>
          <t>If this highlights as an error, consider upsizing the Tether size for better ribbon utilization</t>
        </r>
      </text>
    </comment>
    <comment ref="J1044" authorId="1" shapeId="0">
      <text>
        <r>
          <rPr>
            <b/>
            <sz val="9"/>
            <color indexed="81"/>
            <rFont val="Tahoma"/>
            <family val="2"/>
          </rPr>
          <t>If this highlights as an error, consider upsizing the Tether size for better ribbon utilization</t>
        </r>
      </text>
    </comment>
    <comment ref="J1045" authorId="1" shapeId="0">
      <text>
        <r>
          <rPr>
            <b/>
            <sz val="9"/>
            <color indexed="81"/>
            <rFont val="Tahoma"/>
            <family val="2"/>
          </rPr>
          <t>If this highlights as an error, consider upsizing the Tether size for better ribbon utilization</t>
        </r>
      </text>
    </comment>
    <comment ref="J1046" authorId="1" shapeId="0">
      <text>
        <r>
          <rPr>
            <b/>
            <sz val="9"/>
            <color indexed="81"/>
            <rFont val="Tahoma"/>
            <family val="2"/>
          </rPr>
          <t>If this highlights as an error, consider upsizing the Tether size for better ribbon utilization</t>
        </r>
      </text>
    </comment>
    <comment ref="J1047" authorId="1" shapeId="0">
      <text>
        <r>
          <rPr>
            <b/>
            <sz val="9"/>
            <color indexed="81"/>
            <rFont val="Tahoma"/>
            <family val="2"/>
          </rPr>
          <t>If this highlights as an error, consider upsizing the Tether size for better ribbon utilization</t>
        </r>
      </text>
    </comment>
    <comment ref="J1048" authorId="1" shapeId="0">
      <text>
        <r>
          <rPr>
            <b/>
            <sz val="9"/>
            <color indexed="81"/>
            <rFont val="Tahoma"/>
            <family val="2"/>
          </rPr>
          <t>If this highlights as an error, consider upsizing the Tether size for better ribbon utilization</t>
        </r>
      </text>
    </comment>
    <comment ref="J1049" authorId="1" shapeId="0">
      <text>
        <r>
          <rPr>
            <b/>
            <sz val="9"/>
            <color indexed="81"/>
            <rFont val="Tahoma"/>
            <family val="2"/>
          </rPr>
          <t>If this highlights as an error, consider upsizing the Tether size for better ribbon utilization</t>
        </r>
      </text>
    </comment>
    <comment ref="J1050" authorId="1" shapeId="0">
      <text>
        <r>
          <rPr>
            <b/>
            <sz val="9"/>
            <color indexed="81"/>
            <rFont val="Tahoma"/>
            <family val="2"/>
          </rPr>
          <t>If this highlights as an error, consider upsizing the Tether size for better ribbon utilization</t>
        </r>
      </text>
    </comment>
    <comment ref="J1051" authorId="1" shapeId="0">
      <text>
        <r>
          <rPr>
            <b/>
            <sz val="9"/>
            <color indexed="81"/>
            <rFont val="Tahoma"/>
            <family val="2"/>
          </rPr>
          <t>If this highlights as an error, consider upsizing the Tether size for better ribbon utilization</t>
        </r>
      </text>
    </comment>
    <comment ref="J1052" authorId="1" shapeId="0">
      <text>
        <r>
          <rPr>
            <b/>
            <sz val="9"/>
            <color indexed="81"/>
            <rFont val="Tahoma"/>
            <family val="2"/>
          </rPr>
          <t>If this highlights as an error, consider upsizing the Tether size for better ribbon utilization</t>
        </r>
      </text>
    </comment>
    <comment ref="J1053" authorId="1" shapeId="0">
      <text>
        <r>
          <rPr>
            <b/>
            <sz val="9"/>
            <color indexed="81"/>
            <rFont val="Tahoma"/>
            <family val="2"/>
          </rPr>
          <t>If this highlights as an error, consider upsizing the Tether size for better ribbon utilization</t>
        </r>
      </text>
    </comment>
    <comment ref="J1054" authorId="1" shapeId="0">
      <text>
        <r>
          <rPr>
            <b/>
            <sz val="9"/>
            <color indexed="81"/>
            <rFont val="Tahoma"/>
            <family val="2"/>
          </rPr>
          <t>If this highlights as an error, consider upsizing the Tether size for better ribbon utilization</t>
        </r>
      </text>
    </comment>
    <comment ref="J1055" authorId="1" shapeId="0">
      <text>
        <r>
          <rPr>
            <b/>
            <sz val="9"/>
            <color indexed="81"/>
            <rFont val="Tahoma"/>
            <family val="2"/>
          </rPr>
          <t>If this highlights as an error, consider upsizing the Tether size for better ribbon utilization</t>
        </r>
      </text>
    </comment>
    <comment ref="J1056" authorId="1" shapeId="0">
      <text>
        <r>
          <rPr>
            <b/>
            <sz val="9"/>
            <color indexed="81"/>
            <rFont val="Tahoma"/>
            <family val="2"/>
          </rPr>
          <t>If this highlights as an error, consider upsizing the Tether size for better ribbon utilization</t>
        </r>
      </text>
    </comment>
    <comment ref="J1057" authorId="1" shapeId="0">
      <text>
        <r>
          <rPr>
            <b/>
            <sz val="9"/>
            <color indexed="81"/>
            <rFont val="Tahoma"/>
            <family val="2"/>
          </rPr>
          <t>If this highlights as an error, consider upsizing the Tether size for better ribbon utilization</t>
        </r>
      </text>
    </comment>
    <comment ref="J1058" authorId="1" shapeId="0">
      <text>
        <r>
          <rPr>
            <b/>
            <sz val="9"/>
            <color indexed="81"/>
            <rFont val="Tahoma"/>
            <family val="2"/>
          </rPr>
          <t>If this highlights as an error, consider upsizing the Tether size for better ribbon utilization</t>
        </r>
      </text>
    </comment>
    <comment ref="J1059" authorId="1" shapeId="0">
      <text>
        <r>
          <rPr>
            <b/>
            <sz val="9"/>
            <color indexed="81"/>
            <rFont val="Tahoma"/>
            <family val="2"/>
          </rPr>
          <t>If this highlights as an error, consider upsizing the Tether size for better ribbon utilization</t>
        </r>
      </text>
    </comment>
    <comment ref="C1060" authorId="1" shapeId="0">
      <text>
        <r>
          <rPr>
            <b/>
            <sz val="9"/>
            <color indexed="81"/>
            <rFont val="Tahoma"/>
            <family val="2"/>
          </rPr>
          <t>DBL REV requires TWO rows!
TPL REV requires THREE rows!
QD REV requires FOUR rows!</t>
        </r>
      </text>
    </comment>
    <comment ref="J1060" authorId="1" shapeId="0">
      <text>
        <r>
          <rPr>
            <b/>
            <sz val="9"/>
            <color indexed="81"/>
            <rFont val="Tahoma"/>
            <family val="2"/>
          </rPr>
          <t>If this highlights as an error, consider upsizing the Tether size for better ribbon utilization</t>
        </r>
      </text>
    </comment>
    <comment ref="C1061" authorId="1" shapeId="0">
      <text>
        <r>
          <rPr>
            <b/>
            <sz val="9"/>
            <color indexed="81"/>
            <rFont val="Tahoma"/>
            <family val="2"/>
          </rPr>
          <t>DBL REV requires TWO rows!
TPL REV requires THREE rows!
QD REV requires FOUR rows!</t>
        </r>
      </text>
    </comment>
    <comment ref="J1061" authorId="1" shapeId="0">
      <text>
        <r>
          <rPr>
            <b/>
            <sz val="9"/>
            <color indexed="81"/>
            <rFont val="Tahoma"/>
            <family val="2"/>
          </rPr>
          <t>If this highlights as an error, consider upsizing the Tether size for better ribbon utilization</t>
        </r>
      </text>
    </comment>
    <comment ref="C1062" authorId="1" shapeId="0">
      <text>
        <r>
          <rPr>
            <b/>
            <sz val="9"/>
            <color indexed="81"/>
            <rFont val="Tahoma"/>
            <family val="2"/>
          </rPr>
          <t>DBL REV requires TWO rows!
TPL REV requires THREE rows!
QD REV requires FOUR rows!</t>
        </r>
      </text>
    </comment>
    <comment ref="J1062" authorId="1" shapeId="0">
      <text>
        <r>
          <rPr>
            <b/>
            <sz val="9"/>
            <color indexed="81"/>
            <rFont val="Tahoma"/>
            <family val="2"/>
          </rPr>
          <t>If this highlights as an error, consider upsizing the Tether size for better ribbon utilization</t>
        </r>
      </text>
    </comment>
    <comment ref="C1063" authorId="1" shapeId="0">
      <text>
        <r>
          <rPr>
            <b/>
            <sz val="9"/>
            <color indexed="81"/>
            <rFont val="Tahoma"/>
            <family val="2"/>
          </rPr>
          <t>DBL REV requires TWO rows!
TPL REV requires THREE rows!
QD REV requires FOUR rows!</t>
        </r>
      </text>
    </comment>
    <comment ref="J1063" authorId="1" shapeId="0">
      <text>
        <r>
          <rPr>
            <b/>
            <sz val="9"/>
            <color indexed="81"/>
            <rFont val="Tahoma"/>
            <family val="2"/>
          </rPr>
          <t>If this highlights as an error, consider upsizing the Tether size for better ribbon utilization</t>
        </r>
      </text>
    </comment>
    <comment ref="C1064" authorId="1" shapeId="0">
      <text>
        <r>
          <rPr>
            <b/>
            <sz val="9"/>
            <color indexed="81"/>
            <rFont val="Tahoma"/>
            <family val="2"/>
          </rPr>
          <t>DBL REV requires TWO rows!
TPL REV requires THREE rows!
QD REV requires FOUR rows!</t>
        </r>
      </text>
    </comment>
    <comment ref="J1064" authorId="1" shapeId="0">
      <text>
        <r>
          <rPr>
            <b/>
            <sz val="9"/>
            <color indexed="81"/>
            <rFont val="Tahoma"/>
            <family val="2"/>
          </rPr>
          <t>If this highlights as an error, consider upsizing the Tether size for better ribbon utilization</t>
        </r>
      </text>
    </comment>
    <comment ref="C1065" authorId="1" shapeId="0">
      <text>
        <r>
          <rPr>
            <b/>
            <sz val="9"/>
            <color indexed="81"/>
            <rFont val="Tahoma"/>
            <family val="2"/>
          </rPr>
          <t>DBL REV requires TWO rows!
TPL REV requires THREE rows!
QD REV requires FOUR rows!</t>
        </r>
      </text>
    </comment>
    <comment ref="J1065" authorId="1" shapeId="0">
      <text>
        <r>
          <rPr>
            <b/>
            <sz val="9"/>
            <color indexed="81"/>
            <rFont val="Tahoma"/>
            <family val="2"/>
          </rPr>
          <t>If this highlights as an error, consider upsizing the Tether size for better ribbon utilization</t>
        </r>
      </text>
    </comment>
    <comment ref="C1066" authorId="1" shapeId="0">
      <text>
        <r>
          <rPr>
            <b/>
            <sz val="9"/>
            <color indexed="81"/>
            <rFont val="Tahoma"/>
            <family val="2"/>
          </rPr>
          <t>DBL REV requires TWO rows!
TPL REV requires THREE rows!
QD REV requires FOUR rows!</t>
        </r>
      </text>
    </comment>
    <comment ref="J1066" authorId="1" shapeId="0">
      <text>
        <r>
          <rPr>
            <b/>
            <sz val="9"/>
            <color indexed="81"/>
            <rFont val="Tahoma"/>
            <family val="2"/>
          </rPr>
          <t>If this highlights as an error, consider upsizing the Tether size for better ribbon utilization</t>
        </r>
      </text>
    </comment>
    <comment ref="B107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text>
        <r>
          <rPr>
            <b/>
            <sz val="8"/>
            <color indexed="81"/>
            <rFont val="Tahoma"/>
            <family val="2"/>
          </rPr>
          <t>This will be added to Planning Load Block A for TOTAL</t>
        </r>
        <r>
          <rPr>
            <sz val="8"/>
            <color indexed="81"/>
            <rFont val="Tahoma"/>
            <family val="2"/>
          </rPr>
          <t xml:space="preserve">
</t>
        </r>
      </text>
    </comment>
    <comment ref="J1072" authorId="0" shapeId="0">
      <text>
        <r>
          <rPr>
            <b/>
            <sz val="8"/>
            <color indexed="81"/>
            <rFont val="Tahoma"/>
            <family val="2"/>
          </rPr>
          <t>This is the PON OUT count that is not assigned in this cable reel.</t>
        </r>
        <r>
          <rPr>
            <sz val="8"/>
            <color indexed="81"/>
            <rFont val="Tahoma"/>
            <family val="2"/>
          </rPr>
          <t xml:space="preserve">
</t>
        </r>
      </text>
    </comment>
    <comment ref="P1072" authorId="1" shapeId="0">
      <text>
        <r>
          <rPr>
            <b/>
            <sz val="9"/>
            <color indexed="81"/>
            <rFont val="Tahoma"/>
            <family val="2"/>
          </rPr>
          <t>REMEMBER: 2-Fbr Tethers are NOT available for RPX CABLE!</t>
        </r>
      </text>
    </comment>
    <comment ref="Q1072" authorId="1" shapeId="0">
      <text>
        <r>
          <rPr>
            <b/>
            <sz val="9"/>
            <color indexed="81"/>
            <rFont val="Tahoma"/>
            <family val="2"/>
          </rPr>
          <t>REMEMBER: 2-Fbr Tethers are NOT available for RPX CABLE!</t>
        </r>
      </text>
    </comment>
    <comment ref="S1072" authorId="1" shapeId="0">
      <text>
        <r>
          <rPr>
            <b/>
            <sz val="9"/>
            <color indexed="81"/>
            <rFont val="Tahoma"/>
            <family val="2"/>
          </rPr>
          <t>REMEMBER: 2-Fbr Tethers are NOT available for RPX CABLE!</t>
        </r>
      </text>
    </comment>
    <comment ref="T1072" authorId="1" shapeId="0">
      <text>
        <r>
          <rPr>
            <b/>
            <sz val="9"/>
            <color indexed="81"/>
            <rFont val="Tahoma"/>
            <family val="2"/>
          </rPr>
          <t>REMEMBER: 2-Fbr Tethers are NOT available for RPX CABLE!</t>
        </r>
      </text>
    </comment>
    <comment ref="B107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text>
        <r>
          <rPr>
            <b/>
            <sz val="8"/>
            <color indexed="81"/>
            <rFont val="Tahoma"/>
            <family val="2"/>
          </rPr>
          <t>Make sure you add this number to "TAT FIBERS ASSIGNED" for the total required in the Load Block on the prints.</t>
        </r>
      </text>
    </comment>
    <comment ref="G1073" authorId="0" shapeId="0">
      <text>
        <r>
          <rPr>
            <b/>
            <sz val="8"/>
            <color indexed="81"/>
            <rFont val="Tahoma"/>
            <family val="2"/>
          </rPr>
          <t>Includes "DEAD" Count (No PON count assigned)</t>
        </r>
      </text>
    </comment>
    <comment ref="I107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text>
        <r>
          <rPr>
            <b/>
            <sz val="9"/>
            <color indexed="81"/>
            <rFont val="Tahoma"/>
            <family val="2"/>
          </rPr>
          <t>REMEMBER: 6-Fbr Tethers are NOT available for RPX CABLE!</t>
        </r>
      </text>
    </comment>
    <comment ref="Q1074" authorId="1" shapeId="0">
      <text>
        <r>
          <rPr>
            <b/>
            <sz val="9"/>
            <color indexed="81"/>
            <rFont val="Tahoma"/>
            <family val="2"/>
          </rPr>
          <t>REMEMBER: 6-Fbr Tethers are NOT available for RPX CABLE!</t>
        </r>
      </text>
    </comment>
    <comment ref="S1074" authorId="1" shapeId="0">
      <text>
        <r>
          <rPr>
            <b/>
            <sz val="9"/>
            <color indexed="81"/>
            <rFont val="Tahoma"/>
            <family val="2"/>
          </rPr>
          <t>REMEMBER: 6-Fbr Tethers are NOT available for RPX CABLE!</t>
        </r>
      </text>
    </comment>
    <comment ref="T1074" authorId="1" shapeId="0">
      <text>
        <r>
          <rPr>
            <b/>
            <sz val="9"/>
            <color indexed="81"/>
            <rFont val="Tahoma"/>
            <family val="2"/>
          </rPr>
          <t>REMEMBER: 6-Fbr Tethers are NOT available for AERIAL CABLE!</t>
        </r>
      </text>
    </comment>
    <comment ref="B107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text>
        <r>
          <rPr>
            <b/>
            <sz val="8"/>
            <color indexed="81"/>
            <rFont val="Tahoma"/>
            <family val="2"/>
          </rPr>
          <t>These are "manufacturing rules" and general warnings</t>
        </r>
        <r>
          <rPr>
            <sz val="8"/>
            <color indexed="81"/>
            <rFont val="Tahoma"/>
            <family val="2"/>
          </rPr>
          <t xml:space="preserve">
</t>
        </r>
      </text>
    </comment>
    <comment ref="B107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text>
        <r>
          <rPr>
            <b/>
            <sz val="8"/>
            <color indexed="81"/>
            <rFont val="Tahoma"/>
            <family val="2"/>
          </rPr>
          <t>This number is a sum of TOTAL PLANNED plus the ASSIGNED TO TETHERS</t>
        </r>
        <r>
          <rPr>
            <sz val="8"/>
            <color indexed="81"/>
            <rFont val="Tahoma"/>
            <family val="2"/>
          </rPr>
          <t xml:space="preserve">
</t>
        </r>
      </text>
    </comment>
    <comment ref="Z1080" authorId="0" shapeId="0">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text>
        <r>
          <rPr>
            <b/>
            <sz val="8"/>
            <color indexed="81"/>
            <rFont val="Tahoma"/>
            <family val="2"/>
          </rPr>
          <t>Counting from High count Backwards- this is Fiber Strand 133</t>
        </r>
      </text>
    </comment>
    <comment ref="AB1080" authorId="0" shapeId="0">
      <text>
        <r>
          <rPr>
            <b/>
            <sz val="8"/>
            <color indexed="81"/>
            <rFont val="Tahoma"/>
            <family val="2"/>
          </rPr>
          <t>Counting from High count Backwards- this is Fiber Strand 144</t>
        </r>
        <r>
          <rPr>
            <sz val="8"/>
            <color indexed="81"/>
            <rFont val="Tahoma"/>
            <family val="2"/>
          </rPr>
          <t xml:space="preserve">
</t>
        </r>
      </text>
    </comment>
    <comment ref="C1081" authorId="0" shapeId="0">
      <text>
        <r>
          <rPr>
            <b/>
            <sz val="8"/>
            <color indexed="81"/>
            <rFont val="Tahoma"/>
            <family val="2"/>
          </rPr>
          <t xml:space="preserve">Select if this tether will be used to feed a CFST or a lateral cable. </t>
        </r>
      </text>
    </comment>
    <comment ref="D1081" authorId="0" shapeId="0">
      <text>
        <r>
          <rPr>
            <b/>
            <sz val="8"/>
            <color indexed="81"/>
            <rFont val="Tahoma"/>
            <family val="2"/>
          </rPr>
          <t>Note the Terminal Address to keep your locations straight</t>
        </r>
        <r>
          <rPr>
            <sz val="8"/>
            <color indexed="81"/>
            <rFont val="Tahoma"/>
            <family val="2"/>
          </rPr>
          <t xml:space="preserve">
</t>
        </r>
      </text>
    </comment>
    <comment ref="E1081" authorId="0" shapeId="0">
      <text>
        <r>
          <rPr>
            <b/>
            <sz val="9"/>
            <color indexed="81"/>
            <rFont val="Calibri"/>
            <family val="2"/>
            <scheme val="minor"/>
          </rPr>
          <t>Pick the Tether Size for the location</t>
        </r>
        <r>
          <rPr>
            <sz val="8"/>
            <color indexed="81"/>
            <rFont val="Tahoma"/>
            <family val="2"/>
          </rPr>
          <t xml:space="preserve">
</t>
        </r>
      </text>
    </comment>
    <comment ref="F1081" authorId="2" shapeId="0">
      <text>
        <r>
          <rPr>
            <b/>
            <sz val="9"/>
            <color indexed="81"/>
            <rFont val="Tahoma"/>
            <family val="2"/>
          </rPr>
          <t>Identify TCF or FST location.
Leave blank if tether is NOT for a TCF or FST!</t>
        </r>
      </text>
    </comment>
    <comment ref="H1081" authorId="0" shapeId="0">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text>
        <r>
          <rPr>
            <b/>
            <sz val="8"/>
            <color indexed="81"/>
            <rFont val="Tahoma"/>
            <family val="2"/>
          </rPr>
          <t>If any of these numbers are negative, check your PON count and Cable size</t>
        </r>
      </text>
    </comment>
    <comment ref="J108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text>
        <r>
          <rPr>
            <b/>
            <sz val="9"/>
            <color indexed="81"/>
            <rFont val="Tahoma"/>
            <family val="2"/>
          </rPr>
          <t>Leave blank if using 10' Terminal Tail
Enter Tail length if greater than 10'</t>
        </r>
      </text>
    </comment>
    <comment ref="M1081" authorId="0" shapeId="0">
      <text>
        <r>
          <rPr>
            <b/>
            <sz val="8"/>
            <color indexed="81"/>
            <rFont val="Tahoma"/>
            <family val="2"/>
          </rPr>
          <t>Make design notes such as slack coils, realingment loops,  or location notes</t>
        </r>
      </text>
    </comment>
    <comment ref="Z1081" authorId="0" shapeId="0">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text>
        <r>
          <rPr>
            <b/>
            <sz val="8"/>
            <color indexed="81"/>
            <rFont val="Tahoma"/>
            <family val="2"/>
          </rPr>
          <t xml:space="preserve">Counting from High count Backwards- this is Fiber Strand 145
</t>
        </r>
      </text>
    </comment>
    <comment ref="AB1081" authorId="0" shapeId="0">
      <text>
        <r>
          <rPr>
            <b/>
            <sz val="8"/>
            <color indexed="81"/>
            <rFont val="Tahoma"/>
            <family val="2"/>
          </rPr>
          <t>Counting from High count Backwards- this is Fiber Strand 156</t>
        </r>
      </text>
    </comment>
    <comment ref="J1083" authorId="1" shapeId="0">
      <text>
        <r>
          <rPr>
            <b/>
            <sz val="9"/>
            <color indexed="81"/>
            <rFont val="Tahoma"/>
            <family val="2"/>
          </rPr>
          <t>If this highlights as an error, consider upsizing the Tether size for better ribbon utilization</t>
        </r>
      </text>
    </comment>
    <comment ref="J1084" authorId="1" shapeId="0">
      <text>
        <r>
          <rPr>
            <b/>
            <sz val="9"/>
            <color indexed="81"/>
            <rFont val="Tahoma"/>
            <family val="2"/>
          </rPr>
          <t>If this highlights as an error, consider upsizing the Tether size for better ribbon utilization</t>
        </r>
      </text>
    </comment>
    <comment ref="J1085" authorId="1" shapeId="0">
      <text>
        <r>
          <rPr>
            <b/>
            <sz val="9"/>
            <color indexed="81"/>
            <rFont val="Tahoma"/>
            <family val="2"/>
          </rPr>
          <t>If this highlights as an error, consider upsizing the Tether size for better ribbon utilization</t>
        </r>
      </text>
    </comment>
    <comment ref="J1086" authorId="1" shapeId="0">
      <text>
        <r>
          <rPr>
            <b/>
            <sz val="9"/>
            <color indexed="81"/>
            <rFont val="Tahoma"/>
            <family val="2"/>
          </rPr>
          <t>If this highlights as an error, consider upsizing the Tether size for better ribbon utilization</t>
        </r>
      </text>
    </comment>
    <comment ref="J1087" authorId="1" shapeId="0">
      <text>
        <r>
          <rPr>
            <b/>
            <sz val="9"/>
            <color indexed="81"/>
            <rFont val="Tahoma"/>
            <family val="2"/>
          </rPr>
          <t>If this highlights as an error, consider upsizing the Tether size for better ribbon utilization</t>
        </r>
      </text>
    </comment>
    <comment ref="J1088" authorId="1" shapeId="0">
      <text>
        <r>
          <rPr>
            <b/>
            <sz val="9"/>
            <color indexed="81"/>
            <rFont val="Tahoma"/>
            <family val="2"/>
          </rPr>
          <t>If this highlights as an error, consider upsizing the Tether size for better ribbon utilization</t>
        </r>
      </text>
    </comment>
    <comment ref="J1089" authorId="1" shapeId="0">
      <text>
        <r>
          <rPr>
            <b/>
            <sz val="9"/>
            <color indexed="81"/>
            <rFont val="Tahoma"/>
            <family val="2"/>
          </rPr>
          <t>If this highlights as an error, consider upsizing the Tether size for better ribbon utilization</t>
        </r>
      </text>
    </comment>
    <comment ref="J1090" authorId="1" shapeId="0">
      <text>
        <r>
          <rPr>
            <b/>
            <sz val="9"/>
            <color indexed="81"/>
            <rFont val="Tahoma"/>
            <family val="2"/>
          </rPr>
          <t>If this highlights as an error, consider upsizing the Tether size for better ribbon utilization</t>
        </r>
      </text>
    </comment>
    <comment ref="J1091" authorId="1" shapeId="0">
      <text>
        <r>
          <rPr>
            <b/>
            <sz val="9"/>
            <color indexed="81"/>
            <rFont val="Tahoma"/>
            <family val="2"/>
          </rPr>
          <t>If this highlights as an error, consider upsizing the Tether size for better ribbon utilization</t>
        </r>
      </text>
    </comment>
    <comment ref="J1092" authorId="1" shapeId="0">
      <text>
        <r>
          <rPr>
            <b/>
            <sz val="9"/>
            <color indexed="81"/>
            <rFont val="Tahoma"/>
            <family val="2"/>
          </rPr>
          <t>If this highlights as an error, consider upsizing the Tether size for better ribbon utilization</t>
        </r>
      </text>
    </comment>
    <comment ref="J1093" authorId="1" shapeId="0">
      <text>
        <r>
          <rPr>
            <b/>
            <sz val="9"/>
            <color indexed="81"/>
            <rFont val="Tahoma"/>
            <family val="2"/>
          </rPr>
          <t>If this highlights as an error, consider upsizing the Tether size for better ribbon utilization</t>
        </r>
      </text>
    </comment>
    <comment ref="J1094" authorId="1" shapeId="0">
      <text>
        <r>
          <rPr>
            <b/>
            <sz val="9"/>
            <color indexed="81"/>
            <rFont val="Tahoma"/>
            <family val="2"/>
          </rPr>
          <t>If this highlights as an error, consider upsizing the Tether size for better ribbon utilization</t>
        </r>
      </text>
    </comment>
    <comment ref="J1095" authorId="1" shapeId="0">
      <text>
        <r>
          <rPr>
            <b/>
            <sz val="9"/>
            <color indexed="81"/>
            <rFont val="Tahoma"/>
            <family val="2"/>
          </rPr>
          <t>If this highlights as an error, consider upsizing the Tether size for better ribbon utilization</t>
        </r>
      </text>
    </comment>
    <comment ref="J1096" authorId="1" shapeId="0">
      <text>
        <r>
          <rPr>
            <b/>
            <sz val="9"/>
            <color indexed="81"/>
            <rFont val="Tahoma"/>
            <family val="2"/>
          </rPr>
          <t>If this highlights as an error, consider upsizing the Tether size for better ribbon utilization</t>
        </r>
      </text>
    </comment>
    <comment ref="J1097" authorId="1" shapeId="0">
      <text>
        <r>
          <rPr>
            <b/>
            <sz val="9"/>
            <color indexed="81"/>
            <rFont val="Tahoma"/>
            <family val="2"/>
          </rPr>
          <t>If this highlights as an error, consider upsizing the Tether size for better ribbon utilization</t>
        </r>
      </text>
    </comment>
    <comment ref="J1098" authorId="1" shapeId="0">
      <text>
        <r>
          <rPr>
            <b/>
            <sz val="9"/>
            <color indexed="81"/>
            <rFont val="Tahoma"/>
            <family val="2"/>
          </rPr>
          <t>If this highlights as an error, consider upsizing the Tether size for better ribbon utilization</t>
        </r>
      </text>
    </comment>
    <comment ref="J1099" authorId="1" shapeId="0">
      <text>
        <r>
          <rPr>
            <b/>
            <sz val="9"/>
            <color indexed="81"/>
            <rFont val="Tahoma"/>
            <family val="2"/>
          </rPr>
          <t>If this highlights as an error, consider upsizing the Tether size for better ribbon utilization</t>
        </r>
      </text>
    </comment>
    <comment ref="J1100" authorId="1" shapeId="0">
      <text>
        <r>
          <rPr>
            <b/>
            <sz val="9"/>
            <color indexed="81"/>
            <rFont val="Tahoma"/>
            <family val="2"/>
          </rPr>
          <t>If this highlights as an error, consider upsizing the Tether size for better ribbon utilization</t>
        </r>
      </text>
    </comment>
    <comment ref="C1101" authorId="1" shapeId="0">
      <text>
        <r>
          <rPr>
            <b/>
            <sz val="9"/>
            <color indexed="81"/>
            <rFont val="Tahoma"/>
            <family val="2"/>
          </rPr>
          <t>DBL REV requires TWO rows!
TPL REV requires THREE rows!
QD REV requires FOUR rows!</t>
        </r>
      </text>
    </comment>
    <comment ref="J1101" authorId="1" shapeId="0">
      <text>
        <r>
          <rPr>
            <b/>
            <sz val="9"/>
            <color indexed="81"/>
            <rFont val="Tahoma"/>
            <family val="2"/>
          </rPr>
          <t>If this highlights as an error, consider upsizing the Tether size for better ribbon utilization</t>
        </r>
      </text>
    </comment>
    <comment ref="C1102" authorId="1" shapeId="0">
      <text>
        <r>
          <rPr>
            <b/>
            <sz val="9"/>
            <color indexed="81"/>
            <rFont val="Tahoma"/>
            <family val="2"/>
          </rPr>
          <t>DBL REV requires TWO rows!
TPL REV requires THREE rows!
QD REV requires FOUR rows!</t>
        </r>
      </text>
    </comment>
    <comment ref="J1102" authorId="1" shapeId="0">
      <text>
        <r>
          <rPr>
            <b/>
            <sz val="9"/>
            <color indexed="81"/>
            <rFont val="Tahoma"/>
            <family val="2"/>
          </rPr>
          <t>If this highlights as an error, consider upsizing the Tether size for better ribbon utilization</t>
        </r>
      </text>
    </comment>
    <comment ref="C1103" authorId="1" shapeId="0">
      <text>
        <r>
          <rPr>
            <b/>
            <sz val="9"/>
            <color indexed="81"/>
            <rFont val="Tahoma"/>
            <family val="2"/>
          </rPr>
          <t>DBL REV requires TWO rows!
TPL REV requires THREE rows!
QD REV requires FOUR rows!</t>
        </r>
      </text>
    </comment>
    <comment ref="J1103" authorId="1" shapeId="0">
      <text>
        <r>
          <rPr>
            <b/>
            <sz val="9"/>
            <color indexed="81"/>
            <rFont val="Tahoma"/>
            <family val="2"/>
          </rPr>
          <t>If this highlights as an error, consider upsizing the Tether size for better ribbon utilization</t>
        </r>
      </text>
    </comment>
    <comment ref="C1104" authorId="1" shapeId="0">
      <text>
        <r>
          <rPr>
            <b/>
            <sz val="9"/>
            <color indexed="81"/>
            <rFont val="Tahoma"/>
            <family val="2"/>
          </rPr>
          <t>DBL REV requires TWO rows!
TPL REV requires THREE rows!
QD REV requires FOUR rows!</t>
        </r>
      </text>
    </comment>
    <comment ref="J1104" authorId="1" shapeId="0">
      <text>
        <r>
          <rPr>
            <b/>
            <sz val="9"/>
            <color indexed="81"/>
            <rFont val="Tahoma"/>
            <family val="2"/>
          </rPr>
          <t>If this highlights as an error, consider upsizing the Tether size for better ribbon utilization</t>
        </r>
      </text>
    </comment>
    <comment ref="C1105" authorId="1" shapeId="0">
      <text>
        <r>
          <rPr>
            <b/>
            <sz val="9"/>
            <color indexed="81"/>
            <rFont val="Tahoma"/>
            <family val="2"/>
          </rPr>
          <t>DBL REV requires TWO rows!
TPL REV requires THREE rows!
QD REV requires FOUR rows!</t>
        </r>
      </text>
    </comment>
    <comment ref="J1105" authorId="1" shapeId="0">
      <text>
        <r>
          <rPr>
            <b/>
            <sz val="9"/>
            <color indexed="81"/>
            <rFont val="Tahoma"/>
            <family val="2"/>
          </rPr>
          <t>If this highlights as an error, consider upsizing the Tether size for better ribbon utilization</t>
        </r>
      </text>
    </comment>
    <comment ref="C1106" authorId="1" shapeId="0">
      <text>
        <r>
          <rPr>
            <b/>
            <sz val="9"/>
            <color indexed="81"/>
            <rFont val="Tahoma"/>
            <family val="2"/>
          </rPr>
          <t>DBL REV requires TWO rows!
TPL REV requires THREE rows!
QD REV requires FOUR rows!</t>
        </r>
      </text>
    </comment>
    <comment ref="J1106" authorId="1" shapeId="0">
      <text>
        <r>
          <rPr>
            <b/>
            <sz val="9"/>
            <color indexed="81"/>
            <rFont val="Tahoma"/>
            <family val="2"/>
          </rPr>
          <t>If this highlights as an error, consider upsizing the Tether size for better ribbon utilization</t>
        </r>
      </text>
    </comment>
    <comment ref="C1107" authorId="1" shapeId="0">
      <text>
        <r>
          <rPr>
            <b/>
            <sz val="9"/>
            <color indexed="81"/>
            <rFont val="Tahoma"/>
            <family val="2"/>
          </rPr>
          <t>DBL REV requires TWO rows!
TPL REV requires THREE rows!
QD REV requires FOUR rows!</t>
        </r>
      </text>
    </comment>
    <comment ref="J1107" authorId="1" shapeId="0">
      <text>
        <r>
          <rPr>
            <b/>
            <sz val="9"/>
            <color indexed="81"/>
            <rFont val="Tahoma"/>
            <family val="2"/>
          </rPr>
          <t>If this highlights as an error, consider upsizing the Tether size for better ribbon utilization</t>
        </r>
      </text>
    </comment>
    <comment ref="B111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text>
        <r>
          <rPr>
            <b/>
            <sz val="8"/>
            <color indexed="81"/>
            <rFont val="Tahoma"/>
            <family val="2"/>
          </rPr>
          <t>This will be added to Planning Load Block A for TOTAL</t>
        </r>
        <r>
          <rPr>
            <sz val="8"/>
            <color indexed="81"/>
            <rFont val="Tahoma"/>
            <family val="2"/>
          </rPr>
          <t xml:space="preserve">
</t>
        </r>
      </text>
    </comment>
    <comment ref="J1113" authorId="0" shapeId="0">
      <text>
        <r>
          <rPr>
            <b/>
            <sz val="8"/>
            <color indexed="81"/>
            <rFont val="Tahoma"/>
            <family val="2"/>
          </rPr>
          <t>This is the PON OUT count that is not assigned in this cable reel.</t>
        </r>
        <r>
          <rPr>
            <sz val="8"/>
            <color indexed="81"/>
            <rFont val="Tahoma"/>
            <family val="2"/>
          </rPr>
          <t xml:space="preserve">
</t>
        </r>
      </text>
    </comment>
    <comment ref="P1113" authorId="1" shapeId="0">
      <text>
        <r>
          <rPr>
            <b/>
            <sz val="9"/>
            <color indexed="81"/>
            <rFont val="Tahoma"/>
            <family val="2"/>
          </rPr>
          <t>REMEMBER: 2-Fbr Tethers are NOT available for RPX CABLE!</t>
        </r>
      </text>
    </comment>
    <comment ref="Q1113" authorId="1" shapeId="0">
      <text>
        <r>
          <rPr>
            <b/>
            <sz val="9"/>
            <color indexed="81"/>
            <rFont val="Tahoma"/>
            <family val="2"/>
          </rPr>
          <t>REMEMBER: 2-Fbr Tethers are NOT available for RPX CABLE!</t>
        </r>
      </text>
    </comment>
    <comment ref="S1113" authorId="1" shapeId="0">
      <text>
        <r>
          <rPr>
            <b/>
            <sz val="9"/>
            <color indexed="81"/>
            <rFont val="Tahoma"/>
            <family val="2"/>
          </rPr>
          <t>REMEMBER: 2-Fbr Tethers are NOT available for RPX CABLE!</t>
        </r>
      </text>
    </comment>
    <comment ref="T1113" authorId="1" shapeId="0">
      <text>
        <r>
          <rPr>
            <b/>
            <sz val="9"/>
            <color indexed="81"/>
            <rFont val="Tahoma"/>
            <family val="2"/>
          </rPr>
          <t>REMEMBER: 2-Fbr Tethers are NOT available for RPX CABLE!</t>
        </r>
      </text>
    </comment>
    <comment ref="B111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text>
        <r>
          <rPr>
            <b/>
            <sz val="8"/>
            <color indexed="81"/>
            <rFont val="Tahoma"/>
            <family val="2"/>
          </rPr>
          <t>Make sure you add this number to "TAT FIBERS ASSIGNED" for the total required in the Load Block on the prints.</t>
        </r>
      </text>
    </comment>
    <comment ref="G1114" authorId="0" shapeId="0">
      <text>
        <r>
          <rPr>
            <b/>
            <sz val="8"/>
            <color indexed="81"/>
            <rFont val="Tahoma"/>
            <family val="2"/>
          </rPr>
          <t>Includes "DEAD" Count (No PON count assigned)</t>
        </r>
      </text>
    </comment>
    <comment ref="I111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text>
        <r>
          <rPr>
            <b/>
            <sz val="9"/>
            <color indexed="81"/>
            <rFont val="Tahoma"/>
            <family val="2"/>
          </rPr>
          <t>REMEMBER: 6-Fbr Tethers are NOT available for RPX CABLE!</t>
        </r>
      </text>
    </comment>
    <comment ref="Q1115" authorId="1" shapeId="0">
      <text>
        <r>
          <rPr>
            <b/>
            <sz val="9"/>
            <color indexed="81"/>
            <rFont val="Tahoma"/>
            <family val="2"/>
          </rPr>
          <t>REMEMBER: 6-Fbr Tethers are NOT available for RPX CABLE!</t>
        </r>
      </text>
    </comment>
    <comment ref="S1115" authorId="1" shapeId="0">
      <text>
        <r>
          <rPr>
            <b/>
            <sz val="9"/>
            <color indexed="81"/>
            <rFont val="Tahoma"/>
            <family val="2"/>
          </rPr>
          <t>REMEMBER: 6-Fbr Tethers are NOT available for RPX CABLE!</t>
        </r>
      </text>
    </comment>
    <comment ref="T1115" authorId="1" shapeId="0">
      <text>
        <r>
          <rPr>
            <b/>
            <sz val="9"/>
            <color indexed="81"/>
            <rFont val="Tahoma"/>
            <family val="2"/>
          </rPr>
          <t>REMEMBER: 6-Fbr Tethers are NOT available for AERIAL CABLE!</t>
        </r>
      </text>
    </comment>
    <comment ref="B111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text>
        <r>
          <rPr>
            <b/>
            <sz val="8"/>
            <color indexed="81"/>
            <rFont val="Tahoma"/>
            <family val="2"/>
          </rPr>
          <t>These are "manufacturing rules" and general warnings</t>
        </r>
        <r>
          <rPr>
            <sz val="8"/>
            <color indexed="81"/>
            <rFont val="Tahoma"/>
            <family val="2"/>
          </rPr>
          <t xml:space="preserve">
</t>
        </r>
      </text>
    </comment>
    <comment ref="B111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text>
        <r>
          <rPr>
            <b/>
            <sz val="8"/>
            <color indexed="81"/>
            <rFont val="Tahoma"/>
            <family val="2"/>
          </rPr>
          <t>This number is a sum of TOTAL PLANNED plus the ASSIGNED TO TETHERS</t>
        </r>
        <r>
          <rPr>
            <sz val="8"/>
            <color indexed="81"/>
            <rFont val="Tahoma"/>
            <family val="2"/>
          </rPr>
          <t xml:space="preserve">
</t>
        </r>
      </text>
    </comment>
    <comment ref="Z1121" authorId="0" shapeId="0">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text>
        <r>
          <rPr>
            <b/>
            <sz val="8"/>
            <color indexed="81"/>
            <rFont val="Tahoma"/>
            <family val="2"/>
          </rPr>
          <t>Counting from High count Backwards- this is Fiber Strand 133</t>
        </r>
      </text>
    </comment>
    <comment ref="AB1121" authorId="0" shapeId="0">
      <text>
        <r>
          <rPr>
            <b/>
            <sz val="8"/>
            <color indexed="81"/>
            <rFont val="Tahoma"/>
            <family val="2"/>
          </rPr>
          <t>Counting from High count Backwards- this is Fiber Strand 144</t>
        </r>
        <r>
          <rPr>
            <sz val="8"/>
            <color indexed="81"/>
            <rFont val="Tahoma"/>
            <family val="2"/>
          </rPr>
          <t xml:space="preserve">
</t>
        </r>
      </text>
    </comment>
    <comment ref="C1122" authorId="0" shapeId="0">
      <text>
        <r>
          <rPr>
            <b/>
            <sz val="8"/>
            <color indexed="81"/>
            <rFont val="Tahoma"/>
            <family val="2"/>
          </rPr>
          <t xml:space="preserve">Select if this tether will be used to feed a CFST or a lateral cable. </t>
        </r>
      </text>
    </comment>
    <comment ref="D1122" authorId="0" shapeId="0">
      <text>
        <r>
          <rPr>
            <b/>
            <sz val="8"/>
            <color indexed="81"/>
            <rFont val="Tahoma"/>
            <family val="2"/>
          </rPr>
          <t>Note the Terminal Address to keep your locations straight</t>
        </r>
        <r>
          <rPr>
            <sz val="8"/>
            <color indexed="81"/>
            <rFont val="Tahoma"/>
            <family val="2"/>
          </rPr>
          <t xml:space="preserve">
</t>
        </r>
      </text>
    </comment>
    <comment ref="E1122" authorId="0" shapeId="0">
      <text>
        <r>
          <rPr>
            <b/>
            <sz val="9"/>
            <color indexed="81"/>
            <rFont val="Calibri"/>
            <family val="2"/>
            <scheme val="minor"/>
          </rPr>
          <t>Pick the Tether Size for the location</t>
        </r>
        <r>
          <rPr>
            <sz val="8"/>
            <color indexed="81"/>
            <rFont val="Tahoma"/>
            <family val="2"/>
          </rPr>
          <t xml:space="preserve">
</t>
        </r>
      </text>
    </comment>
    <comment ref="F1122" authorId="2" shapeId="0">
      <text>
        <r>
          <rPr>
            <b/>
            <sz val="9"/>
            <color indexed="81"/>
            <rFont val="Tahoma"/>
            <family val="2"/>
          </rPr>
          <t>Identify TCF or FST location.
Leave blank if tether is NOT for a TCF or FST!</t>
        </r>
      </text>
    </comment>
    <comment ref="H1122" authorId="0" shapeId="0">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text>
        <r>
          <rPr>
            <b/>
            <sz val="8"/>
            <color indexed="81"/>
            <rFont val="Tahoma"/>
            <family val="2"/>
          </rPr>
          <t>If any of these numbers are negative, check your PON count and Cable size</t>
        </r>
      </text>
    </comment>
    <comment ref="J112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text>
        <r>
          <rPr>
            <b/>
            <sz val="9"/>
            <color indexed="81"/>
            <rFont val="Tahoma"/>
            <family val="2"/>
          </rPr>
          <t>Leave blank if using 10' Terminal Tail
Enter Tail length if greater than 10'</t>
        </r>
      </text>
    </comment>
    <comment ref="M1122" authorId="0" shapeId="0">
      <text>
        <r>
          <rPr>
            <b/>
            <sz val="8"/>
            <color indexed="81"/>
            <rFont val="Tahoma"/>
            <family val="2"/>
          </rPr>
          <t>Make design notes such as slack coils, realingment loops,  or location notes</t>
        </r>
      </text>
    </comment>
    <comment ref="Z1122" authorId="0" shapeId="0">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text>
        <r>
          <rPr>
            <b/>
            <sz val="8"/>
            <color indexed="81"/>
            <rFont val="Tahoma"/>
            <family val="2"/>
          </rPr>
          <t xml:space="preserve">Counting from High count Backwards- this is Fiber Strand 145
</t>
        </r>
      </text>
    </comment>
    <comment ref="AB1122" authorId="0" shapeId="0">
      <text>
        <r>
          <rPr>
            <b/>
            <sz val="8"/>
            <color indexed="81"/>
            <rFont val="Tahoma"/>
            <family val="2"/>
          </rPr>
          <t>Counting from High count Backwards- this is Fiber Strand 156</t>
        </r>
      </text>
    </comment>
    <comment ref="J1124" authorId="1" shapeId="0">
      <text>
        <r>
          <rPr>
            <b/>
            <sz val="9"/>
            <color indexed="81"/>
            <rFont val="Tahoma"/>
            <family val="2"/>
          </rPr>
          <t>If this highlights as an error, consider upsizing the Tether size for better ribbon utilization</t>
        </r>
      </text>
    </comment>
    <comment ref="J1125" authorId="1" shapeId="0">
      <text>
        <r>
          <rPr>
            <b/>
            <sz val="9"/>
            <color indexed="81"/>
            <rFont val="Tahoma"/>
            <family val="2"/>
          </rPr>
          <t>If this highlights as an error, consider upsizing the Tether size for better ribbon utilization</t>
        </r>
      </text>
    </comment>
    <comment ref="J1126" authorId="1" shapeId="0">
      <text>
        <r>
          <rPr>
            <b/>
            <sz val="9"/>
            <color indexed="81"/>
            <rFont val="Tahoma"/>
            <family val="2"/>
          </rPr>
          <t>If this highlights as an error, consider upsizing the Tether size for better ribbon utilization</t>
        </r>
      </text>
    </comment>
    <comment ref="J1127" authorId="1" shapeId="0">
      <text>
        <r>
          <rPr>
            <b/>
            <sz val="9"/>
            <color indexed="81"/>
            <rFont val="Tahoma"/>
            <family val="2"/>
          </rPr>
          <t>If this highlights as an error, consider upsizing the Tether size for better ribbon utilization</t>
        </r>
      </text>
    </comment>
    <comment ref="J1128" authorId="1" shapeId="0">
      <text>
        <r>
          <rPr>
            <b/>
            <sz val="9"/>
            <color indexed="81"/>
            <rFont val="Tahoma"/>
            <family val="2"/>
          </rPr>
          <t>If this highlights as an error, consider upsizing the Tether size for better ribbon utilization</t>
        </r>
      </text>
    </comment>
    <comment ref="J1129" authorId="1" shapeId="0">
      <text>
        <r>
          <rPr>
            <b/>
            <sz val="9"/>
            <color indexed="81"/>
            <rFont val="Tahoma"/>
            <family val="2"/>
          </rPr>
          <t>If this highlights as an error, consider upsizing the Tether size for better ribbon utilization</t>
        </r>
      </text>
    </comment>
    <comment ref="J1130" authorId="1" shapeId="0">
      <text>
        <r>
          <rPr>
            <b/>
            <sz val="9"/>
            <color indexed="81"/>
            <rFont val="Tahoma"/>
            <family val="2"/>
          </rPr>
          <t>If this highlights as an error, consider upsizing the Tether size for better ribbon utilization</t>
        </r>
      </text>
    </comment>
    <comment ref="J1131" authorId="1" shapeId="0">
      <text>
        <r>
          <rPr>
            <b/>
            <sz val="9"/>
            <color indexed="81"/>
            <rFont val="Tahoma"/>
            <family val="2"/>
          </rPr>
          <t>If this highlights as an error, consider upsizing the Tether size for better ribbon utilization</t>
        </r>
      </text>
    </comment>
    <comment ref="J1132" authorId="1" shapeId="0">
      <text>
        <r>
          <rPr>
            <b/>
            <sz val="9"/>
            <color indexed="81"/>
            <rFont val="Tahoma"/>
            <family val="2"/>
          </rPr>
          <t>If this highlights as an error, consider upsizing the Tether size for better ribbon utilization</t>
        </r>
      </text>
    </comment>
    <comment ref="J1133" authorId="1" shapeId="0">
      <text>
        <r>
          <rPr>
            <b/>
            <sz val="9"/>
            <color indexed="81"/>
            <rFont val="Tahoma"/>
            <family val="2"/>
          </rPr>
          <t>If this highlights as an error, consider upsizing the Tether size for better ribbon utilization</t>
        </r>
      </text>
    </comment>
    <comment ref="J1134" authorId="1" shapeId="0">
      <text>
        <r>
          <rPr>
            <b/>
            <sz val="9"/>
            <color indexed="81"/>
            <rFont val="Tahoma"/>
            <family val="2"/>
          </rPr>
          <t>If this highlights as an error, consider upsizing the Tether size for better ribbon utilization</t>
        </r>
      </text>
    </comment>
    <comment ref="J1135" authorId="1" shapeId="0">
      <text>
        <r>
          <rPr>
            <b/>
            <sz val="9"/>
            <color indexed="81"/>
            <rFont val="Tahoma"/>
            <family val="2"/>
          </rPr>
          <t>If this highlights as an error, consider upsizing the Tether size for better ribbon utilization</t>
        </r>
      </text>
    </comment>
    <comment ref="J1136" authorId="1" shapeId="0">
      <text>
        <r>
          <rPr>
            <b/>
            <sz val="9"/>
            <color indexed="81"/>
            <rFont val="Tahoma"/>
            <family val="2"/>
          </rPr>
          <t>If this highlights as an error, consider upsizing the Tether size for better ribbon utilization</t>
        </r>
      </text>
    </comment>
    <comment ref="J1137" authorId="1" shapeId="0">
      <text>
        <r>
          <rPr>
            <b/>
            <sz val="9"/>
            <color indexed="81"/>
            <rFont val="Tahoma"/>
            <family val="2"/>
          </rPr>
          <t>If this highlights as an error, consider upsizing the Tether size for better ribbon utilization</t>
        </r>
      </text>
    </comment>
    <comment ref="J1138" authorId="1" shapeId="0">
      <text>
        <r>
          <rPr>
            <b/>
            <sz val="9"/>
            <color indexed="81"/>
            <rFont val="Tahoma"/>
            <family val="2"/>
          </rPr>
          <t>If this highlights as an error, consider upsizing the Tether size for better ribbon utilization</t>
        </r>
      </text>
    </comment>
    <comment ref="J1139" authorId="1" shapeId="0">
      <text>
        <r>
          <rPr>
            <b/>
            <sz val="9"/>
            <color indexed="81"/>
            <rFont val="Tahoma"/>
            <family val="2"/>
          </rPr>
          <t>If this highlights as an error, consider upsizing the Tether size for better ribbon utilization</t>
        </r>
      </text>
    </comment>
    <comment ref="J1140" authorId="1" shapeId="0">
      <text>
        <r>
          <rPr>
            <b/>
            <sz val="9"/>
            <color indexed="81"/>
            <rFont val="Tahoma"/>
            <family val="2"/>
          </rPr>
          <t>If this highlights as an error, consider upsizing the Tether size for better ribbon utilization</t>
        </r>
      </text>
    </comment>
    <comment ref="J1141" authorId="1" shapeId="0">
      <text>
        <r>
          <rPr>
            <b/>
            <sz val="9"/>
            <color indexed="81"/>
            <rFont val="Tahoma"/>
            <family val="2"/>
          </rPr>
          <t>If this highlights as an error, consider upsizing the Tether size for better ribbon utilization</t>
        </r>
      </text>
    </comment>
    <comment ref="C1142" authorId="1" shapeId="0">
      <text>
        <r>
          <rPr>
            <b/>
            <sz val="9"/>
            <color indexed="81"/>
            <rFont val="Tahoma"/>
            <family val="2"/>
          </rPr>
          <t>DBL REV requires TWO rows!
TPL REV requires THREE rows!
QD REV requires FOUR rows!</t>
        </r>
      </text>
    </comment>
    <comment ref="J1142" authorId="1" shapeId="0">
      <text>
        <r>
          <rPr>
            <b/>
            <sz val="9"/>
            <color indexed="81"/>
            <rFont val="Tahoma"/>
            <family val="2"/>
          </rPr>
          <t>If this highlights as an error, consider upsizing the Tether size for better ribbon utilization</t>
        </r>
      </text>
    </comment>
    <comment ref="C1143" authorId="1" shapeId="0">
      <text>
        <r>
          <rPr>
            <b/>
            <sz val="9"/>
            <color indexed="81"/>
            <rFont val="Tahoma"/>
            <family val="2"/>
          </rPr>
          <t>DBL REV requires TWO rows!
TPL REV requires THREE rows!
QD REV requires FOUR rows!</t>
        </r>
      </text>
    </comment>
    <comment ref="J1143" authorId="1" shapeId="0">
      <text>
        <r>
          <rPr>
            <b/>
            <sz val="9"/>
            <color indexed="81"/>
            <rFont val="Tahoma"/>
            <family val="2"/>
          </rPr>
          <t>If this highlights as an error, consider upsizing the Tether size for better ribbon utilization</t>
        </r>
      </text>
    </comment>
    <comment ref="C1144" authorId="1" shapeId="0">
      <text>
        <r>
          <rPr>
            <b/>
            <sz val="9"/>
            <color indexed="81"/>
            <rFont val="Tahoma"/>
            <family val="2"/>
          </rPr>
          <t>DBL REV requires TWO rows!
TPL REV requires THREE rows!
QD REV requires FOUR rows!</t>
        </r>
      </text>
    </comment>
    <comment ref="J1144" authorId="1" shapeId="0">
      <text>
        <r>
          <rPr>
            <b/>
            <sz val="9"/>
            <color indexed="81"/>
            <rFont val="Tahoma"/>
            <family val="2"/>
          </rPr>
          <t>If this highlights as an error, consider upsizing the Tether size for better ribbon utilization</t>
        </r>
      </text>
    </comment>
    <comment ref="C1145" authorId="1" shapeId="0">
      <text>
        <r>
          <rPr>
            <b/>
            <sz val="9"/>
            <color indexed="81"/>
            <rFont val="Tahoma"/>
            <family val="2"/>
          </rPr>
          <t>DBL REV requires TWO rows!
TPL REV requires THREE rows!
QD REV requires FOUR rows!</t>
        </r>
      </text>
    </comment>
    <comment ref="J1145" authorId="1" shapeId="0">
      <text>
        <r>
          <rPr>
            <b/>
            <sz val="9"/>
            <color indexed="81"/>
            <rFont val="Tahoma"/>
            <family val="2"/>
          </rPr>
          <t>If this highlights as an error, consider upsizing the Tether size for better ribbon utilization</t>
        </r>
      </text>
    </comment>
    <comment ref="C1146" authorId="1" shapeId="0">
      <text>
        <r>
          <rPr>
            <b/>
            <sz val="9"/>
            <color indexed="81"/>
            <rFont val="Tahoma"/>
            <family val="2"/>
          </rPr>
          <t>DBL REV requires TWO rows!
TPL REV requires THREE rows!
QD REV requires FOUR rows!</t>
        </r>
      </text>
    </comment>
    <comment ref="J1146" authorId="1" shapeId="0">
      <text>
        <r>
          <rPr>
            <b/>
            <sz val="9"/>
            <color indexed="81"/>
            <rFont val="Tahoma"/>
            <family val="2"/>
          </rPr>
          <t>If this highlights as an error, consider upsizing the Tether size for better ribbon utilization</t>
        </r>
      </text>
    </comment>
    <comment ref="C1147" authorId="1" shapeId="0">
      <text>
        <r>
          <rPr>
            <b/>
            <sz val="9"/>
            <color indexed="81"/>
            <rFont val="Tahoma"/>
            <family val="2"/>
          </rPr>
          <t>DBL REV requires TWO rows!
TPL REV requires THREE rows!
QD REV requires FOUR rows!</t>
        </r>
      </text>
    </comment>
    <comment ref="J1147" authorId="1" shapeId="0">
      <text>
        <r>
          <rPr>
            <b/>
            <sz val="9"/>
            <color indexed="81"/>
            <rFont val="Tahoma"/>
            <family val="2"/>
          </rPr>
          <t>If this highlights as an error, consider upsizing the Tether size for better ribbon utilization</t>
        </r>
      </text>
    </comment>
    <comment ref="C1148" authorId="1" shapeId="0">
      <text>
        <r>
          <rPr>
            <b/>
            <sz val="9"/>
            <color indexed="81"/>
            <rFont val="Tahoma"/>
            <family val="2"/>
          </rPr>
          <t>DBL REV requires TWO rows!
TPL REV requires THREE rows!
QD REV requires FOUR rows!</t>
        </r>
      </text>
    </comment>
    <comment ref="J1148" authorId="1" shapeId="0">
      <text>
        <r>
          <rPr>
            <b/>
            <sz val="9"/>
            <color indexed="81"/>
            <rFont val="Tahoma"/>
            <family val="2"/>
          </rPr>
          <t>If this highlights as an error, consider upsizing the Tether size for better ribbon utilization</t>
        </r>
      </text>
    </comment>
    <comment ref="B115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text>
        <r>
          <rPr>
            <b/>
            <sz val="8"/>
            <color indexed="81"/>
            <rFont val="Tahoma"/>
            <family val="2"/>
          </rPr>
          <t>This will be added to Planning Load Block A for TOTAL</t>
        </r>
        <r>
          <rPr>
            <sz val="8"/>
            <color indexed="81"/>
            <rFont val="Tahoma"/>
            <family val="2"/>
          </rPr>
          <t xml:space="preserve">
</t>
        </r>
      </text>
    </comment>
    <comment ref="J1154" authorId="0" shapeId="0">
      <text>
        <r>
          <rPr>
            <b/>
            <sz val="8"/>
            <color indexed="81"/>
            <rFont val="Tahoma"/>
            <family val="2"/>
          </rPr>
          <t>This is the PON OUT count that is not assigned in this cable reel.</t>
        </r>
        <r>
          <rPr>
            <sz val="8"/>
            <color indexed="81"/>
            <rFont val="Tahoma"/>
            <family val="2"/>
          </rPr>
          <t xml:space="preserve">
</t>
        </r>
      </text>
    </comment>
    <comment ref="P1154" authorId="1" shapeId="0">
      <text>
        <r>
          <rPr>
            <b/>
            <sz val="9"/>
            <color indexed="81"/>
            <rFont val="Tahoma"/>
            <family val="2"/>
          </rPr>
          <t>REMEMBER: 2-Fbr Tethers are NOT available for RPX CABLE!</t>
        </r>
      </text>
    </comment>
    <comment ref="Q1154" authorId="1" shapeId="0">
      <text>
        <r>
          <rPr>
            <b/>
            <sz val="9"/>
            <color indexed="81"/>
            <rFont val="Tahoma"/>
            <family val="2"/>
          </rPr>
          <t>REMEMBER: 2-Fbr Tethers are NOT available for RPX CABLE!</t>
        </r>
      </text>
    </comment>
    <comment ref="S1154" authorId="1" shapeId="0">
      <text>
        <r>
          <rPr>
            <b/>
            <sz val="9"/>
            <color indexed="81"/>
            <rFont val="Tahoma"/>
            <family val="2"/>
          </rPr>
          <t>REMEMBER: 2-Fbr Tethers are NOT available for RPX CABLE!</t>
        </r>
      </text>
    </comment>
    <comment ref="T1154" authorId="1" shapeId="0">
      <text>
        <r>
          <rPr>
            <b/>
            <sz val="9"/>
            <color indexed="81"/>
            <rFont val="Tahoma"/>
            <family val="2"/>
          </rPr>
          <t>REMEMBER: 2-Fbr Tethers are NOT available for RPX CABLE!</t>
        </r>
      </text>
    </comment>
    <comment ref="B115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text>
        <r>
          <rPr>
            <b/>
            <sz val="8"/>
            <color indexed="81"/>
            <rFont val="Tahoma"/>
            <family val="2"/>
          </rPr>
          <t>Make sure you add this number to "TAT FIBERS ASSIGNED" for the total required in the Load Block on the prints.</t>
        </r>
      </text>
    </comment>
    <comment ref="G1155" authorId="0" shapeId="0">
      <text>
        <r>
          <rPr>
            <b/>
            <sz val="8"/>
            <color indexed="81"/>
            <rFont val="Tahoma"/>
            <family val="2"/>
          </rPr>
          <t>Includes "DEAD" Count (No PON count assigned)</t>
        </r>
      </text>
    </comment>
    <comment ref="I115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text>
        <r>
          <rPr>
            <b/>
            <sz val="9"/>
            <color indexed="81"/>
            <rFont val="Tahoma"/>
            <family val="2"/>
          </rPr>
          <t>REMEMBER: 6-Fbr Tethers are NOT available for RPX CABLE!</t>
        </r>
      </text>
    </comment>
    <comment ref="Q1156" authorId="1" shapeId="0">
      <text>
        <r>
          <rPr>
            <b/>
            <sz val="9"/>
            <color indexed="81"/>
            <rFont val="Tahoma"/>
            <family val="2"/>
          </rPr>
          <t>REMEMBER: 6-Fbr Tethers are NOT available for RPX CABLE!</t>
        </r>
      </text>
    </comment>
    <comment ref="S1156" authorId="1" shapeId="0">
      <text>
        <r>
          <rPr>
            <b/>
            <sz val="9"/>
            <color indexed="81"/>
            <rFont val="Tahoma"/>
            <family val="2"/>
          </rPr>
          <t>REMEMBER: 6-Fbr Tethers are NOT available for RPX CABLE!</t>
        </r>
      </text>
    </comment>
    <comment ref="T1156" authorId="1" shapeId="0">
      <text>
        <r>
          <rPr>
            <b/>
            <sz val="9"/>
            <color indexed="81"/>
            <rFont val="Tahoma"/>
            <family val="2"/>
          </rPr>
          <t>REMEMBER: 6-Fbr Tethers are NOT available for AERIAL CABLE!</t>
        </r>
      </text>
    </comment>
    <comment ref="B115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text>
        <r>
          <rPr>
            <b/>
            <sz val="8"/>
            <color indexed="81"/>
            <rFont val="Tahoma"/>
            <family val="2"/>
          </rPr>
          <t>These are "manufacturing rules" and general warnings</t>
        </r>
        <r>
          <rPr>
            <sz val="8"/>
            <color indexed="81"/>
            <rFont val="Tahoma"/>
            <family val="2"/>
          </rPr>
          <t xml:space="preserve">
</t>
        </r>
      </text>
    </comment>
    <comment ref="B116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text>
        <r>
          <rPr>
            <b/>
            <sz val="8"/>
            <color indexed="81"/>
            <rFont val="Tahoma"/>
            <family val="2"/>
          </rPr>
          <t>This number is a sum of TOTAL PLANNED plus the ASSIGNED TO TETHERS</t>
        </r>
        <r>
          <rPr>
            <sz val="8"/>
            <color indexed="81"/>
            <rFont val="Tahoma"/>
            <family val="2"/>
          </rPr>
          <t xml:space="preserve">
</t>
        </r>
      </text>
    </comment>
    <comment ref="Z1162" authorId="0" shapeId="0">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text>
        <r>
          <rPr>
            <b/>
            <sz val="8"/>
            <color indexed="81"/>
            <rFont val="Tahoma"/>
            <family val="2"/>
          </rPr>
          <t>Counting from High count Backwards- this is Fiber Strand 133</t>
        </r>
      </text>
    </comment>
    <comment ref="AB1162" authorId="0" shapeId="0">
      <text>
        <r>
          <rPr>
            <b/>
            <sz val="8"/>
            <color indexed="81"/>
            <rFont val="Tahoma"/>
            <family val="2"/>
          </rPr>
          <t>Counting from High count Backwards- this is Fiber Strand 144</t>
        </r>
        <r>
          <rPr>
            <sz val="8"/>
            <color indexed="81"/>
            <rFont val="Tahoma"/>
            <family val="2"/>
          </rPr>
          <t xml:space="preserve">
</t>
        </r>
      </text>
    </comment>
    <comment ref="C1163" authorId="0" shapeId="0">
      <text>
        <r>
          <rPr>
            <b/>
            <sz val="8"/>
            <color indexed="81"/>
            <rFont val="Tahoma"/>
            <family val="2"/>
          </rPr>
          <t xml:space="preserve">Select if this tether will be used to feed a CFST or a lateral cable. </t>
        </r>
      </text>
    </comment>
    <comment ref="D1163" authorId="0" shapeId="0">
      <text>
        <r>
          <rPr>
            <b/>
            <sz val="8"/>
            <color indexed="81"/>
            <rFont val="Tahoma"/>
            <family val="2"/>
          </rPr>
          <t>Note the Terminal Address to keep your locations straight</t>
        </r>
        <r>
          <rPr>
            <sz val="8"/>
            <color indexed="81"/>
            <rFont val="Tahoma"/>
            <family val="2"/>
          </rPr>
          <t xml:space="preserve">
</t>
        </r>
      </text>
    </comment>
    <comment ref="E1163" authorId="0" shapeId="0">
      <text>
        <r>
          <rPr>
            <b/>
            <sz val="9"/>
            <color indexed="81"/>
            <rFont val="Calibri"/>
            <family val="2"/>
            <scheme val="minor"/>
          </rPr>
          <t>Pick the Tether Size for the location</t>
        </r>
        <r>
          <rPr>
            <sz val="8"/>
            <color indexed="81"/>
            <rFont val="Tahoma"/>
            <family val="2"/>
          </rPr>
          <t xml:space="preserve">
</t>
        </r>
      </text>
    </comment>
    <comment ref="F1163" authorId="2" shapeId="0">
      <text>
        <r>
          <rPr>
            <b/>
            <sz val="9"/>
            <color indexed="81"/>
            <rFont val="Tahoma"/>
            <family val="2"/>
          </rPr>
          <t>Identify TCF or FST location.
Leave blank if tether is NOT for a TCF or FST!</t>
        </r>
      </text>
    </comment>
    <comment ref="H1163" authorId="0" shapeId="0">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text>
        <r>
          <rPr>
            <b/>
            <sz val="8"/>
            <color indexed="81"/>
            <rFont val="Tahoma"/>
            <family val="2"/>
          </rPr>
          <t>If any of these numbers are negative, check your PON count and Cable size</t>
        </r>
      </text>
    </comment>
    <comment ref="J116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text>
        <r>
          <rPr>
            <b/>
            <sz val="9"/>
            <color indexed="81"/>
            <rFont val="Tahoma"/>
            <family val="2"/>
          </rPr>
          <t>Leave blank if using 10' Terminal Tail
Enter Tail length if greater than 10'</t>
        </r>
      </text>
    </comment>
    <comment ref="M1163" authorId="0" shapeId="0">
      <text>
        <r>
          <rPr>
            <b/>
            <sz val="8"/>
            <color indexed="81"/>
            <rFont val="Tahoma"/>
            <family val="2"/>
          </rPr>
          <t>Make design notes such as slack coils, realingment loops,  or location notes</t>
        </r>
      </text>
    </comment>
    <comment ref="Z1163" authorId="0" shapeId="0">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text>
        <r>
          <rPr>
            <b/>
            <sz val="8"/>
            <color indexed="81"/>
            <rFont val="Tahoma"/>
            <family val="2"/>
          </rPr>
          <t xml:space="preserve">Counting from High count Backwards- this is Fiber Strand 145
</t>
        </r>
      </text>
    </comment>
    <comment ref="AB1163" authorId="0" shapeId="0">
      <text>
        <r>
          <rPr>
            <b/>
            <sz val="8"/>
            <color indexed="81"/>
            <rFont val="Tahoma"/>
            <family val="2"/>
          </rPr>
          <t>Counting from High count Backwards- this is Fiber Strand 156</t>
        </r>
      </text>
    </comment>
    <comment ref="J1165" authorId="1" shapeId="0">
      <text>
        <r>
          <rPr>
            <b/>
            <sz val="9"/>
            <color indexed="81"/>
            <rFont val="Tahoma"/>
            <family val="2"/>
          </rPr>
          <t>If this highlights as an error, consider upsizing the Tether size for better ribbon utilization</t>
        </r>
      </text>
    </comment>
    <comment ref="J1166" authorId="1" shapeId="0">
      <text>
        <r>
          <rPr>
            <b/>
            <sz val="9"/>
            <color indexed="81"/>
            <rFont val="Tahoma"/>
            <family val="2"/>
          </rPr>
          <t>If this highlights as an error, consider upsizing the Tether size for better ribbon utilization</t>
        </r>
      </text>
    </comment>
    <comment ref="J1167" authorId="1" shapeId="0">
      <text>
        <r>
          <rPr>
            <b/>
            <sz val="9"/>
            <color indexed="81"/>
            <rFont val="Tahoma"/>
            <family val="2"/>
          </rPr>
          <t>If this highlights as an error, consider upsizing the Tether size for better ribbon utilization</t>
        </r>
      </text>
    </comment>
    <comment ref="J1168" authorId="1" shapeId="0">
      <text>
        <r>
          <rPr>
            <b/>
            <sz val="9"/>
            <color indexed="81"/>
            <rFont val="Tahoma"/>
            <family val="2"/>
          </rPr>
          <t>If this highlights as an error, consider upsizing the Tether size for better ribbon utilization</t>
        </r>
      </text>
    </comment>
    <comment ref="J1169" authorId="1" shapeId="0">
      <text>
        <r>
          <rPr>
            <b/>
            <sz val="9"/>
            <color indexed="81"/>
            <rFont val="Tahoma"/>
            <family val="2"/>
          </rPr>
          <t>If this highlights as an error, consider upsizing the Tether size for better ribbon utilization</t>
        </r>
      </text>
    </comment>
    <comment ref="J1170" authorId="1" shapeId="0">
      <text>
        <r>
          <rPr>
            <b/>
            <sz val="9"/>
            <color indexed="81"/>
            <rFont val="Tahoma"/>
            <family val="2"/>
          </rPr>
          <t>If this highlights as an error, consider upsizing the Tether size for better ribbon utilization</t>
        </r>
      </text>
    </comment>
    <comment ref="J1171" authorId="1" shapeId="0">
      <text>
        <r>
          <rPr>
            <b/>
            <sz val="9"/>
            <color indexed="81"/>
            <rFont val="Tahoma"/>
            <family val="2"/>
          </rPr>
          <t>If this highlights as an error, consider upsizing the Tether size for better ribbon utilization</t>
        </r>
      </text>
    </comment>
    <comment ref="J1172" authorId="1" shapeId="0">
      <text>
        <r>
          <rPr>
            <b/>
            <sz val="9"/>
            <color indexed="81"/>
            <rFont val="Tahoma"/>
            <family val="2"/>
          </rPr>
          <t>If this highlights as an error, consider upsizing the Tether size for better ribbon utilization</t>
        </r>
      </text>
    </comment>
    <comment ref="J1173" authorId="1" shapeId="0">
      <text>
        <r>
          <rPr>
            <b/>
            <sz val="9"/>
            <color indexed="81"/>
            <rFont val="Tahoma"/>
            <family val="2"/>
          </rPr>
          <t>If this highlights as an error, consider upsizing the Tether size for better ribbon utilization</t>
        </r>
      </text>
    </comment>
    <comment ref="J1174" authorId="1" shapeId="0">
      <text>
        <r>
          <rPr>
            <b/>
            <sz val="9"/>
            <color indexed="81"/>
            <rFont val="Tahoma"/>
            <family val="2"/>
          </rPr>
          <t>If this highlights as an error, consider upsizing the Tether size for better ribbon utilization</t>
        </r>
      </text>
    </comment>
    <comment ref="J1175" authorId="1" shapeId="0">
      <text>
        <r>
          <rPr>
            <b/>
            <sz val="9"/>
            <color indexed="81"/>
            <rFont val="Tahoma"/>
            <family val="2"/>
          </rPr>
          <t>If this highlights as an error, consider upsizing the Tether size for better ribbon utilization</t>
        </r>
      </text>
    </comment>
    <comment ref="J1176" authorId="1" shapeId="0">
      <text>
        <r>
          <rPr>
            <b/>
            <sz val="9"/>
            <color indexed="81"/>
            <rFont val="Tahoma"/>
            <family val="2"/>
          </rPr>
          <t>If this highlights as an error, consider upsizing the Tether size for better ribbon utilization</t>
        </r>
      </text>
    </comment>
    <comment ref="J1177" authorId="1" shapeId="0">
      <text>
        <r>
          <rPr>
            <b/>
            <sz val="9"/>
            <color indexed="81"/>
            <rFont val="Tahoma"/>
            <family val="2"/>
          </rPr>
          <t>If this highlights as an error, consider upsizing the Tether size for better ribbon utilization</t>
        </r>
      </text>
    </comment>
    <comment ref="J1178" authorId="1" shapeId="0">
      <text>
        <r>
          <rPr>
            <b/>
            <sz val="9"/>
            <color indexed="81"/>
            <rFont val="Tahoma"/>
            <family val="2"/>
          </rPr>
          <t>If this highlights as an error, consider upsizing the Tether size for better ribbon utilization</t>
        </r>
      </text>
    </comment>
    <comment ref="J1179" authorId="1" shapeId="0">
      <text>
        <r>
          <rPr>
            <b/>
            <sz val="9"/>
            <color indexed="81"/>
            <rFont val="Tahoma"/>
            <family val="2"/>
          </rPr>
          <t>If this highlights as an error, consider upsizing the Tether size for better ribbon utilization</t>
        </r>
      </text>
    </comment>
    <comment ref="J1180" authorId="1" shapeId="0">
      <text>
        <r>
          <rPr>
            <b/>
            <sz val="9"/>
            <color indexed="81"/>
            <rFont val="Tahoma"/>
            <family val="2"/>
          </rPr>
          <t>If this highlights as an error, consider upsizing the Tether size for better ribbon utilization</t>
        </r>
      </text>
    </comment>
    <comment ref="J1181" authorId="1" shapeId="0">
      <text>
        <r>
          <rPr>
            <b/>
            <sz val="9"/>
            <color indexed="81"/>
            <rFont val="Tahoma"/>
            <family val="2"/>
          </rPr>
          <t>If this highlights as an error, consider upsizing the Tether size for better ribbon utilization</t>
        </r>
      </text>
    </comment>
    <comment ref="J1182" authorId="1" shapeId="0">
      <text>
        <r>
          <rPr>
            <b/>
            <sz val="9"/>
            <color indexed="81"/>
            <rFont val="Tahoma"/>
            <family val="2"/>
          </rPr>
          <t>If this highlights as an error, consider upsizing the Tether size for better ribbon utilization</t>
        </r>
      </text>
    </comment>
    <comment ref="C1183" authorId="1" shapeId="0">
      <text>
        <r>
          <rPr>
            <b/>
            <sz val="9"/>
            <color indexed="81"/>
            <rFont val="Tahoma"/>
            <family val="2"/>
          </rPr>
          <t>DBL REV requires TWO rows!
TPL REV requires THREE rows!
QD REV requires FOUR rows!</t>
        </r>
      </text>
    </comment>
    <comment ref="J1183" authorId="1" shapeId="0">
      <text>
        <r>
          <rPr>
            <b/>
            <sz val="9"/>
            <color indexed="81"/>
            <rFont val="Tahoma"/>
            <family val="2"/>
          </rPr>
          <t>If this highlights as an error, consider upsizing the Tether size for better ribbon utilization</t>
        </r>
      </text>
    </comment>
    <comment ref="C1184" authorId="1" shapeId="0">
      <text>
        <r>
          <rPr>
            <b/>
            <sz val="9"/>
            <color indexed="81"/>
            <rFont val="Tahoma"/>
            <family val="2"/>
          </rPr>
          <t>DBL REV requires TWO rows!
TPL REV requires THREE rows!
QD REV requires FOUR rows!</t>
        </r>
      </text>
    </comment>
    <comment ref="J1184" authorId="1" shapeId="0">
      <text>
        <r>
          <rPr>
            <b/>
            <sz val="9"/>
            <color indexed="81"/>
            <rFont val="Tahoma"/>
            <family val="2"/>
          </rPr>
          <t>If this highlights as an error, consider upsizing the Tether size for better ribbon utilization</t>
        </r>
      </text>
    </comment>
    <comment ref="C1185" authorId="1" shapeId="0">
      <text>
        <r>
          <rPr>
            <b/>
            <sz val="9"/>
            <color indexed="81"/>
            <rFont val="Tahoma"/>
            <family val="2"/>
          </rPr>
          <t>DBL REV requires TWO rows!
TPL REV requires THREE rows!
QD REV requires FOUR rows!</t>
        </r>
      </text>
    </comment>
    <comment ref="J1185" authorId="1" shapeId="0">
      <text>
        <r>
          <rPr>
            <b/>
            <sz val="9"/>
            <color indexed="81"/>
            <rFont val="Tahoma"/>
            <family val="2"/>
          </rPr>
          <t>If this highlights as an error, consider upsizing the Tether size for better ribbon utilization</t>
        </r>
      </text>
    </comment>
    <comment ref="C1186" authorId="1" shapeId="0">
      <text>
        <r>
          <rPr>
            <b/>
            <sz val="9"/>
            <color indexed="81"/>
            <rFont val="Tahoma"/>
            <family val="2"/>
          </rPr>
          <t>DBL REV requires TWO rows!
TPL REV requires THREE rows!
QD REV requires FOUR rows!</t>
        </r>
      </text>
    </comment>
    <comment ref="J1186" authorId="1" shapeId="0">
      <text>
        <r>
          <rPr>
            <b/>
            <sz val="9"/>
            <color indexed="81"/>
            <rFont val="Tahoma"/>
            <family val="2"/>
          </rPr>
          <t>If this highlights as an error, consider upsizing the Tether size for better ribbon utilization</t>
        </r>
      </text>
    </comment>
    <comment ref="C1187" authorId="1" shapeId="0">
      <text>
        <r>
          <rPr>
            <b/>
            <sz val="9"/>
            <color indexed="81"/>
            <rFont val="Tahoma"/>
            <family val="2"/>
          </rPr>
          <t>DBL REV requires TWO rows!
TPL REV requires THREE rows!
QD REV requires FOUR rows!</t>
        </r>
      </text>
    </comment>
    <comment ref="J1187" authorId="1" shapeId="0">
      <text>
        <r>
          <rPr>
            <b/>
            <sz val="9"/>
            <color indexed="81"/>
            <rFont val="Tahoma"/>
            <family val="2"/>
          </rPr>
          <t>If this highlights as an error, consider upsizing the Tether size for better ribbon utilization</t>
        </r>
      </text>
    </comment>
    <comment ref="C1188" authorId="1" shapeId="0">
      <text>
        <r>
          <rPr>
            <b/>
            <sz val="9"/>
            <color indexed="81"/>
            <rFont val="Tahoma"/>
            <family val="2"/>
          </rPr>
          <t>DBL REV requires TWO rows!
TPL REV requires THREE rows!
QD REV requires FOUR rows!</t>
        </r>
      </text>
    </comment>
    <comment ref="J1188" authorId="1" shapeId="0">
      <text>
        <r>
          <rPr>
            <b/>
            <sz val="9"/>
            <color indexed="81"/>
            <rFont val="Tahoma"/>
            <family val="2"/>
          </rPr>
          <t>If this highlights as an error, consider upsizing the Tether size for better ribbon utilization</t>
        </r>
      </text>
    </comment>
    <comment ref="C1189" authorId="1" shapeId="0">
      <text>
        <r>
          <rPr>
            <b/>
            <sz val="9"/>
            <color indexed="81"/>
            <rFont val="Tahoma"/>
            <family val="2"/>
          </rPr>
          <t>DBL REV requires TWO rows!
TPL REV requires THREE rows!
QD REV requires FOUR rows!</t>
        </r>
      </text>
    </comment>
    <comment ref="J1189" authorId="1" shapeId="0">
      <text>
        <r>
          <rPr>
            <b/>
            <sz val="9"/>
            <color indexed="81"/>
            <rFont val="Tahoma"/>
            <family val="2"/>
          </rPr>
          <t>If this highlights as an error, consider upsizing the Tether size for better ribbon utilization</t>
        </r>
      </text>
    </comment>
    <comment ref="B119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text>
        <r>
          <rPr>
            <b/>
            <sz val="8"/>
            <color indexed="81"/>
            <rFont val="Tahoma"/>
            <family val="2"/>
          </rPr>
          <t>This will be added to Planning Load Block A for TOTAL</t>
        </r>
        <r>
          <rPr>
            <sz val="8"/>
            <color indexed="81"/>
            <rFont val="Tahoma"/>
            <family val="2"/>
          </rPr>
          <t xml:space="preserve">
</t>
        </r>
      </text>
    </comment>
    <comment ref="J1195" authorId="0" shapeId="0">
      <text>
        <r>
          <rPr>
            <b/>
            <sz val="8"/>
            <color indexed="81"/>
            <rFont val="Tahoma"/>
            <family val="2"/>
          </rPr>
          <t>This is the PON OUT count that is not assigned in this cable reel.</t>
        </r>
        <r>
          <rPr>
            <sz val="8"/>
            <color indexed="81"/>
            <rFont val="Tahoma"/>
            <family val="2"/>
          </rPr>
          <t xml:space="preserve">
</t>
        </r>
      </text>
    </comment>
    <comment ref="P1195" authorId="1" shapeId="0">
      <text>
        <r>
          <rPr>
            <b/>
            <sz val="9"/>
            <color indexed="81"/>
            <rFont val="Tahoma"/>
            <family val="2"/>
          </rPr>
          <t>REMEMBER: 2-Fbr Tethers are NOT available for RPX CABLE!</t>
        </r>
      </text>
    </comment>
    <comment ref="Q1195" authorId="1" shapeId="0">
      <text>
        <r>
          <rPr>
            <b/>
            <sz val="9"/>
            <color indexed="81"/>
            <rFont val="Tahoma"/>
            <family val="2"/>
          </rPr>
          <t>REMEMBER: 2-Fbr Tethers are NOT available for RPX CABLE!</t>
        </r>
      </text>
    </comment>
    <comment ref="S1195" authorId="1" shapeId="0">
      <text>
        <r>
          <rPr>
            <b/>
            <sz val="9"/>
            <color indexed="81"/>
            <rFont val="Tahoma"/>
            <family val="2"/>
          </rPr>
          <t>REMEMBER: 2-Fbr Tethers are NOT available for RPX CABLE!</t>
        </r>
      </text>
    </comment>
    <comment ref="T1195" authorId="1" shapeId="0">
      <text>
        <r>
          <rPr>
            <b/>
            <sz val="9"/>
            <color indexed="81"/>
            <rFont val="Tahoma"/>
            <family val="2"/>
          </rPr>
          <t>REMEMBER: 2-Fbr Tethers are NOT available for RPX CABLE!</t>
        </r>
      </text>
    </comment>
    <comment ref="B119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text>
        <r>
          <rPr>
            <b/>
            <sz val="8"/>
            <color indexed="81"/>
            <rFont val="Tahoma"/>
            <family val="2"/>
          </rPr>
          <t>Make sure you add this number to "TAT FIBERS ASSIGNED" for the total required in the Load Block on the prints.</t>
        </r>
      </text>
    </comment>
    <comment ref="G1196" authorId="0" shapeId="0">
      <text>
        <r>
          <rPr>
            <b/>
            <sz val="8"/>
            <color indexed="81"/>
            <rFont val="Tahoma"/>
            <family val="2"/>
          </rPr>
          <t>Includes "DEAD" Count (No PON count assigned)</t>
        </r>
      </text>
    </comment>
    <comment ref="I119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text>
        <r>
          <rPr>
            <b/>
            <sz val="9"/>
            <color indexed="81"/>
            <rFont val="Tahoma"/>
            <family val="2"/>
          </rPr>
          <t>REMEMBER: 6-Fbr Tethers are NOT available for RPX CABLE!</t>
        </r>
      </text>
    </comment>
    <comment ref="Q1197" authorId="1" shapeId="0">
      <text>
        <r>
          <rPr>
            <b/>
            <sz val="9"/>
            <color indexed="81"/>
            <rFont val="Tahoma"/>
            <family val="2"/>
          </rPr>
          <t>REMEMBER: 6-Fbr Tethers are NOT available for RPX CABLE!</t>
        </r>
      </text>
    </comment>
    <comment ref="S1197" authorId="1" shapeId="0">
      <text>
        <r>
          <rPr>
            <b/>
            <sz val="9"/>
            <color indexed="81"/>
            <rFont val="Tahoma"/>
            <family val="2"/>
          </rPr>
          <t>REMEMBER: 6-Fbr Tethers are NOT available for RPX CABLE!</t>
        </r>
      </text>
    </comment>
    <comment ref="T1197" authorId="1" shapeId="0">
      <text>
        <r>
          <rPr>
            <b/>
            <sz val="9"/>
            <color indexed="81"/>
            <rFont val="Tahoma"/>
            <family val="2"/>
          </rPr>
          <t>REMEMBER: 6-Fbr Tethers are NOT available for AERIAL CABLE!</t>
        </r>
      </text>
    </comment>
    <comment ref="B119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text>
        <r>
          <rPr>
            <b/>
            <sz val="8"/>
            <color indexed="81"/>
            <rFont val="Tahoma"/>
            <family val="2"/>
          </rPr>
          <t>These are "manufacturing rules" and general warnings</t>
        </r>
        <r>
          <rPr>
            <sz val="8"/>
            <color indexed="81"/>
            <rFont val="Tahoma"/>
            <family val="2"/>
          </rPr>
          <t xml:space="preserve">
</t>
        </r>
      </text>
    </comment>
    <comment ref="B120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text>
        <r>
          <rPr>
            <b/>
            <sz val="8"/>
            <color indexed="81"/>
            <rFont val="Tahoma"/>
            <family val="2"/>
          </rPr>
          <t>This number is a sum of TOTAL PLANNED plus the ASSIGNED TO TETHERS</t>
        </r>
        <r>
          <rPr>
            <sz val="8"/>
            <color indexed="81"/>
            <rFont val="Tahoma"/>
            <family val="2"/>
          </rPr>
          <t xml:space="preserve">
</t>
        </r>
      </text>
    </comment>
    <comment ref="Z1203" authorId="0" shapeId="0">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text>
        <r>
          <rPr>
            <b/>
            <sz val="8"/>
            <color indexed="81"/>
            <rFont val="Tahoma"/>
            <family val="2"/>
          </rPr>
          <t>Counting from High count Backwards- this is Fiber Strand 133</t>
        </r>
      </text>
    </comment>
    <comment ref="AB1203" authorId="0" shapeId="0">
      <text>
        <r>
          <rPr>
            <b/>
            <sz val="8"/>
            <color indexed="81"/>
            <rFont val="Tahoma"/>
            <family val="2"/>
          </rPr>
          <t>Counting from High count Backwards- this is Fiber Strand 144</t>
        </r>
        <r>
          <rPr>
            <sz val="8"/>
            <color indexed="81"/>
            <rFont val="Tahoma"/>
            <family val="2"/>
          </rPr>
          <t xml:space="preserve">
</t>
        </r>
      </text>
    </comment>
    <comment ref="C1204" authorId="0" shapeId="0">
      <text>
        <r>
          <rPr>
            <b/>
            <sz val="8"/>
            <color indexed="81"/>
            <rFont val="Tahoma"/>
            <family val="2"/>
          </rPr>
          <t xml:space="preserve">Select if this tether will be used to feed a CFST or a lateral cable. </t>
        </r>
      </text>
    </comment>
    <comment ref="D1204" authorId="0" shapeId="0">
      <text>
        <r>
          <rPr>
            <b/>
            <sz val="8"/>
            <color indexed="81"/>
            <rFont val="Tahoma"/>
            <family val="2"/>
          </rPr>
          <t>Note the Terminal Address to keep your locations straight</t>
        </r>
        <r>
          <rPr>
            <sz val="8"/>
            <color indexed="81"/>
            <rFont val="Tahoma"/>
            <family val="2"/>
          </rPr>
          <t xml:space="preserve">
</t>
        </r>
      </text>
    </comment>
    <comment ref="E1204" authorId="0" shapeId="0">
      <text>
        <r>
          <rPr>
            <b/>
            <sz val="9"/>
            <color indexed="81"/>
            <rFont val="Calibri"/>
            <family val="2"/>
            <scheme val="minor"/>
          </rPr>
          <t>Pick the Tether Size for the location</t>
        </r>
        <r>
          <rPr>
            <sz val="8"/>
            <color indexed="81"/>
            <rFont val="Tahoma"/>
            <family val="2"/>
          </rPr>
          <t xml:space="preserve">
</t>
        </r>
      </text>
    </comment>
    <comment ref="F1204" authorId="2" shapeId="0">
      <text>
        <r>
          <rPr>
            <b/>
            <sz val="9"/>
            <color indexed="81"/>
            <rFont val="Tahoma"/>
            <family val="2"/>
          </rPr>
          <t>Identify TCF or FST location.
Leave blank if tether is NOT for a TCF or FST!</t>
        </r>
      </text>
    </comment>
    <comment ref="H1204" authorId="0" shapeId="0">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text>
        <r>
          <rPr>
            <b/>
            <sz val="8"/>
            <color indexed="81"/>
            <rFont val="Tahoma"/>
            <family val="2"/>
          </rPr>
          <t>If any of these numbers are negative, check your PON count and Cable size</t>
        </r>
      </text>
    </comment>
    <comment ref="J120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text>
        <r>
          <rPr>
            <b/>
            <sz val="9"/>
            <color indexed="81"/>
            <rFont val="Tahoma"/>
            <family val="2"/>
          </rPr>
          <t>Leave blank if using 10' Terminal Tail
Enter Tail length if greater than 10'</t>
        </r>
      </text>
    </comment>
    <comment ref="M1204" authorId="0" shapeId="0">
      <text>
        <r>
          <rPr>
            <b/>
            <sz val="8"/>
            <color indexed="81"/>
            <rFont val="Tahoma"/>
            <family val="2"/>
          </rPr>
          <t>Make design notes such as slack coils, realingment loops,  or location notes</t>
        </r>
      </text>
    </comment>
    <comment ref="Z1204" authorId="0" shapeId="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text>
        <r>
          <rPr>
            <b/>
            <sz val="8"/>
            <color indexed="81"/>
            <rFont val="Tahoma"/>
            <family val="2"/>
          </rPr>
          <t xml:space="preserve">Counting from High count Backwards- this is Fiber Strand 145
</t>
        </r>
      </text>
    </comment>
    <comment ref="AB1204" authorId="0" shapeId="0">
      <text>
        <r>
          <rPr>
            <b/>
            <sz val="8"/>
            <color indexed="81"/>
            <rFont val="Tahoma"/>
            <family val="2"/>
          </rPr>
          <t>Counting from High count Backwards- this is Fiber Strand 156</t>
        </r>
      </text>
    </comment>
    <comment ref="J1206" authorId="1" shapeId="0">
      <text>
        <r>
          <rPr>
            <b/>
            <sz val="9"/>
            <color indexed="81"/>
            <rFont val="Tahoma"/>
            <family val="2"/>
          </rPr>
          <t>If this highlights as an error, consider upsizing the Tether size for better ribbon utilization</t>
        </r>
      </text>
    </comment>
    <comment ref="J1207" authorId="1" shapeId="0">
      <text>
        <r>
          <rPr>
            <b/>
            <sz val="9"/>
            <color indexed="81"/>
            <rFont val="Tahoma"/>
            <family val="2"/>
          </rPr>
          <t>If this highlights as an error, consider upsizing the Tether size for better ribbon utilization</t>
        </r>
      </text>
    </comment>
    <comment ref="J1208" authorId="1" shapeId="0">
      <text>
        <r>
          <rPr>
            <b/>
            <sz val="9"/>
            <color indexed="81"/>
            <rFont val="Tahoma"/>
            <family val="2"/>
          </rPr>
          <t>If this highlights as an error, consider upsizing the Tether size for better ribbon utilization</t>
        </r>
      </text>
    </comment>
    <comment ref="J1209" authorId="1" shapeId="0">
      <text>
        <r>
          <rPr>
            <b/>
            <sz val="9"/>
            <color indexed="81"/>
            <rFont val="Tahoma"/>
            <family val="2"/>
          </rPr>
          <t>If this highlights as an error, consider upsizing the Tether size for better ribbon utilization</t>
        </r>
      </text>
    </comment>
    <comment ref="J1210" authorId="1" shapeId="0">
      <text>
        <r>
          <rPr>
            <b/>
            <sz val="9"/>
            <color indexed="81"/>
            <rFont val="Tahoma"/>
            <family val="2"/>
          </rPr>
          <t>If this highlights as an error, consider upsizing the Tether size for better ribbon utilization</t>
        </r>
      </text>
    </comment>
    <comment ref="J1211" authorId="1" shapeId="0">
      <text>
        <r>
          <rPr>
            <b/>
            <sz val="9"/>
            <color indexed="81"/>
            <rFont val="Tahoma"/>
            <family val="2"/>
          </rPr>
          <t>If this highlights as an error, consider upsizing the Tether size for better ribbon utilization</t>
        </r>
      </text>
    </comment>
    <comment ref="J1212" authorId="1" shapeId="0">
      <text>
        <r>
          <rPr>
            <b/>
            <sz val="9"/>
            <color indexed="81"/>
            <rFont val="Tahoma"/>
            <family val="2"/>
          </rPr>
          <t>If this highlights as an error, consider upsizing the Tether size for better ribbon utilization</t>
        </r>
      </text>
    </comment>
    <comment ref="J1213" authorId="1" shapeId="0">
      <text>
        <r>
          <rPr>
            <b/>
            <sz val="9"/>
            <color indexed="81"/>
            <rFont val="Tahoma"/>
            <family val="2"/>
          </rPr>
          <t>If this highlights as an error, consider upsizing the Tether size for better ribbon utilization</t>
        </r>
      </text>
    </comment>
    <comment ref="J1214" authorId="1" shapeId="0">
      <text>
        <r>
          <rPr>
            <b/>
            <sz val="9"/>
            <color indexed="81"/>
            <rFont val="Tahoma"/>
            <family val="2"/>
          </rPr>
          <t>If this highlights as an error, consider upsizing the Tether size for better ribbon utilization</t>
        </r>
      </text>
    </comment>
    <comment ref="J1215" authorId="1" shapeId="0">
      <text>
        <r>
          <rPr>
            <b/>
            <sz val="9"/>
            <color indexed="81"/>
            <rFont val="Tahoma"/>
            <family val="2"/>
          </rPr>
          <t>If this highlights as an error, consider upsizing the Tether size for better ribbon utilization</t>
        </r>
      </text>
    </comment>
    <comment ref="J1216" authorId="1" shapeId="0">
      <text>
        <r>
          <rPr>
            <b/>
            <sz val="9"/>
            <color indexed="81"/>
            <rFont val="Tahoma"/>
            <family val="2"/>
          </rPr>
          <t>If this highlights as an error, consider upsizing the Tether size for better ribbon utilization</t>
        </r>
      </text>
    </comment>
    <comment ref="J1217" authorId="1" shapeId="0">
      <text>
        <r>
          <rPr>
            <b/>
            <sz val="9"/>
            <color indexed="81"/>
            <rFont val="Tahoma"/>
            <family val="2"/>
          </rPr>
          <t>If this highlights as an error, consider upsizing the Tether size for better ribbon utilization</t>
        </r>
      </text>
    </comment>
    <comment ref="J1218" authorId="1" shapeId="0">
      <text>
        <r>
          <rPr>
            <b/>
            <sz val="9"/>
            <color indexed="81"/>
            <rFont val="Tahoma"/>
            <family val="2"/>
          </rPr>
          <t>If this highlights as an error, consider upsizing the Tether size for better ribbon utilization</t>
        </r>
      </text>
    </comment>
    <comment ref="J1219" authorId="1" shapeId="0">
      <text>
        <r>
          <rPr>
            <b/>
            <sz val="9"/>
            <color indexed="81"/>
            <rFont val="Tahoma"/>
            <family val="2"/>
          </rPr>
          <t>If this highlights as an error, consider upsizing the Tether size for better ribbon utilization</t>
        </r>
      </text>
    </comment>
    <comment ref="J1220" authorId="1" shapeId="0">
      <text>
        <r>
          <rPr>
            <b/>
            <sz val="9"/>
            <color indexed="81"/>
            <rFont val="Tahoma"/>
            <family val="2"/>
          </rPr>
          <t>If this highlights as an error, consider upsizing the Tether size for better ribbon utilization</t>
        </r>
      </text>
    </comment>
    <comment ref="J1221" authorId="1" shapeId="0">
      <text>
        <r>
          <rPr>
            <b/>
            <sz val="9"/>
            <color indexed="81"/>
            <rFont val="Tahoma"/>
            <family val="2"/>
          </rPr>
          <t>If this highlights as an error, consider upsizing the Tether size for better ribbon utilization</t>
        </r>
      </text>
    </comment>
    <comment ref="J1222" authorId="1" shapeId="0">
      <text>
        <r>
          <rPr>
            <b/>
            <sz val="9"/>
            <color indexed="81"/>
            <rFont val="Tahoma"/>
            <family val="2"/>
          </rPr>
          <t>If this highlights as an error, consider upsizing the Tether size for better ribbon utilization</t>
        </r>
      </text>
    </comment>
    <comment ref="J1223" authorId="1" shapeId="0">
      <text>
        <r>
          <rPr>
            <b/>
            <sz val="9"/>
            <color indexed="81"/>
            <rFont val="Tahoma"/>
            <family val="2"/>
          </rPr>
          <t>If this highlights as an error, consider upsizing the Tether size for better ribbon utilization</t>
        </r>
      </text>
    </comment>
    <comment ref="C1224" authorId="1" shapeId="0">
      <text>
        <r>
          <rPr>
            <b/>
            <sz val="9"/>
            <color indexed="81"/>
            <rFont val="Tahoma"/>
            <family val="2"/>
          </rPr>
          <t>DBL REV requires TWO rows!
TPL REV requires THREE rows!
QD REV requires FOUR rows!</t>
        </r>
      </text>
    </comment>
    <comment ref="J1224" authorId="1" shapeId="0">
      <text>
        <r>
          <rPr>
            <b/>
            <sz val="9"/>
            <color indexed="81"/>
            <rFont val="Tahoma"/>
            <family val="2"/>
          </rPr>
          <t>If this highlights as an error, consider upsizing the Tether size for better ribbon utilization</t>
        </r>
      </text>
    </comment>
    <comment ref="C1225" authorId="1" shapeId="0">
      <text>
        <r>
          <rPr>
            <b/>
            <sz val="9"/>
            <color indexed="81"/>
            <rFont val="Tahoma"/>
            <family val="2"/>
          </rPr>
          <t>DBL REV requires TWO rows!
TPL REV requires THREE rows!
QD REV requires FOUR rows!</t>
        </r>
      </text>
    </comment>
    <comment ref="J1225" authorId="1" shapeId="0">
      <text>
        <r>
          <rPr>
            <b/>
            <sz val="9"/>
            <color indexed="81"/>
            <rFont val="Tahoma"/>
            <family val="2"/>
          </rPr>
          <t>If this highlights as an error, consider upsizing the Tether size for better ribbon utilization</t>
        </r>
      </text>
    </comment>
    <comment ref="C1226" authorId="1" shapeId="0">
      <text>
        <r>
          <rPr>
            <b/>
            <sz val="9"/>
            <color indexed="81"/>
            <rFont val="Tahoma"/>
            <family val="2"/>
          </rPr>
          <t>DBL REV requires TWO rows!
TPL REV requires THREE rows!
QD REV requires FOUR rows!</t>
        </r>
      </text>
    </comment>
    <comment ref="J1226" authorId="1" shapeId="0">
      <text>
        <r>
          <rPr>
            <b/>
            <sz val="9"/>
            <color indexed="81"/>
            <rFont val="Tahoma"/>
            <family val="2"/>
          </rPr>
          <t>If this highlights as an error, consider upsizing the Tether size for better ribbon utilization</t>
        </r>
      </text>
    </comment>
    <comment ref="C1227" authorId="1" shapeId="0">
      <text>
        <r>
          <rPr>
            <b/>
            <sz val="9"/>
            <color indexed="81"/>
            <rFont val="Tahoma"/>
            <family val="2"/>
          </rPr>
          <t>DBL REV requires TWO rows!
TPL REV requires THREE rows!
QD REV requires FOUR rows!</t>
        </r>
      </text>
    </comment>
    <comment ref="J1227" authorId="1" shapeId="0">
      <text>
        <r>
          <rPr>
            <b/>
            <sz val="9"/>
            <color indexed="81"/>
            <rFont val="Tahoma"/>
            <family val="2"/>
          </rPr>
          <t>If this highlights as an error, consider upsizing the Tether size for better ribbon utilization</t>
        </r>
      </text>
    </comment>
    <comment ref="C1228" authorId="1" shapeId="0">
      <text>
        <r>
          <rPr>
            <b/>
            <sz val="9"/>
            <color indexed="81"/>
            <rFont val="Tahoma"/>
            <family val="2"/>
          </rPr>
          <t>DBL REV requires TWO rows!
TPL REV requires THREE rows!
QD REV requires FOUR rows!</t>
        </r>
      </text>
    </comment>
    <comment ref="J1228" authorId="1" shapeId="0">
      <text>
        <r>
          <rPr>
            <b/>
            <sz val="9"/>
            <color indexed="81"/>
            <rFont val="Tahoma"/>
            <family val="2"/>
          </rPr>
          <t>If this highlights as an error, consider upsizing the Tether size for better ribbon utilization</t>
        </r>
      </text>
    </comment>
    <comment ref="C1229" authorId="1" shapeId="0">
      <text>
        <r>
          <rPr>
            <b/>
            <sz val="9"/>
            <color indexed="81"/>
            <rFont val="Tahoma"/>
            <family val="2"/>
          </rPr>
          <t>DBL REV requires TWO rows!
TPL REV requires THREE rows!
QD REV requires FOUR rows!</t>
        </r>
      </text>
    </comment>
    <comment ref="J1229" authorId="1" shapeId="0">
      <text>
        <r>
          <rPr>
            <b/>
            <sz val="9"/>
            <color indexed="81"/>
            <rFont val="Tahoma"/>
            <family val="2"/>
          </rPr>
          <t>If this highlights as an error, consider upsizing the Tether size for better ribbon utilization</t>
        </r>
      </text>
    </comment>
    <comment ref="C1230" authorId="1" shapeId="0">
      <text>
        <r>
          <rPr>
            <b/>
            <sz val="9"/>
            <color indexed="81"/>
            <rFont val="Tahoma"/>
            <family val="2"/>
          </rPr>
          <t>DBL REV requires TWO rows!
TPL REV requires THREE rows!
QD REV requires FOUR rows!</t>
        </r>
      </text>
    </comment>
    <comment ref="J1230" authorId="1" shapeId="0">
      <text>
        <r>
          <rPr>
            <b/>
            <sz val="9"/>
            <color indexed="81"/>
            <rFont val="Tahoma"/>
            <family val="2"/>
          </rPr>
          <t>If this highlights as an error, consider upsizing the Tether size for better ribbon utilization</t>
        </r>
      </text>
    </comment>
    <comment ref="B123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text>
        <r>
          <rPr>
            <b/>
            <sz val="8"/>
            <color indexed="81"/>
            <rFont val="Tahoma"/>
            <family val="2"/>
          </rPr>
          <t>This will be added to Planning Load Block A for TOTAL</t>
        </r>
        <r>
          <rPr>
            <sz val="8"/>
            <color indexed="81"/>
            <rFont val="Tahoma"/>
            <family val="2"/>
          </rPr>
          <t xml:space="preserve">
</t>
        </r>
      </text>
    </comment>
    <comment ref="J1236" authorId="0" shapeId="0">
      <text>
        <r>
          <rPr>
            <b/>
            <sz val="8"/>
            <color indexed="81"/>
            <rFont val="Tahoma"/>
            <family val="2"/>
          </rPr>
          <t>This is the PON OUT count that is not assigned in this cable reel.</t>
        </r>
        <r>
          <rPr>
            <sz val="8"/>
            <color indexed="81"/>
            <rFont val="Tahoma"/>
            <family val="2"/>
          </rPr>
          <t xml:space="preserve">
</t>
        </r>
      </text>
    </comment>
    <comment ref="P1236" authorId="1" shapeId="0">
      <text>
        <r>
          <rPr>
            <b/>
            <sz val="9"/>
            <color indexed="81"/>
            <rFont val="Tahoma"/>
            <family val="2"/>
          </rPr>
          <t>REMEMBER: 2-Fbr Tethers are NOT available for RPX CABLE!</t>
        </r>
      </text>
    </comment>
    <comment ref="Q1236" authorId="1" shapeId="0">
      <text>
        <r>
          <rPr>
            <b/>
            <sz val="9"/>
            <color indexed="81"/>
            <rFont val="Tahoma"/>
            <family val="2"/>
          </rPr>
          <t>REMEMBER: 2-Fbr Tethers are NOT available for RPX CABLE!</t>
        </r>
      </text>
    </comment>
    <comment ref="S1236" authorId="1" shapeId="0">
      <text>
        <r>
          <rPr>
            <b/>
            <sz val="9"/>
            <color indexed="81"/>
            <rFont val="Tahoma"/>
            <family val="2"/>
          </rPr>
          <t>REMEMBER: 2-Fbr Tethers are NOT available for RPX CABLE!</t>
        </r>
      </text>
    </comment>
    <comment ref="T1236" authorId="1" shapeId="0">
      <text>
        <r>
          <rPr>
            <b/>
            <sz val="9"/>
            <color indexed="81"/>
            <rFont val="Tahoma"/>
            <family val="2"/>
          </rPr>
          <t>REMEMBER: 2-Fbr Tethers are NOT available for RPX CABLE!</t>
        </r>
      </text>
    </comment>
    <comment ref="B123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text>
        <r>
          <rPr>
            <b/>
            <sz val="8"/>
            <color indexed="81"/>
            <rFont val="Tahoma"/>
            <family val="2"/>
          </rPr>
          <t>Make sure you add this number to "TAT FIBERS ASSIGNED" for the total required in the Load Block on the prints.</t>
        </r>
      </text>
    </comment>
    <comment ref="G1237" authorId="0" shapeId="0">
      <text>
        <r>
          <rPr>
            <b/>
            <sz val="8"/>
            <color indexed="81"/>
            <rFont val="Tahoma"/>
            <family val="2"/>
          </rPr>
          <t>Includes "DEAD" Count (No PON count assigned)</t>
        </r>
      </text>
    </comment>
    <comment ref="I123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text>
        <r>
          <rPr>
            <b/>
            <sz val="9"/>
            <color indexed="81"/>
            <rFont val="Tahoma"/>
            <family val="2"/>
          </rPr>
          <t>REMEMBER: 6-Fbr Tethers are NOT available for RPX CABLE!</t>
        </r>
      </text>
    </comment>
    <comment ref="Q1238" authorId="1" shapeId="0">
      <text>
        <r>
          <rPr>
            <b/>
            <sz val="9"/>
            <color indexed="81"/>
            <rFont val="Tahoma"/>
            <family val="2"/>
          </rPr>
          <t>REMEMBER: 6-Fbr Tethers are NOT available for RPX CABLE!</t>
        </r>
      </text>
    </comment>
    <comment ref="S1238" authorId="1" shapeId="0">
      <text>
        <r>
          <rPr>
            <b/>
            <sz val="9"/>
            <color indexed="81"/>
            <rFont val="Tahoma"/>
            <family val="2"/>
          </rPr>
          <t>REMEMBER: 6-Fbr Tethers are NOT available for RPX CABLE!</t>
        </r>
      </text>
    </comment>
    <comment ref="T1238" authorId="1" shapeId="0">
      <text>
        <r>
          <rPr>
            <b/>
            <sz val="9"/>
            <color indexed="81"/>
            <rFont val="Tahoma"/>
            <family val="2"/>
          </rPr>
          <t>REMEMBER: 6-Fbr Tethers are NOT available for AERIAL CABLE!</t>
        </r>
      </text>
    </comment>
    <comment ref="B123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text>
        <r>
          <rPr>
            <b/>
            <sz val="8"/>
            <color indexed="81"/>
            <rFont val="Tahoma"/>
            <family val="2"/>
          </rPr>
          <t>These are "manufacturing rules" and general warnings</t>
        </r>
        <r>
          <rPr>
            <sz val="8"/>
            <color indexed="81"/>
            <rFont val="Tahoma"/>
            <family val="2"/>
          </rPr>
          <t xml:space="preserve">
</t>
        </r>
      </text>
    </comment>
    <comment ref="B124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text>
        <r>
          <rPr>
            <b/>
            <sz val="8"/>
            <color indexed="81"/>
            <rFont val="Tahoma"/>
            <family val="2"/>
          </rPr>
          <t>This number is a sum of TOTAL PLANNED plus the ASSIGNED TO TETHERS</t>
        </r>
        <r>
          <rPr>
            <sz val="8"/>
            <color indexed="81"/>
            <rFont val="Tahoma"/>
            <family val="2"/>
          </rPr>
          <t xml:space="preserve">
</t>
        </r>
      </text>
    </comment>
    <comment ref="Z1244" authorId="0" shapeId="0">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text>
        <r>
          <rPr>
            <b/>
            <sz val="8"/>
            <color indexed="81"/>
            <rFont val="Tahoma"/>
            <family val="2"/>
          </rPr>
          <t>Counting from High count Backwards- this is Fiber Strand 133</t>
        </r>
      </text>
    </comment>
    <comment ref="AB1244" authorId="0" shapeId="0">
      <text>
        <r>
          <rPr>
            <b/>
            <sz val="8"/>
            <color indexed="81"/>
            <rFont val="Tahoma"/>
            <family val="2"/>
          </rPr>
          <t>Counting from High count Backwards- this is Fiber Strand 144</t>
        </r>
        <r>
          <rPr>
            <sz val="8"/>
            <color indexed="81"/>
            <rFont val="Tahoma"/>
            <family val="2"/>
          </rPr>
          <t xml:space="preserve">
</t>
        </r>
      </text>
    </comment>
    <comment ref="C1245" authorId="0" shapeId="0">
      <text>
        <r>
          <rPr>
            <b/>
            <sz val="8"/>
            <color indexed="81"/>
            <rFont val="Tahoma"/>
            <family val="2"/>
          </rPr>
          <t xml:space="preserve">Select if this tether will be used to feed a CFST or a lateral cable. </t>
        </r>
      </text>
    </comment>
    <comment ref="D1245" authorId="0" shapeId="0">
      <text>
        <r>
          <rPr>
            <b/>
            <sz val="8"/>
            <color indexed="81"/>
            <rFont val="Tahoma"/>
            <family val="2"/>
          </rPr>
          <t>Note the Terminal Address to keep your locations straight</t>
        </r>
        <r>
          <rPr>
            <sz val="8"/>
            <color indexed="81"/>
            <rFont val="Tahoma"/>
            <family val="2"/>
          </rPr>
          <t xml:space="preserve">
</t>
        </r>
      </text>
    </comment>
    <comment ref="E1245" authorId="0" shapeId="0">
      <text>
        <r>
          <rPr>
            <b/>
            <sz val="9"/>
            <color indexed="81"/>
            <rFont val="Calibri"/>
            <family val="2"/>
            <scheme val="minor"/>
          </rPr>
          <t>Pick the Tether Size for the location</t>
        </r>
        <r>
          <rPr>
            <sz val="8"/>
            <color indexed="81"/>
            <rFont val="Tahoma"/>
            <family val="2"/>
          </rPr>
          <t xml:space="preserve">
</t>
        </r>
      </text>
    </comment>
    <comment ref="F1245" authorId="2" shapeId="0">
      <text>
        <r>
          <rPr>
            <b/>
            <sz val="9"/>
            <color indexed="81"/>
            <rFont val="Tahoma"/>
            <family val="2"/>
          </rPr>
          <t>Identify TCF or FST location.
Leave blank if tether is NOT for a TCF or FST!</t>
        </r>
      </text>
    </comment>
    <comment ref="H1245" authorId="0" shapeId="0">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text>
        <r>
          <rPr>
            <b/>
            <sz val="8"/>
            <color indexed="81"/>
            <rFont val="Tahoma"/>
            <family val="2"/>
          </rPr>
          <t>If any of these numbers are negative, check your PON count and Cable size</t>
        </r>
      </text>
    </comment>
    <comment ref="J124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text>
        <r>
          <rPr>
            <b/>
            <sz val="9"/>
            <color indexed="81"/>
            <rFont val="Tahoma"/>
            <family val="2"/>
          </rPr>
          <t>Leave blank if using 10' Terminal Tail
Enter Tail length if greater than 10'</t>
        </r>
      </text>
    </comment>
    <comment ref="M1245" authorId="0" shapeId="0">
      <text>
        <r>
          <rPr>
            <b/>
            <sz val="8"/>
            <color indexed="81"/>
            <rFont val="Tahoma"/>
            <family val="2"/>
          </rPr>
          <t>Make design notes such as slack coils, realingment loops,  or location notes</t>
        </r>
      </text>
    </comment>
    <comment ref="Z1245" authorId="0" shapeId="0">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text>
        <r>
          <rPr>
            <b/>
            <sz val="8"/>
            <color indexed="81"/>
            <rFont val="Tahoma"/>
            <family val="2"/>
          </rPr>
          <t xml:space="preserve">Counting from High count Backwards- this is Fiber Strand 145
</t>
        </r>
      </text>
    </comment>
    <comment ref="AB1245" authorId="0" shapeId="0">
      <text>
        <r>
          <rPr>
            <b/>
            <sz val="8"/>
            <color indexed="81"/>
            <rFont val="Tahoma"/>
            <family val="2"/>
          </rPr>
          <t>Counting from High count Backwards- this is Fiber Strand 156</t>
        </r>
      </text>
    </comment>
    <comment ref="J1247" authorId="1" shapeId="0">
      <text>
        <r>
          <rPr>
            <b/>
            <sz val="9"/>
            <color indexed="81"/>
            <rFont val="Tahoma"/>
            <family val="2"/>
          </rPr>
          <t>If this highlights as an error, consider upsizing the Tether size for better ribbon utilization</t>
        </r>
      </text>
    </comment>
    <comment ref="J1248" authorId="1" shapeId="0">
      <text>
        <r>
          <rPr>
            <b/>
            <sz val="9"/>
            <color indexed="81"/>
            <rFont val="Tahoma"/>
            <family val="2"/>
          </rPr>
          <t>If this highlights as an error, consider upsizing the Tether size for better ribbon utilization</t>
        </r>
      </text>
    </comment>
    <comment ref="J1249" authorId="1" shapeId="0">
      <text>
        <r>
          <rPr>
            <b/>
            <sz val="9"/>
            <color indexed="81"/>
            <rFont val="Tahoma"/>
            <family val="2"/>
          </rPr>
          <t>If this highlights as an error, consider upsizing the Tether size for better ribbon utilization</t>
        </r>
      </text>
    </comment>
    <comment ref="J1250" authorId="1" shapeId="0">
      <text>
        <r>
          <rPr>
            <b/>
            <sz val="9"/>
            <color indexed="81"/>
            <rFont val="Tahoma"/>
            <family val="2"/>
          </rPr>
          <t>If this highlights as an error, consider upsizing the Tether size for better ribbon utilization</t>
        </r>
      </text>
    </comment>
    <comment ref="J1251" authorId="1" shapeId="0">
      <text>
        <r>
          <rPr>
            <b/>
            <sz val="9"/>
            <color indexed="81"/>
            <rFont val="Tahoma"/>
            <family val="2"/>
          </rPr>
          <t>If this highlights as an error, consider upsizing the Tether size for better ribbon utilization</t>
        </r>
      </text>
    </comment>
    <comment ref="J1252" authorId="1" shapeId="0">
      <text>
        <r>
          <rPr>
            <b/>
            <sz val="9"/>
            <color indexed="81"/>
            <rFont val="Tahoma"/>
            <family val="2"/>
          </rPr>
          <t>If this highlights as an error, consider upsizing the Tether size for better ribbon utilization</t>
        </r>
      </text>
    </comment>
    <comment ref="J1253" authorId="1" shapeId="0">
      <text>
        <r>
          <rPr>
            <b/>
            <sz val="9"/>
            <color indexed="81"/>
            <rFont val="Tahoma"/>
            <family val="2"/>
          </rPr>
          <t>If this highlights as an error, consider upsizing the Tether size for better ribbon utilization</t>
        </r>
      </text>
    </comment>
    <comment ref="J1254" authorId="1" shapeId="0">
      <text>
        <r>
          <rPr>
            <b/>
            <sz val="9"/>
            <color indexed="81"/>
            <rFont val="Tahoma"/>
            <family val="2"/>
          </rPr>
          <t>If this highlights as an error, consider upsizing the Tether size for better ribbon utilization</t>
        </r>
      </text>
    </comment>
    <comment ref="J1255" authorId="1" shapeId="0">
      <text>
        <r>
          <rPr>
            <b/>
            <sz val="9"/>
            <color indexed="81"/>
            <rFont val="Tahoma"/>
            <family val="2"/>
          </rPr>
          <t>If this highlights as an error, consider upsizing the Tether size for better ribbon utilization</t>
        </r>
      </text>
    </comment>
    <comment ref="J1256" authorId="1" shapeId="0">
      <text>
        <r>
          <rPr>
            <b/>
            <sz val="9"/>
            <color indexed="81"/>
            <rFont val="Tahoma"/>
            <family val="2"/>
          </rPr>
          <t>If this highlights as an error, consider upsizing the Tether size for better ribbon utilization</t>
        </r>
      </text>
    </comment>
    <comment ref="J1257" authorId="1" shapeId="0">
      <text>
        <r>
          <rPr>
            <b/>
            <sz val="9"/>
            <color indexed="81"/>
            <rFont val="Tahoma"/>
            <family val="2"/>
          </rPr>
          <t>If this highlights as an error, consider upsizing the Tether size for better ribbon utilization</t>
        </r>
      </text>
    </comment>
    <comment ref="J1258" authorId="1" shapeId="0">
      <text>
        <r>
          <rPr>
            <b/>
            <sz val="9"/>
            <color indexed="81"/>
            <rFont val="Tahoma"/>
            <family val="2"/>
          </rPr>
          <t>If this highlights as an error, consider upsizing the Tether size for better ribbon utilization</t>
        </r>
      </text>
    </comment>
    <comment ref="J1259" authorId="1" shapeId="0">
      <text>
        <r>
          <rPr>
            <b/>
            <sz val="9"/>
            <color indexed="81"/>
            <rFont val="Tahoma"/>
            <family val="2"/>
          </rPr>
          <t>If this highlights as an error, consider upsizing the Tether size for better ribbon utilization</t>
        </r>
      </text>
    </comment>
    <comment ref="J1260" authorId="1" shapeId="0">
      <text>
        <r>
          <rPr>
            <b/>
            <sz val="9"/>
            <color indexed="81"/>
            <rFont val="Tahoma"/>
            <family val="2"/>
          </rPr>
          <t>If this highlights as an error, consider upsizing the Tether size for better ribbon utilization</t>
        </r>
      </text>
    </comment>
    <comment ref="J1261" authorId="1" shapeId="0">
      <text>
        <r>
          <rPr>
            <b/>
            <sz val="9"/>
            <color indexed="81"/>
            <rFont val="Tahoma"/>
            <family val="2"/>
          </rPr>
          <t>If this highlights as an error, consider upsizing the Tether size for better ribbon utilization</t>
        </r>
      </text>
    </comment>
    <comment ref="J1262" authorId="1" shapeId="0">
      <text>
        <r>
          <rPr>
            <b/>
            <sz val="9"/>
            <color indexed="81"/>
            <rFont val="Tahoma"/>
            <family val="2"/>
          </rPr>
          <t>If this highlights as an error, consider upsizing the Tether size for better ribbon utilization</t>
        </r>
      </text>
    </comment>
    <comment ref="J1263" authorId="1" shapeId="0">
      <text>
        <r>
          <rPr>
            <b/>
            <sz val="9"/>
            <color indexed="81"/>
            <rFont val="Tahoma"/>
            <family val="2"/>
          </rPr>
          <t>If this highlights as an error, consider upsizing the Tether size for better ribbon utilization</t>
        </r>
      </text>
    </comment>
    <comment ref="J1264" authorId="1" shapeId="0">
      <text>
        <r>
          <rPr>
            <b/>
            <sz val="9"/>
            <color indexed="81"/>
            <rFont val="Tahoma"/>
            <family val="2"/>
          </rPr>
          <t>If this highlights as an error, consider upsizing the Tether size for better ribbon utilization</t>
        </r>
      </text>
    </comment>
    <comment ref="C1265" authorId="1" shapeId="0">
      <text>
        <r>
          <rPr>
            <b/>
            <sz val="9"/>
            <color indexed="81"/>
            <rFont val="Tahoma"/>
            <family val="2"/>
          </rPr>
          <t>DBL REV requires TWO rows!
TPL REV requires THREE rows!
QD REV requires FOUR rows!</t>
        </r>
      </text>
    </comment>
    <comment ref="J1265" authorId="1" shapeId="0">
      <text>
        <r>
          <rPr>
            <b/>
            <sz val="9"/>
            <color indexed="81"/>
            <rFont val="Tahoma"/>
            <family val="2"/>
          </rPr>
          <t>If this highlights as an error, consider upsizing the Tether size for better ribbon utilization</t>
        </r>
      </text>
    </comment>
    <comment ref="C1266" authorId="1" shapeId="0">
      <text>
        <r>
          <rPr>
            <b/>
            <sz val="9"/>
            <color indexed="81"/>
            <rFont val="Tahoma"/>
            <family val="2"/>
          </rPr>
          <t>DBL REV requires TWO rows!
TPL REV requires THREE rows!
QD REV requires FOUR rows!</t>
        </r>
      </text>
    </comment>
    <comment ref="J1266" authorId="1" shapeId="0">
      <text>
        <r>
          <rPr>
            <b/>
            <sz val="9"/>
            <color indexed="81"/>
            <rFont val="Tahoma"/>
            <family val="2"/>
          </rPr>
          <t>If this highlights as an error, consider upsizing the Tether size for better ribbon utilization</t>
        </r>
      </text>
    </comment>
    <comment ref="C1267" authorId="1" shapeId="0">
      <text>
        <r>
          <rPr>
            <b/>
            <sz val="9"/>
            <color indexed="81"/>
            <rFont val="Tahoma"/>
            <family val="2"/>
          </rPr>
          <t>DBL REV requires TWO rows!
TPL REV requires THREE rows!
QD REV requires FOUR rows!</t>
        </r>
      </text>
    </comment>
    <comment ref="J1267" authorId="1" shapeId="0">
      <text>
        <r>
          <rPr>
            <b/>
            <sz val="9"/>
            <color indexed="81"/>
            <rFont val="Tahoma"/>
            <family val="2"/>
          </rPr>
          <t>If this highlights as an error, consider upsizing the Tether size for better ribbon utilization</t>
        </r>
      </text>
    </comment>
    <comment ref="C1268" authorId="1" shapeId="0">
      <text>
        <r>
          <rPr>
            <b/>
            <sz val="9"/>
            <color indexed="81"/>
            <rFont val="Tahoma"/>
            <family val="2"/>
          </rPr>
          <t>DBL REV requires TWO rows!
TPL REV requires THREE rows!
QD REV requires FOUR rows!</t>
        </r>
      </text>
    </comment>
    <comment ref="J1268" authorId="1" shapeId="0">
      <text>
        <r>
          <rPr>
            <b/>
            <sz val="9"/>
            <color indexed="81"/>
            <rFont val="Tahoma"/>
            <family val="2"/>
          </rPr>
          <t>If this highlights as an error, consider upsizing the Tether size for better ribbon utilization</t>
        </r>
      </text>
    </comment>
    <comment ref="C1269" authorId="1" shapeId="0">
      <text>
        <r>
          <rPr>
            <b/>
            <sz val="9"/>
            <color indexed="81"/>
            <rFont val="Tahoma"/>
            <family val="2"/>
          </rPr>
          <t>DBL REV requires TWO rows!
TPL REV requires THREE rows!
QD REV requires FOUR rows!</t>
        </r>
      </text>
    </comment>
    <comment ref="J1269" authorId="1" shapeId="0">
      <text>
        <r>
          <rPr>
            <b/>
            <sz val="9"/>
            <color indexed="81"/>
            <rFont val="Tahoma"/>
            <family val="2"/>
          </rPr>
          <t>If this highlights as an error, consider upsizing the Tether size for better ribbon utilization</t>
        </r>
      </text>
    </comment>
    <comment ref="C1270" authorId="1" shapeId="0">
      <text>
        <r>
          <rPr>
            <b/>
            <sz val="9"/>
            <color indexed="81"/>
            <rFont val="Tahoma"/>
            <family val="2"/>
          </rPr>
          <t>DBL REV requires TWO rows!
TPL REV requires THREE rows!
QD REV requires FOUR rows!</t>
        </r>
      </text>
    </comment>
    <comment ref="J1270" authorId="1" shapeId="0">
      <text>
        <r>
          <rPr>
            <b/>
            <sz val="9"/>
            <color indexed="81"/>
            <rFont val="Tahoma"/>
            <family val="2"/>
          </rPr>
          <t>If this highlights as an error, consider upsizing the Tether size for better ribbon utilization</t>
        </r>
      </text>
    </comment>
    <comment ref="C1271" authorId="1" shapeId="0">
      <text>
        <r>
          <rPr>
            <b/>
            <sz val="9"/>
            <color indexed="81"/>
            <rFont val="Tahoma"/>
            <family val="2"/>
          </rPr>
          <t>DBL REV requires TWO rows!
TPL REV requires THREE rows!
QD REV requires FOUR rows!</t>
        </r>
      </text>
    </comment>
    <comment ref="J1271" authorId="1" shapeId="0">
      <text>
        <r>
          <rPr>
            <b/>
            <sz val="9"/>
            <color indexed="81"/>
            <rFont val="Tahoma"/>
            <family val="2"/>
          </rPr>
          <t>If this highlights as an error, consider upsizing the Tether size for better ribbon utilization</t>
        </r>
      </text>
    </comment>
    <comment ref="B127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text>
        <r>
          <rPr>
            <b/>
            <sz val="8"/>
            <color indexed="81"/>
            <rFont val="Tahoma"/>
            <family val="2"/>
          </rPr>
          <t>This will be added to Planning Load Block A for TOTAL</t>
        </r>
        <r>
          <rPr>
            <sz val="8"/>
            <color indexed="81"/>
            <rFont val="Tahoma"/>
            <family val="2"/>
          </rPr>
          <t xml:space="preserve">
</t>
        </r>
      </text>
    </comment>
    <comment ref="J1277" authorId="0" shapeId="0">
      <text>
        <r>
          <rPr>
            <b/>
            <sz val="8"/>
            <color indexed="81"/>
            <rFont val="Tahoma"/>
            <family val="2"/>
          </rPr>
          <t>This is the PON OUT count that is not assigned in this cable reel.</t>
        </r>
        <r>
          <rPr>
            <sz val="8"/>
            <color indexed="81"/>
            <rFont val="Tahoma"/>
            <family val="2"/>
          </rPr>
          <t xml:space="preserve">
</t>
        </r>
      </text>
    </comment>
    <comment ref="P1277" authorId="1" shapeId="0">
      <text>
        <r>
          <rPr>
            <b/>
            <sz val="9"/>
            <color indexed="81"/>
            <rFont val="Tahoma"/>
            <family val="2"/>
          </rPr>
          <t>REMEMBER: 2-Fbr Tethers are NOT available for RPX CABLE!</t>
        </r>
      </text>
    </comment>
    <comment ref="Q1277" authorId="1" shapeId="0">
      <text>
        <r>
          <rPr>
            <b/>
            <sz val="9"/>
            <color indexed="81"/>
            <rFont val="Tahoma"/>
            <family val="2"/>
          </rPr>
          <t>REMEMBER: 2-Fbr Tethers are NOT available for RPX CABLE!</t>
        </r>
      </text>
    </comment>
    <comment ref="S1277" authorId="1" shapeId="0">
      <text>
        <r>
          <rPr>
            <b/>
            <sz val="9"/>
            <color indexed="81"/>
            <rFont val="Tahoma"/>
            <family val="2"/>
          </rPr>
          <t>REMEMBER: 2-Fbr Tethers are NOT available for RPX CABLE!</t>
        </r>
      </text>
    </comment>
    <comment ref="T1277" authorId="1" shapeId="0">
      <text>
        <r>
          <rPr>
            <b/>
            <sz val="9"/>
            <color indexed="81"/>
            <rFont val="Tahoma"/>
            <family val="2"/>
          </rPr>
          <t>REMEMBER: 2-Fbr Tethers are NOT available for RPX CABLE!</t>
        </r>
      </text>
    </comment>
    <comment ref="B127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text>
        <r>
          <rPr>
            <b/>
            <sz val="8"/>
            <color indexed="81"/>
            <rFont val="Tahoma"/>
            <family val="2"/>
          </rPr>
          <t>Make sure you add this number to "TAT FIBERS ASSIGNED" for the total required in the Load Block on the prints.</t>
        </r>
      </text>
    </comment>
    <comment ref="G1278" authorId="0" shapeId="0">
      <text>
        <r>
          <rPr>
            <b/>
            <sz val="8"/>
            <color indexed="81"/>
            <rFont val="Tahoma"/>
            <family val="2"/>
          </rPr>
          <t>Includes "DEAD" Count (No PON count assigned)</t>
        </r>
      </text>
    </comment>
    <comment ref="I127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text>
        <r>
          <rPr>
            <b/>
            <sz val="9"/>
            <color indexed="81"/>
            <rFont val="Tahoma"/>
            <family val="2"/>
          </rPr>
          <t>REMEMBER: 6-Fbr Tethers are NOT available for RPX CABLE!</t>
        </r>
      </text>
    </comment>
    <comment ref="Q1279" authorId="1" shapeId="0">
      <text>
        <r>
          <rPr>
            <b/>
            <sz val="9"/>
            <color indexed="81"/>
            <rFont val="Tahoma"/>
            <family val="2"/>
          </rPr>
          <t>REMEMBER: 6-Fbr Tethers are NOT available for RPX CABLE!</t>
        </r>
      </text>
    </comment>
    <comment ref="S1279" authorId="1" shapeId="0">
      <text>
        <r>
          <rPr>
            <b/>
            <sz val="9"/>
            <color indexed="81"/>
            <rFont val="Tahoma"/>
            <family val="2"/>
          </rPr>
          <t>REMEMBER: 6-Fbr Tethers are NOT available for RPX CABLE!</t>
        </r>
      </text>
    </comment>
    <comment ref="T1279" authorId="1" shapeId="0">
      <text>
        <r>
          <rPr>
            <b/>
            <sz val="9"/>
            <color indexed="81"/>
            <rFont val="Tahoma"/>
            <family val="2"/>
          </rPr>
          <t>REMEMBER: 6-Fbr Tethers are NOT available for AERIAL CABLE!</t>
        </r>
      </text>
    </comment>
    <comment ref="B128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text>
        <r>
          <rPr>
            <b/>
            <sz val="8"/>
            <color indexed="81"/>
            <rFont val="Tahoma"/>
            <family val="2"/>
          </rPr>
          <t>These are "manufacturing rules" and general warnings</t>
        </r>
        <r>
          <rPr>
            <sz val="8"/>
            <color indexed="81"/>
            <rFont val="Tahoma"/>
            <family val="2"/>
          </rPr>
          <t xml:space="preserve">
</t>
        </r>
      </text>
    </comment>
    <comment ref="B128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text>
        <r>
          <rPr>
            <b/>
            <sz val="8"/>
            <color indexed="81"/>
            <rFont val="Tahoma"/>
            <family val="2"/>
          </rPr>
          <t>This number is a sum of TOTAL PLANNED plus the ASSIGNED TO TETHERS</t>
        </r>
        <r>
          <rPr>
            <sz val="8"/>
            <color indexed="81"/>
            <rFont val="Tahoma"/>
            <family val="2"/>
          </rPr>
          <t xml:space="preserve">
</t>
        </r>
      </text>
    </comment>
    <comment ref="Z1285" authorId="0" shapeId="0">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text>
        <r>
          <rPr>
            <b/>
            <sz val="8"/>
            <color indexed="81"/>
            <rFont val="Tahoma"/>
            <family val="2"/>
          </rPr>
          <t>Counting from High count Backwards- this is Fiber Strand 133</t>
        </r>
      </text>
    </comment>
    <comment ref="AB1285" authorId="0" shapeId="0">
      <text>
        <r>
          <rPr>
            <b/>
            <sz val="8"/>
            <color indexed="81"/>
            <rFont val="Tahoma"/>
            <family val="2"/>
          </rPr>
          <t>Counting from High count Backwards- this is Fiber Strand 144</t>
        </r>
        <r>
          <rPr>
            <sz val="8"/>
            <color indexed="81"/>
            <rFont val="Tahoma"/>
            <family val="2"/>
          </rPr>
          <t xml:space="preserve">
</t>
        </r>
      </text>
    </comment>
    <comment ref="C1286" authorId="0" shapeId="0">
      <text>
        <r>
          <rPr>
            <b/>
            <sz val="8"/>
            <color indexed="81"/>
            <rFont val="Tahoma"/>
            <family val="2"/>
          </rPr>
          <t xml:space="preserve">Select if this tether will be used to feed a CFST or a lateral cable. </t>
        </r>
      </text>
    </comment>
    <comment ref="D1286" authorId="0" shapeId="0">
      <text>
        <r>
          <rPr>
            <b/>
            <sz val="8"/>
            <color indexed="81"/>
            <rFont val="Tahoma"/>
            <family val="2"/>
          </rPr>
          <t>Note the Terminal Address to keep your locations straight</t>
        </r>
        <r>
          <rPr>
            <sz val="8"/>
            <color indexed="81"/>
            <rFont val="Tahoma"/>
            <family val="2"/>
          </rPr>
          <t xml:space="preserve">
</t>
        </r>
      </text>
    </comment>
    <comment ref="E1286" authorId="0" shapeId="0">
      <text>
        <r>
          <rPr>
            <b/>
            <sz val="9"/>
            <color indexed="81"/>
            <rFont val="Calibri"/>
            <family val="2"/>
            <scheme val="minor"/>
          </rPr>
          <t>Pick the Tether Size for the location</t>
        </r>
        <r>
          <rPr>
            <sz val="8"/>
            <color indexed="81"/>
            <rFont val="Tahoma"/>
            <family val="2"/>
          </rPr>
          <t xml:space="preserve">
</t>
        </r>
      </text>
    </comment>
    <comment ref="F1286" authorId="2" shapeId="0">
      <text>
        <r>
          <rPr>
            <b/>
            <sz val="9"/>
            <color indexed="81"/>
            <rFont val="Tahoma"/>
            <family val="2"/>
          </rPr>
          <t>Identify TCF or FST location.
Leave blank if tether is NOT for a TCF or FST!</t>
        </r>
      </text>
    </comment>
    <comment ref="H1286" authorId="0" shapeId="0">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text>
        <r>
          <rPr>
            <b/>
            <sz val="8"/>
            <color indexed="81"/>
            <rFont val="Tahoma"/>
            <family val="2"/>
          </rPr>
          <t>If any of these numbers are negative, check your PON count and Cable size</t>
        </r>
      </text>
    </comment>
    <comment ref="J128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text>
        <r>
          <rPr>
            <b/>
            <sz val="9"/>
            <color indexed="81"/>
            <rFont val="Tahoma"/>
            <family val="2"/>
          </rPr>
          <t>Leave blank if using 10' Terminal Tail
Enter Tail length if greater than 10'</t>
        </r>
      </text>
    </comment>
    <comment ref="M1286" authorId="0" shapeId="0">
      <text>
        <r>
          <rPr>
            <b/>
            <sz val="8"/>
            <color indexed="81"/>
            <rFont val="Tahoma"/>
            <family val="2"/>
          </rPr>
          <t>Make design notes such as slack coils, realingment loops,  or location notes</t>
        </r>
      </text>
    </comment>
    <comment ref="Z1286" authorId="0" shapeId="0">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text>
        <r>
          <rPr>
            <b/>
            <sz val="8"/>
            <color indexed="81"/>
            <rFont val="Tahoma"/>
            <family val="2"/>
          </rPr>
          <t xml:space="preserve">Counting from High count Backwards- this is Fiber Strand 145
</t>
        </r>
      </text>
    </comment>
    <comment ref="AB1286" authorId="0" shapeId="0">
      <text>
        <r>
          <rPr>
            <b/>
            <sz val="8"/>
            <color indexed="81"/>
            <rFont val="Tahoma"/>
            <family val="2"/>
          </rPr>
          <t>Counting from High count Backwards- this is Fiber Strand 156</t>
        </r>
      </text>
    </comment>
    <comment ref="J1288" authorId="1" shapeId="0">
      <text>
        <r>
          <rPr>
            <b/>
            <sz val="9"/>
            <color indexed="81"/>
            <rFont val="Tahoma"/>
            <family val="2"/>
          </rPr>
          <t>If this highlights as an error, consider upsizing the Tether size for better ribbon utilization</t>
        </r>
      </text>
    </comment>
    <comment ref="J1289" authorId="1" shapeId="0">
      <text>
        <r>
          <rPr>
            <b/>
            <sz val="9"/>
            <color indexed="81"/>
            <rFont val="Tahoma"/>
            <family val="2"/>
          </rPr>
          <t>If this highlights as an error, consider upsizing the Tether size for better ribbon utilization</t>
        </r>
      </text>
    </comment>
    <comment ref="J1290" authorId="1" shapeId="0">
      <text>
        <r>
          <rPr>
            <b/>
            <sz val="9"/>
            <color indexed="81"/>
            <rFont val="Tahoma"/>
            <family val="2"/>
          </rPr>
          <t>If this highlights as an error, consider upsizing the Tether size for better ribbon utilization</t>
        </r>
      </text>
    </comment>
    <comment ref="J1291" authorId="1" shapeId="0">
      <text>
        <r>
          <rPr>
            <b/>
            <sz val="9"/>
            <color indexed="81"/>
            <rFont val="Tahoma"/>
            <family val="2"/>
          </rPr>
          <t>If this highlights as an error, consider upsizing the Tether size for better ribbon utilization</t>
        </r>
      </text>
    </comment>
    <comment ref="J1292" authorId="1" shapeId="0">
      <text>
        <r>
          <rPr>
            <b/>
            <sz val="9"/>
            <color indexed="81"/>
            <rFont val="Tahoma"/>
            <family val="2"/>
          </rPr>
          <t>If this highlights as an error, consider upsizing the Tether size for better ribbon utilization</t>
        </r>
      </text>
    </comment>
    <comment ref="J1293" authorId="1" shapeId="0">
      <text>
        <r>
          <rPr>
            <b/>
            <sz val="9"/>
            <color indexed="81"/>
            <rFont val="Tahoma"/>
            <family val="2"/>
          </rPr>
          <t>If this highlights as an error, consider upsizing the Tether size for better ribbon utilization</t>
        </r>
      </text>
    </comment>
    <comment ref="J1294" authorId="1" shapeId="0">
      <text>
        <r>
          <rPr>
            <b/>
            <sz val="9"/>
            <color indexed="81"/>
            <rFont val="Tahoma"/>
            <family val="2"/>
          </rPr>
          <t>If this highlights as an error, consider upsizing the Tether size for better ribbon utilization</t>
        </r>
      </text>
    </comment>
    <comment ref="J1295" authorId="1" shapeId="0">
      <text>
        <r>
          <rPr>
            <b/>
            <sz val="9"/>
            <color indexed="81"/>
            <rFont val="Tahoma"/>
            <family val="2"/>
          </rPr>
          <t>If this highlights as an error, consider upsizing the Tether size for better ribbon utilization</t>
        </r>
      </text>
    </comment>
    <comment ref="J1296" authorId="1" shapeId="0">
      <text>
        <r>
          <rPr>
            <b/>
            <sz val="9"/>
            <color indexed="81"/>
            <rFont val="Tahoma"/>
            <family val="2"/>
          </rPr>
          <t>If this highlights as an error, consider upsizing the Tether size for better ribbon utilization</t>
        </r>
      </text>
    </comment>
    <comment ref="J1297" authorId="1" shapeId="0">
      <text>
        <r>
          <rPr>
            <b/>
            <sz val="9"/>
            <color indexed="81"/>
            <rFont val="Tahoma"/>
            <family val="2"/>
          </rPr>
          <t>If this highlights as an error, consider upsizing the Tether size for better ribbon utilization</t>
        </r>
      </text>
    </comment>
    <comment ref="J1298" authorId="1" shapeId="0">
      <text>
        <r>
          <rPr>
            <b/>
            <sz val="9"/>
            <color indexed="81"/>
            <rFont val="Tahoma"/>
            <family val="2"/>
          </rPr>
          <t>If this highlights as an error, consider upsizing the Tether size for better ribbon utilization</t>
        </r>
      </text>
    </comment>
    <comment ref="J1299" authorId="1" shapeId="0">
      <text>
        <r>
          <rPr>
            <b/>
            <sz val="9"/>
            <color indexed="81"/>
            <rFont val="Tahoma"/>
            <family val="2"/>
          </rPr>
          <t>If this highlights as an error, consider upsizing the Tether size for better ribbon utilization</t>
        </r>
      </text>
    </comment>
    <comment ref="J1300" authorId="1" shapeId="0">
      <text>
        <r>
          <rPr>
            <b/>
            <sz val="9"/>
            <color indexed="81"/>
            <rFont val="Tahoma"/>
            <family val="2"/>
          </rPr>
          <t>If this highlights as an error, consider upsizing the Tether size for better ribbon utilization</t>
        </r>
      </text>
    </comment>
    <comment ref="J1301" authorId="1" shapeId="0">
      <text>
        <r>
          <rPr>
            <b/>
            <sz val="9"/>
            <color indexed="81"/>
            <rFont val="Tahoma"/>
            <family val="2"/>
          </rPr>
          <t>If this highlights as an error, consider upsizing the Tether size for better ribbon utilization</t>
        </r>
      </text>
    </comment>
    <comment ref="J1302" authorId="1" shapeId="0">
      <text>
        <r>
          <rPr>
            <b/>
            <sz val="9"/>
            <color indexed="81"/>
            <rFont val="Tahoma"/>
            <family val="2"/>
          </rPr>
          <t>If this highlights as an error, consider upsizing the Tether size for better ribbon utilization</t>
        </r>
      </text>
    </comment>
    <comment ref="J1303" authorId="1" shapeId="0">
      <text>
        <r>
          <rPr>
            <b/>
            <sz val="9"/>
            <color indexed="81"/>
            <rFont val="Tahoma"/>
            <family val="2"/>
          </rPr>
          <t>If this highlights as an error, consider upsizing the Tether size for better ribbon utilization</t>
        </r>
      </text>
    </comment>
    <comment ref="J1304" authorId="1" shapeId="0">
      <text>
        <r>
          <rPr>
            <b/>
            <sz val="9"/>
            <color indexed="81"/>
            <rFont val="Tahoma"/>
            <family val="2"/>
          </rPr>
          <t>If this highlights as an error, consider upsizing the Tether size for better ribbon utilization</t>
        </r>
      </text>
    </comment>
    <comment ref="J1305" authorId="1" shapeId="0">
      <text>
        <r>
          <rPr>
            <b/>
            <sz val="9"/>
            <color indexed="81"/>
            <rFont val="Tahoma"/>
            <family val="2"/>
          </rPr>
          <t>If this highlights as an error, consider upsizing the Tether size for better ribbon utilization</t>
        </r>
      </text>
    </comment>
    <comment ref="C1306" authorId="1" shapeId="0">
      <text>
        <r>
          <rPr>
            <b/>
            <sz val="9"/>
            <color indexed="81"/>
            <rFont val="Tahoma"/>
            <family val="2"/>
          </rPr>
          <t>DBL REV requires TWO rows!
TPL REV requires THREE rows!
QD REV requires FOUR rows!</t>
        </r>
      </text>
    </comment>
    <comment ref="J1306" authorId="1" shapeId="0">
      <text>
        <r>
          <rPr>
            <b/>
            <sz val="9"/>
            <color indexed="81"/>
            <rFont val="Tahoma"/>
            <family val="2"/>
          </rPr>
          <t>If this highlights as an error, consider upsizing the Tether size for better ribbon utilization</t>
        </r>
      </text>
    </comment>
    <comment ref="C1307" authorId="1" shapeId="0">
      <text>
        <r>
          <rPr>
            <b/>
            <sz val="9"/>
            <color indexed="81"/>
            <rFont val="Tahoma"/>
            <family val="2"/>
          </rPr>
          <t>DBL REV requires TWO rows!
TPL REV requires THREE rows!
QD REV requires FOUR rows!</t>
        </r>
      </text>
    </comment>
    <comment ref="J1307" authorId="1" shapeId="0">
      <text>
        <r>
          <rPr>
            <b/>
            <sz val="9"/>
            <color indexed="81"/>
            <rFont val="Tahoma"/>
            <family val="2"/>
          </rPr>
          <t>If this highlights as an error, consider upsizing the Tether size for better ribbon utilization</t>
        </r>
      </text>
    </comment>
    <comment ref="C1308" authorId="1" shapeId="0">
      <text>
        <r>
          <rPr>
            <b/>
            <sz val="9"/>
            <color indexed="81"/>
            <rFont val="Tahoma"/>
            <family val="2"/>
          </rPr>
          <t>DBL REV requires TWO rows!
TPL REV requires THREE rows!
QD REV requires FOUR rows!</t>
        </r>
      </text>
    </comment>
    <comment ref="J1308" authorId="1" shapeId="0">
      <text>
        <r>
          <rPr>
            <b/>
            <sz val="9"/>
            <color indexed="81"/>
            <rFont val="Tahoma"/>
            <family val="2"/>
          </rPr>
          <t>If this highlights as an error, consider upsizing the Tether size for better ribbon utilization</t>
        </r>
      </text>
    </comment>
    <comment ref="C1309" authorId="1" shapeId="0">
      <text>
        <r>
          <rPr>
            <b/>
            <sz val="9"/>
            <color indexed="81"/>
            <rFont val="Tahoma"/>
            <family val="2"/>
          </rPr>
          <t>DBL REV requires TWO rows!
TPL REV requires THREE rows!
QD REV requires FOUR rows!</t>
        </r>
      </text>
    </comment>
    <comment ref="J1309" authorId="1" shapeId="0">
      <text>
        <r>
          <rPr>
            <b/>
            <sz val="9"/>
            <color indexed="81"/>
            <rFont val="Tahoma"/>
            <family val="2"/>
          </rPr>
          <t>If this highlights as an error, consider upsizing the Tether size for better ribbon utilization</t>
        </r>
      </text>
    </comment>
    <comment ref="C1310" authorId="1" shapeId="0">
      <text>
        <r>
          <rPr>
            <b/>
            <sz val="9"/>
            <color indexed="81"/>
            <rFont val="Tahoma"/>
            <family val="2"/>
          </rPr>
          <t>DBL REV requires TWO rows!
TPL REV requires THREE rows!
QD REV requires FOUR rows!</t>
        </r>
      </text>
    </comment>
    <comment ref="J1310" authorId="1" shapeId="0">
      <text>
        <r>
          <rPr>
            <b/>
            <sz val="9"/>
            <color indexed="81"/>
            <rFont val="Tahoma"/>
            <family val="2"/>
          </rPr>
          <t>If this highlights as an error, consider upsizing the Tether size for better ribbon utilization</t>
        </r>
      </text>
    </comment>
    <comment ref="C1311" authorId="1" shapeId="0">
      <text>
        <r>
          <rPr>
            <b/>
            <sz val="9"/>
            <color indexed="81"/>
            <rFont val="Tahoma"/>
            <family val="2"/>
          </rPr>
          <t>DBL REV requires TWO rows!
TPL REV requires THREE rows!
QD REV requires FOUR rows!</t>
        </r>
      </text>
    </comment>
    <comment ref="J1311" authorId="1" shapeId="0">
      <text>
        <r>
          <rPr>
            <b/>
            <sz val="9"/>
            <color indexed="81"/>
            <rFont val="Tahoma"/>
            <family val="2"/>
          </rPr>
          <t>If this highlights as an error, consider upsizing the Tether size for better ribbon utilization</t>
        </r>
      </text>
    </comment>
    <comment ref="C1312" authorId="1" shapeId="0">
      <text>
        <r>
          <rPr>
            <b/>
            <sz val="9"/>
            <color indexed="81"/>
            <rFont val="Tahoma"/>
            <family val="2"/>
          </rPr>
          <t>DBL REV requires TWO rows!
TPL REV requires THREE rows!
QD REV requires FOUR rows!</t>
        </r>
      </text>
    </comment>
    <comment ref="J1312" authorId="1" shapeId="0">
      <text>
        <r>
          <rPr>
            <b/>
            <sz val="9"/>
            <color indexed="81"/>
            <rFont val="Tahoma"/>
            <family val="2"/>
          </rPr>
          <t>If this highlights as an error, consider upsizing the Tether size for better ribbon utilization</t>
        </r>
      </text>
    </comment>
    <comment ref="B131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text>
        <r>
          <rPr>
            <b/>
            <sz val="8"/>
            <color indexed="81"/>
            <rFont val="Tahoma"/>
            <family val="2"/>
          </rPr>
          <t>This will be added to Planning Load Block A for TOTAL</t>
        </r>
        <r>
          <rPr>
            <sz val="8"/>
            <color indexed="81"/>
            <rFont val="Tahoma"/>
            <family val="2"/>
          </rPr>
          <t xml:space="preserve">
</t>
        </r>
      </text>
    </comment>
    <comment ref="J1318" authorId="0" shapeId="0">
      <text>
        <r>
          <rPr>
            <b/>
            <sz val="8"/>
            <color indexed="81"/>
            <rFont val="Tahoma"/>
            <family val="2"/>
          </rPr>
          <t>This is the PON OUT count that is not assigned in this cable reel.</t>
        </r>
        <r>
          <rPr>
            <sz val="8"/>
            <color indexed="81"/>
            <rFont val="Tahoma"/>
            <family val="2"/>
          </rPr>
          <t xml:space="preserve">
</t>
        </r>
      </text>
    </comment>
    <comment ref="P1318" authorId="1" shapeId="0">
      <text>
        <r>
          <rPr>
            <b/>
            <sz val="9"/>
            <color indexed="81"/>
            <rFont val="Tahoma"/>
            <family val="2"/>
          </rPr>
          <t>REMEMBER: 2-Fbr Tethers are NOT available for RPX CABLE!</t>
        </r>
      </text>
    </comment>
    <comment ref="Q1318" authorId="1" shapeId="0">
      <text>
        <r>
          <rPr>
            <b/>
            <sz val="9"/>
            <color indexed="81"/>
            <rFont val="Tahoma"/>
            <family val="2"/>
          </rPr>
          <t>REMEMBER: 2-Fbr Tethers are NOT available for RPX CABLE!</t>
        </r>
      </text>
    </comment>
    <comment ref="S1318" authorId="1" shapeId="0">
      <text>
        <r>
          <rPr>
            <b/>
            <sz val="9"/>
            <color indexed="81"/>
            <rFont val="Tahoma"/>
            <family val="2"/>
          </rPr>
          <t>REMEMBER: 2-Fbr Tethers are NOT available for RPX CABLE!</t>
        </r>
      </text>
    </comment>
    <comment ref="T1318" authorId="1" shapeId="0">
      <text>
        <r>
          <rPr>
            <b/>
            <sz val="9"/>
            <color indexed="81"/>
            <rFont val="Tahoma"/>
            <family val="2"/>
          </rPr>
          <t>REMEMBER: 2-Fbr Tethers are NOT available for RPX CABLE!</t>
        </r>
      </text>
    </comment>
    <comment ref="B131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text>
        <r>
          <rPr>
            <b/>
            <sz val="8"/>
            <color indexed="81"/>
            <rFont val="Tahoma"/>
            <family val="2"/>
          </rPr>
          <t>Make sure you add this number to "TAT FIBERS ASSIGNED" for the total required in the Load Block on the prints.</t>
        </r>
      </text>
    </comment>
    <comment ref="G1319" authorId="0" shapeId="0">
      <text>
        <r>
          <rPr>
            <b/>
            <sz val="8"/>
            <color indexed="81"/>
            <rFont val="Tahoma"/>
            <family val="2"/>
          </rPr>
          <t>Includes "DEAD" Count (No PON count assigned)</t>
        </r>
      </text>
    </comment>
    <comment ref="I131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text>
        <r>
          <rPr>
            <b/>
            <sz val="9"/>
            <color indexed="81"/>
            <rFont val="Tahoma"/>
            <family val="2"/>
          </rPr>
          <t>REMEMBER: 6-Fbr Tethers are NOT available for RPX CABLE!</t>
        </r>
      </text>
    </comment>
    <comment ref="Q1320" authorId="1" shapeId="0">
      <text>
        <r>
          <rPr>
            <b/>
            <sz val="9"/>
            <color indexed="81"/>
            <rFont val="Tahoma"/>
            <family val="2"/>
          </rPr>
          <t>REMEMBER: 6-Fbr Tethers are NOT available for RPX CABLE!</t>
        </r>
      </text>
    </comment>
    <comment ref="S1320" authorId="1" shapeId="0">
      <text>
        <r>
          <rPr>
            <b/>
            <sz val="9"/>
            <color indexed="81"/>
            <rFont val="Tahoma"/>
            <family val="2"/>
          </rPr>
          <t>REMEMBER: 6-Fbr Tethers are NOT available for RPX CABLE!</t>
        </r>
      </text>
    </comment>
    <comment ref="T1320" authorId="1" shapeId="0">
      <text>
        <r>
          <rPr>
            <b/>
            <sz val="9"/>
            <color indexed="81"/>
            <rFont val="Tahoma"/>
            <family val="2"/>
          </rPr>
          <t>REMEMBER: 6-Fbr Tethers are NOT available for AERIAL CABLE!</t>
        </r>
      </text>
    </comment>
    <comment ref="B132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text>
        <r>
          <rPr>
            <b/>
            <sz val="8"/>
            <color indexed="81"/>
            <rFont val="Tahoma"/>
            <family val="2"/>
          </rPr>
          <t>These are "manufacturing rules" and general warnings</t>
        </r>
        <r>
          <rPr>
            <sz val="8"/>
            <color indexed="81"/>
            <rFont val="Tahoma"/>
            <family val="2"/>
          </rPr>
          <t xml:space="preserve">
</t>
        </r>
      </text>
    </comment>
    <comment ref="B132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text>
        <r>
          <rPr>
            <b/>
            <sz val="8"/>
            <color indexed="81"/>
            <rFont val="Tahoma"/>
            <family val="2"/>
          </rPr>
          <t>This number is a sum of TOTAL PLANNED plus the ASSIGNED TO TETHERS</t>
        </r>
        <r>
          <rPr>
            <sz val="8"/>
            <color indexed="81"/>
            <rFont val="Tahoma"/>
            <family val="2"/>
          </rPr>
          <t xml:space="preserve">
</t>
        </r>
      </text>
    </comment>
    <comment ref="Z1326" authorId="0" shapeId="0">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text>
        <r>
          <rPr>
            <b/>
            <sz val="8"/>
            <color indexed="81"/>
            <rFont val="Tahoma"/>
            <family val="2"/>
          </rPr>
          <t>Counting from High count Backwards- this is Fiber Strand 133</t>
        </r>
      </text>
    </comment>
    <comment ref="AB1326" authorId="0" shapeId="0">
      <text>
        <r>
          <rPr>
            <b/>
            <sz val="8"/>
            <color indexed="81"/>
            <rFont val="Tahoma"/>
            <family val="2"/>
          </rPr>
          <t>Counting from High count Backwards- this is Fiber Strand 144</t>
        </r>
        <r>
          <rPr>
            <sz val="8"/>
            <color indexed="81"/>
            <rFont val="Tahoma"/>
            <family val="2"/>
          </rPr>
          <t xml:space="preserve">
</t>
        </r>
      </text>
    </comment>
    <comment ref="C1327" authorId="0" shapeId="0">
      <text>
        <r>
          <rPr>
            <b/>
            <sz val="8"/>
            <color indexed="81"/>
            <rFont val="Tahoma"/>
            <family val="2"/>
          </rPr>
          <t xml:space="preserve">Select if this tether will be used to feed a CFST or a lateral cable. </t>
        </r>
      </text>
    </comment>
    <comment ref="D1327" authorId="0" shapeId="0">
      <text>
        <r>
          <rPr>
            <b/>
            <sz val="8"/>
            <color indexed="81"/>
            <rFont val="Tahoma"/>
            <family val="2"/>
          </rPr>
          <t>Note the Terminal Address to keep your locations straight</t>
        </r>
        <r>
          <rPr>
            <sz val="8"/>
            <color indexed="81"/>
            <rFont val="Tahoma"/>
            <family val="2"/>
          </rPr>
          <t xml:space="preserve">
</t>
        </r>
      </text>
    </comment>
    <comment ref="E1327" authorId="0" shapeId="0">
      <text>
        <r>
          <rPr>
            <b/>
            <sz val="9"/>
            <color indexed="81"/>
            <rFont val="Calibri"/>
            <family val="2"/>
            <scheme val="minor"/>
          </rPr>
          <t>Pick the Tether Size for the location</t>
        </r>
        <r>
          <rPr>
            <sz val="8"/>
            <color indexed="81"/>
            <rFont val="Tahoma"/>
            <family val="2"/>
          </rPr>
          <t xml:space="preserve">
</t>
        </r>
      </text>
    </comment>
    <comment ref="F1327" authorId="2" shapeId="0">
      <text>
        <r>
          <rPr>
            <b/>
            <sz val="9"/>
            <color indexed="81"/>
            <rFont val="Tahoma"/>
            <family val="2"/>
          </rPr>
          <t>Identify TCF or FST location.
Leave blank if tether is NOT for a TCF or FST!</t>
        </r>
      </text>
    </comment>
    <comment ref="H1327" authorId="0" shapeId="0">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text>
        <r>
          <rPr>
            <b/>
            <sz val="8"/>
            <color indexed="81"/>
            <rFont val="Tahoma"/>
            <family val="2"/>
          </rPr>
          <t>If any of these numbers are negative, check your PON count and Cable size</t>
        </r>
      </text>
    </comment>
    <comment ref="J132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text>
        <r>
          <rPr>
            <b/>
            <sz val="9"/>
            <color indexed="81"/>
            <rFont val="Tahoma"/>
            <family val="2"/>
          </rPr>
          <t>Leave blank if using 10' Terminal Tail
Enter Tail length if greater than 10'</t>
        </r>
      </text>
    </comment>
    <comment ref="M1327" authorId="0" shapeId="0">
      <text>
        <r>
          <rPr>
            <b/>
            <sz val="8"/>
            <color indexed="81"/>
            <rFont val="Tahoma"/>
            <family val="2"/>
          </rPr>
          <t>Make design notes such as slack coils, realingment loops,  or location notes</t>
        </r>
      </text>
    </comment>
    <comment ref="Z1327" authorId="0" shapeId="0">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text>
        <r>
          <rPr>
            <b/>
            <sz val="8"/>
            <color indexed="81"/>
            <rFont val="Tahoma"/>
            <family val="2"/>
          </rPr>
          <t xml:space="preserve">Counting from High count Backwards- this is Fiber Strand 145
</t>
        </r>
      </text>
    </comment>
    <comment ref="AB1327" authorId="0" shapeId="0">
      <text>
        <r>
          <rPr>
            <b/>
            <sz val="8"/>
            <color indexed="81"/>
            <rFont val="Tahoma"/>
            <family val="2"/>
          </rPr>
          <t>Counting from High count Backwards- this is Fiber Strand 156</t>
        </r>
      </text>
    </comment>
    <comment ref="J1329" authorId="1" shapeId="0">
      <text>
        <r>
          <rPr>
            <b/>
            <sz val="9"/>
            <color indexed="81"/>
            <rFont val="Tahoma"/>
            <family val="2"/>
          </rPr>
          <t>If this highlights as an error, consider upsizing the Tether size for better ribbon utilization</t>
        </r>
      </text>
    </comment>
    <comment ref="J1330" authorId="1" shapeId="0">
      <text>
        <r>
          <rPr>
            <b/>
            <sz val="9"/>
            <color indexed="81"/>
            <rFont val="Tahoma"/>
            <family val="2"/>
          </rPr>
          <t>If this highlights as an error, consider upsizing the Tether size for better ribbon utilization</t>
        </r>
      </text>
    </comment>
    <comment ref="J1331" authorId="1" shapeId="0">
      <text>
        <r>
          <rPr>
            <b/>
            <sz val="9"/>
            <color indexed="81"/>
            <rFont val="Tahoma"/>
            <family val="2"/>
          </rPr>
          <t>If this highlights as an error, consider upsizing the Tether size for better ribbon utilization</t>
        </r>
      </text>
    </comment>
    <comment ref="J1332" authorId="1" shapeId="0">
      <text>
        <r>
          <rPr>
            <b/>
            <sz val="9"/>
            <color indexed="81"/>
            <rFont val="Tahoma"/>
            <family val="2"/>
          </rPr>
          <t>If this highlights as an error, consider upsizing the Tether size for better ribbon utilization</t>
        </r>
      </text>
    </comment>
    <comment ref="J1333" authorId="1" shapeId="0">
      <text>
        <r>
          <rPr>
            <b/>
            <sz val="9"/>
            <color indexed="81"/>
            <rFont val="Tahoma"/>
            <family val="2"/>
          </rPr>
          <t>If this highlights as an error, consider upsizing the Tether size for better ribbon utilization</t>
        </r>
      </text>
    </comment>
    <comment ref="J1334" authorId="1" shapeId="0">
      <text>
        <r>
          <rPr>
            <b/>
            <sz val="9"/>
            <color indexed="81"/>
            <rFont val="Tahoma"/>
            <family val="2"/>
          </rPr>
          <t>If this highlights as an error, consider upsizing the Tether size for better ribbon utilization</t>
        </r>
      </text>
    </comment>
    <comment ref="J1335" authorId="1" shapeId="0">
      <text>
        <r>
          <rPr>
            <b/>
            <sz val="9"/>
            <color indexed="81"/>
            <rFont val="Tahoma"/>
            <family val="2"/>
          </rPr>
          <t>If this highlights as an error, consider upsizing the Tether size for better ribbon utilization</t>
        </r>
      </text>
    </comment>
    <comment ref="J1336" authorId="1" shapeId="0">
      <text>
        <r>
          <rPr>
            <b/>
            <sz val="9"/>
            <color indexed="81"/>
            <rFont val="Tahoma"/>
            <family val="2"/>
          </rPr>
          <t>If this highlights as an error, consider upsizing the Tether size for better ribbon utilization</t>
        </r>
      </text>
    </comment>
    <comment ref="J1337" authorId="1" shapeId="0">
      <text>
        <r>
          <rPr>
            <b/>
            <sz val="9"/>
            <color indexed="81"/>
            <rFont val="Tahoma"/>
            <family val="2"/>
          </rPr>
          <t>If this highlights as an error, consider upsizing the Tether size for better ribbon utilization</t>
        </r>
      </text>
    </comment>
    <comment ref="J1338" authorId="1" shapeId="0">
      <text>
        <r>
          <rPr>
            <b/>
            <sz val="9"/>
            <color indexed="81"/>
            <rFont val="Tahoma"/>
            <family val="2"/>
          </rPr>
          <t>If this highlights as an error, consider upsizing the Tether size for better ribbon utilization</t>
        </r>
      </text>
    </comment>
    <comment ref="J1339" authorId="1" shapeId="0">
      <text>
        <r>
          <rPr>
            <b/>
            <sz val="9"/>
            <color indexed="81"/>
            <rFont val="Tahoma"/>
            <family val="2"/>
          </rPr>
          <t>If this highlights as an error, consider upsizing the Tether size for better ribbon utilization</t>
        </r>
      </text>
    </comment>
    <comment ref="J1340" authorId="1" shapeId="0">
      <text>
        <r>
          <rPr>
            <b/>
            <sz val="9"/>
            <color indexed="81"/>
            <rFont val="Tahoma"/>
            <family val="2"/>
          </rPr>
          <t>If this highlights as an error, consider upsizing the Tether size for better ribbon utilization</t>
        </r>
      </text>
    </comment>
    <comment ref="J1341" authorId="1" shapeId="0">
      <text>
        <r>
          <rPr>
            <b/>
            <sz val="9"/>
            <color indexed="81"/>
            <rFont val="Tahoma"/>
            <family val="2"/>
          </rPr>
          <t>If this highlights as an error, consider upsizing the Tether size for better ribbon utilization</t>
        </r>
      </text>
    </comment>
    <comment ref="J1342" authorId="1" shapeId="0">
      <text>
        <r>
          <rPr>
            <b/>
            <sz val="9"/>
            <color indexed="81"/>
            <rFont val="Tahoma"/>
            <family val="2"/>
          </rPr>
          <t>If this highlights as an error, consider upsizing the Tether size for better ribbon utilization</t>
        </r>
      </text>
    </comment>
    <comment ref="J1343" authorId="1" shapeId="0">
      <text>
        <r>
          <rPr>
            <b/>
            <sz val="9"/>
            <color indexed="81"/>
            <rFont val="Tahoma"/>
            <family val="2"/>
          </rPr>
          <t>If this highlights as an error, consider upsizing the Tether size for better ribbon utilization</t>
        </r>
      </text>
    </comment>
    <comment ref="J1344" authorId="1" shapeId="0">
      <text>
        <r>
          <rPr>
            <b/>
            <sz val="9"/>
            <color indexed="81"/>
            <rFont val="Tahoma"/>
            <family val="2"/>
          </rPr>
          <t>If this highlights as an error, consider upsizing the Tether size for better ribbon utilization</t>
        </r>
      </text>
    </comment>
    <comment ref="J1345" authorId="1" shapeId="0">
      <text>
        <r>
          <rPr>
            <b/>
            <sz val="9"/>
            <color indexed="81"/>
            <rFont val="Tahoma"/>
            <family val="2"/>
          </rPr>
          <t>If this highlights as an error, consider upsizing the Tether size for better ribbon utilization</t>
        </r>
      </text>
    </comment>
    <comment ref="J1346" authorId="1" shapeId="0">
      <text>
        <r>
          <rPr>
            <b/>
            <sz val="9"/>
            <color indexed="81"/>
            <rFont val="Tahoma"/>
            <family val="2"/>
          </rPr>
          <t>If this highlights as an error, consider upsizing the Tether size for better ribbon utilization</t>
        </r>
      </text>
    </comment>
    <comment ref="C1347" authorId="1" shapeId="0">
      <text>
        <r>
          <rPr>
            <b/>
            <sz val="9"/>
            <color indexed="81"/>
            <rFont val="Tahoma"/>
            <family val="2"/>
          </rPr>
          <t>DBL REV requires TWO rows!
TPL REV requires THREE rows!
QD REV requires FOUR rows!</t>
        </r>
      </text>
    </comment>
    <comment ref="J1347" authorId="1" shapeId="0">
      <text>
        <r>
          <rPr>
            <b/>
            <sz val="9"/>
            <color indexed="81"/>
            <rFont val="Tahoma"/>
            <family val="2"/>
          </rPr>
          <t>If this highlights as an error, consider upsizing the Tether size for better ribbon utilization</t>
        </r>
      </text>
    </comment>
    <comment ref="C1348" authorId="1" shapeId="0">
      <text>
        <r>
          <rPr>
            <b/>
            <sz val="9"/>
            <color indexed="81"/>
            <rFont val="Tahoma"/>
            <family val="2"/>
          </rPr>
          <t>DBL REV requires TWO rows!
TPL REV requires THREE rows!
QD REV requires FOUR rows!</t>
        </r>
      </text>
    </comment>
    <comment ref="J1348" authorId="1" shapeId="0">
      <text>
        <r>
          <rPr>
            <b/>
            <sz val="9"/>
            <color indexed="81"/>
            <rFont val="Tahoma"/>
            <family val="2"/>
          </rPr>
          <t>If this highlights as an error, consider upsizing the Tether size for better ribbon utilization</t>
        </r>
      </text>
    </comment>
    <comment ref="C1349" authorId="1" shapeId="0">
      <text>
        <r>
          <rPr>
            <b/>
            <sz val="9"/>
            <color indexed="81"/>
            <rFont val="Tahoma"/>
            <family val="2"/>
          </rPr>
          <t>DBL REV requires TWO rows!
TPL REV requires THREE rows!
QD REV requires FOUR rows!</t>
        </r>
      </text>
    </comment>
    <comment ref="J1349" authorId="1" shapeId="0">
      <text>
        <r>
          <rPr>
            <b/>
            <sz val="9"/>
            <color indexed="81"/>
            <rFont val="Tahoma"/>
            <family val="2"/>
          </rPr>
          <t>If this highlights as an error, consider upsizing the Tether size for better ribbon utilization</t>
        </r>
      </text>
    </comment>
    <comment ref="C1350" authorId="1" shapeId="0">
      <text>
        <r>
          <rPr>
            <b/>
            <sz val="9"/>
            <color indexed="81"/>
            <rFont val="Tahoma"/>
            <family val="2"/>
          </rPr>
          <t>DBL REV requires TWO rows!
TPL REV requires THREE rows!
QD REV requires FOUR rows!</t>
        </r>
      </text>
    </comment>
    <comment ref="J1350" authorId="1" shapeId="0">
      <text>
        <r>
          <rPr>
            <b/>
            <sz val="9"/>
            <color indexed="81"/>
            <rFont val="Tahoma"/>
            <family val="2"/>
          </rPr>
          <t>If this highlights as an error, consider upsizing the Tether size for better ribbon utilization</t>
        </r>
      </text>
    </comment>
    <comment ref="C1351" authorId="1" shapeId="0">
      <text>
        <r>
          <rPr>
            <b/>
            <sz val="9"/>
            <color indexed="81"/>
            <rFont val="Tahoma"/>
            <family val="2"/>
          </rPr>
          <t>DBL REV requires TWO rows!
TPL REV requires THREE rows!
QD REV requires FOUR rows!</t>
        </r>
      </text>
    </comment>
    <comment ref="J1351" authorId="1" shapeId="0">
      <text>
        <r>
          <rPr>
            <b/>
            <sz val="9"/>
            <color indexed="81"/>
            <rFont val="Tahoma"/>
            <family val="2"/>
          </rPr>
          <t>If this highlights as an error, consider upsizing the Tether size for better ribbon utilization</t>
        </r>
      </text>
    </comment>
    <comment ref="C1352" authorId="1" shapeId="0">
      <text>
        <r>
          <rPr>
            <b/>
            <sz val="9"/>
            <color indexed="81"/>
            <rFont val="Tahoma"/>
            <family val="2"/>
          </rPr>
          <t>DBL REV requires TWO rows!
TPL REV requires THREE rows!
QD REV requires FOUR rows!</t>
        </r>
      </text>
    </comment>
    <comment ref="J1352" authorId="1" shapeId="0">
      <text>
        <r>
          <rPr>
            <b/>
            <sz val="9"/>
            <color indexed="81"/>
            <rFont val="Tahoma"/>
            <family val="2"/>
          </rPr>
          <t>If this highlights as an error, consider upsizing the Tether size for better ribbon utilization</t>
        </r>
      </text>
    </comment>
    <comment ref="C1353" authorId="1" shapeId="0">
      <text>
        <r>
          <rPr>
            <b/>
            <sz val="9"/>
            <color indexed="81"/>
            <rFont val="Tahoma"/>
            <family val="2"/>
          </rPr>
          <t>DBL REV requires TWO rows!
TPL REV requires THREE rows!
QD REV requires FOUR rows!</t>
        </r>
      </text>
    </comment>
    <comment ref="J1353" authorId="1" shapeId="0">
      <text>
        <r>
          <rPr>
            <b/>
            <sz val="9"/>
            <color indexed="81"/>
            <rFont val="Tahoma"/>
            <family val="2"/>
          </rPr>
          <t>If this highlights as an error, consider upsizing the Tether size for better ribbon utilization</t>
        </r>
      </text>
    </comment>
    <comment ref="B135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text>
        <r>
          <rPr>
            <b/>
            <sz val="8"/>
            <color indexed="81"/>
            <rFont val="Tahoma"/>
            <family val="2"/>
          </rPr>
          <t>This will be added to Planning Load Block A for TOTAL</t>
        </r>
        <r>
          <rPr>
            <sz val="8"/>
            <color indexed="81"/>
            <rFont val="Tahoma"/>
            <family val="2"/>
          </rPr>
          <t xml:space="preserve">
</t>
        </r>
      </text>
    </comment>
    <comment ref="J1359" authorId="0" shapeId="0">
      <text>
        <r>
          <rPr>
            <b/>
            <sz val="8"/>
            <color indexed="81"/>
            <rFont val="Tahoma"/>
            <family val="2"/>
          </rPr>
          <t>This is the PON OUT count that is not assigned in this cable reel.</t>
        </r>
        <r>
          <rPr>
            <sz val="8"/>
            <color indexed="81"/>
            <rFont val="Tahoma"/>
            <family val="2"/>
          </rPr>
          <t xml:space="preserve">
</t>
        </r>
      </text>
    </comment>
    <comment ref="P1359" authorId="1" shapeId="0">
      <text>
        <r>
          <rPr>
            <b/>
            <sz val="9"/>
            <color indexed="81"/>
            <rFont val="Tahoma"/>
            <family val="2"/>
          </rPr>
          <t>REMEMBER: 2-Fbr Tethers are NOT available for RPX CABLE!</t>
        </r>
      </text>
    </comment>
    <comment ref="Q1359" authorId="1" shapeId="0">
      <text>
        <r>
          <rPr>
            <b/>
            <sz val="9"/>
            <color indexed="81"/>
            <rFont val="Tahoma"/>
            <family val="2"/>
          </rPr>
          <t>REMEMBER: 2-Fbr Tethers are NOT available for RPX CABLE!</t>
        </r>
      </text>
    </comment>
    <comment ref="S1359" authorId="1" shapeId="0">
      <text>
        <r>
          <rPr>
            <b/>
            <sz val="9"/>
            <color indexed="81"/>
            <rFont val="Tahoma"/>
            <family val="2"/>
          </rPr>
          <t>REMEMBER: 2-Fbr Tethers are NOT available for RPX CABLE!</t>
        </r>
      </text>
    </comment>
    <comment ref="T1359" authorId="1" shapeId="0">
      <text>
        <r>
          <rPr>
            <b/>
            <sz val="9"/>
            <color indexed="81"/>
            <rFont val="Tahoma"/>
            <family val="2"/>
          </rPr>
          <t>REMEMBER: 2-Fbr Tethers are NOT available for RPX CABLE!</t>
        </r>
      </text>
    </comment>
    <comment ref="B136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text>
        <r>
          <rPr>
            <b/>
            <sz val="8"/>
            <color indexed="81"/>
            <rFont val="Tahoma"/>
            <family val="2"/>
          </rPr>
          <t>Make sure you add this number to "TAT FIBERS ASSIGNED" for the total required in the Load Block on the prints.</t>
        </r>
      </text>
    </comment>
    <comment ref="G1360" authorId="0" shapeId="0">
      <text>
        <r>
          <rPr>
            <b/>
            <sz val="8"/>
            <color indexed="81"/>
            <rFont val="Tahoma"/>
            <family val="2"/>
          </rPr>
          <t>Includes "DEAD" Count (No PON count assigned)</t>
        </r>
      </text>
    </comment>
    <comment ref="I136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text>
        <r>
          <rPr>
            <b/>
            <sz val="9"/>
            <color indexed="81"/>
            <rFont val="Tahoma"/>
            <family val="2"/>
          </rPr>
          <t>REMEMBER: 6-Fbr Tethers are NOT available for RPX CABLE!</t>
        </r>
      </text>
    </comment>
    <comment ref="Q1361" authorId="1" shapeId="0">
      <text>
        <r>
          <rPr>
            <b/>
            <sz val="9"/>
            <color indexed="81"/>
            <rFont val="Tahoma"/>
            <family val="2"/>
          </rPr>
          <t>REMEMBER: 6-Fbr Tethers are NOT available for RPX CABLE!</t>
        </r>
      </text>
    </comment>
    <comment ref="S1361" authorId="1" shapeId="0">
      <text>
        <r>
          <rPr>
            <b/>
            <sz val="9"/>
            <color indexed="81"/>
            <rFont val="Tahoma"/>
            <family val="2"/>
          </rPr>
          <t>REMEMBER: 6-Fbr Tethers are NOT available for RPX CABLE!</t>
        </r>
      </text>
    </comment>
    <comment ref="T1361" authorId="1" shapeId="0">
      <text>
        <r>
          <rPr>
            <b/>
            <sz val="9"/>
            <color indexed="81"/>
            <rFont val="Tahoma"/>
            <family val="2"/>
          </rPr>
          <t>REMEMBER: 6-Fbr Tethers are NOT available for AERIAL CABLE!</t>
        </r>
      </text>
    </comment>
    <comment ref="B136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text>
        <r>
          <rPr>
            <b/>
            <sz val="8"/>
            <color indexed="81"/>
            <rFont val="Tahoma"/>
            <family val="2"/>
          </rPr>
          <t>These are "manufacturing rules" and general warnings</t>
        </r>
        <r>
          <rPr>
            <sz val="8"/>
            <color indexed="81"/>
            <rFont val="Tahoma"/>
            <family val="2"/>
          </rPr>
          <t xml:space="preserve">
</t>
        </r>
      </text>
    </comment>
    <comment ref="B136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text>
        <r>
          <rPr>
            <b/>
            <sz val="8"/>
            <color indexed="81"/>
            <rFont val="Tahoma"/>
            <family val="2"/>
          </rPr>
          <t>This number is a sum of TOTAL PLANNED plus the ASSIGNED TO TETHERS</t>
        </r>
        <r>
          <rPr>
            <sz val="8"/>
            <color indexed="81"/>
            <rFont val="Tahoma"/>
            <family val="2"/>
          </rPr>
          <t xml:space="preserve">
</t>
        </r>
      </text>
    </comment>
    <comment ref="Z1367" authorId="0" shapeId="0">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text>
        <r>
          <rPr>
            <b/>
            <sz val="8"/>
            <color indexed="81"/>
            <rFont val="Tahoma"/>
            <family val="2"/>
          </rPr>
          <t>Counting from High count Backwards- this is Fiber Strand 133</t>
        </r>
      </text>
    </comment>
    <comment ref="AB1367" authorId="0" shapeId="0">
      <text>
        <r>
          <rPr>
            <b/>
            <sz val="8"/>
            <color indexed="81"/>
            <rFont val="Tahoma"/>
            <family val="2"/>
          </rPr>
          <t>Counting from High count Backwards- this is Fiber Strand 144</t>
        </r>
        <r>
          <rPr>
            <sz val="8"/>
            <color indexed="81"/>
            <rFont val="Tahoma"/>
            <family val="2"/>
          </rPr>
          <t xml:space="preserve">
</t>
        </r>
      </text>
    </comment>
    <comment ref="C1368" authorId="0" shapeId="0">
      <text>
        <r>
          <rPr>
            <b/>
            <sz val="8"/>
            <color indexed="81"/>
            <rFont val="Tahoma"/>
            <family val="2"/>
          </rPr>
          <t xml:space="preserve">Select if this tether will be used to feed a CFST or a lateral cable. </t>
        </r>
      </text>
    </comment>
    <comment ref="D1368" authorId="0" shapeId="0">
      <text>
        <r>
          <rPr>
            <b/>
            <sz val="8"/>
            <color indexed="81"/>
            <rFont val="Tahoma"/>
            <family val="2"/>
          </rPr>
          <t>Note the Terminal Address to keep your locations straight</t>
        </r>
        <r>
          <rPr>
            <sz val="8"/>
            <color indexed="81"/>
            <rFont val="Tahoma"/>
            <family val="2"/>
          </rPr>
          <t xml:space="preserve">
</t>
        </r>
      </text>
    </comment>
    <comment ref="E1368" authorId="0" shapeId="0">
      <text>
        <r>
          <rPr>
            <b/>
            <sz val="9"/>
            <color indexed="81"/>
            <rFont val="Calibri"/>
            <family val="2"/>
            <scheme val="minor"/>
          </rPr>
          <t>Pick the Tether Size for the location</t>
        </r>
        <r>
          <rPr>
            <sz val="8"/>
            <color indexed="81"/>
            <rFont val="Tahoma"/>
            <family val="2"/>
          </rPr>
          <t xml:space="preserve">
</t>
        </r>
      </text>
    </comment>
    <comment ref="F1368" authorId="2" shapeId="0">
      <text>
        <r>
          <rPr>
            <b/>
            <sz val="9"/>
            <color indexed="81"/>
            <rFont val="Tahoma"/>
            <family val="2"/>
          </rPr>
          <t>Identify TCF or FST location.
Leave blank if tether is NOT for a TCF or FST!</t>
        </r>
      </text>
    </comment>
    <comment ref="H1368" authorId="0" shapeId="0">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text>
        <r>
          <rPr>
            <b/>
            <sz val="8"/>
            <color indexed="81"/>
            <rFont val="Tahoma"/>
            <family val="2"/>
          </rPr>
          <t>If any of these numbers are negative, check your PON count and Cable size</t>
        </r>
      </text>
    </comment>
    <comment ref="J136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text>
        <r>
          <rPr>
            <b/>
            <sz val="9"/>
            <color indexed="81"/>
            <rFont val="Tahoma"/>
            <family val="2"/>
          </rPr>
          <t>Leave blank if using 10' Terminal Tail
Enter Tail length if greater than 10'</t>
        </r>
      </text>
    </comment>
    <comment ref="M1368" authorId="0" shapeId="0">
      <text>
        <r>
          <rPr>
            <b/>
            <sz val="8"/>
            <color indexed="81"/>
            <rFont val="Tahoma"/>
            <family val="2"/>
          </rPr>
          <t>Make design notes such as slack coils, realingment loops,  or location notes</t>
        </r>
      </text>
    </comment>
    <comment ref="Z1368" authorId="0" shapeId="0">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text>
        <r>
          <rPr>
            <b/>
            <sz val="8"/>
            <color indexed="81"/>
            <rFont val="Tahoma"/>
            <family val="2"/>
          </rPr>
          <t xml:space="preserve">Counting from High count Backwards- this is Fiber Strand 145
</t>
        </r>
      </text>
    </comment>
    <comment ref="AB1368" authorId="0" shapeId="0">
      <text>
        <r>
          <rPr>
            <b/>
            <sz val="8"/>
            <color indexed="81"/>
            <rFont val="Tahoma"/>
            <family val="2"/>
          </rPr>
          <t>Counting from High count Backwards- this is Fiber Strand 156</t>
        </r>
      </text>
    </comment>
    <comment ref="J1370" authorId="1" shapeId="0">
      <text>
        <r>
          <rPr>
            <b/>
            <sz val="9"/>
            <color indexed="81"/>
            <rFont val="Tahoma"/>
            <family val="2"/>
          </rPr>
          <t>If this highlights as an error, consider upsizing the Tether size for better ribbon utilization</t>
        </r>
      </text>
    </comment>
    <comment ref="J1371" authorId="1" shapeId="0">
      <text>
        <r>
          <rPr>
            <b/>
            <sz val="9"/>
            <color indexed="81"/>
            <rFont val="Tahoma"/>
            <family val="2"/>
          </rPr>
          <t>If this highlights as an error, consider upsizing the Tether size for better ribbon utilization</t>
        </r>
      </text>
    </comment>
    <comment ref="J1372" authorId="1" shapeId="0">
      <text>
        <r>
          <rPr>
            <b/>
            <sz val="9"/>
            <color indexed="81"/>
            <rFont val="Tahoma"/>
            <family val="2"/>
          </rPr>
          <t>If this highlights as an error, consider upsizing the Tether size for better ribbon utilization</t>
        </r>
      </text>
    </comment>
    <comment ref="J1373" authorId="1" shapeId="0">
      <text>
        <r>
          <rPr>
            <b/>
            <sz val="9"/>
            <color indexed="81"/>
            <rFont val="Tahoma"/>
            <family val="2"/>
          </rPr>
          <t>If this highlights as an error, consider upsizing the Tether size for better ribbon utilization</t>
        </r>
      </text>
    </comment>
    <comment ref="J1374" authorId="1" shapeId="0">
      <text>
        <r>
          <rPr>
            <b/>
            <sz val="9"/>
            <color indexed="81"/>
            <rFont val="Tahoma"/>
            <family val="2"/>
          </rPr>
          <t>If this highlights as an error, consider upsizing the Tether size for better ribbon utilization</t>
        </r>
      </text>
    </comment>
    <comment ref="J1375" authorId="1" shapeId="0">
      <text>
        <r>
          <rPr>
            <b/>
            <sz val="9"/>
            <color indexed="81"/>
            <rFont val="Tahoma"/>
            <family val="2"/>
          </rPr>
          <t>If this highlights as an error, consider upsizing the Tether size for better ribbon utilization</t>
        </r>
      </text>
    </comment>
    <comment ref="J1376" authorId="1" shapeId="0">
      <text>
        <r>
          <rPr>
            <b/>
            <sz val="9"/>
            <color indexed="81"/>
            <rFont val="Tahoma"/>
            <family val="2"/>
          </rPr>
          <t>If this highlights as an error, consider upsizing the Tether size for better ribbon utilization</t>
        </r>
      </text>
    </comment>
    <comment ref="J1377" authorId="1" shapeId="0">
      <text>
        <r>
          <rPr>
            <b/>
            <sz val="9"/>
            <color indexed="81"/>
            <rFont val="Tahoma"/>
            <family val="2"/>
          </rPr>
          <t>If this highlights as an error, consider upsizing the Tether size for better ribbon utilization</t>
        </r>
      </text>
    </comment>
    <comment ref="J1378" authorId="1" shapeId="0">
      <text>
        <r>
          <rPr>
            <b/>
            <sz val="9"/>
            <color indexed="81"/>
            <rFont val="Tahoma"/>
            <family val="2"/>
          </rPr>
          <t>If this highlights as an error, consider upsizing the Tether size for better ribbon utilization</t>
        </r>
      </text>
    </comment>
    <comment ref="J1379" authorId="1" shapeId="0">
      <text>
        <r>
          <rPr>
            <b/>
            <sz val="9"/>
            <color indexed="81"/>
            <rFont val="Tahoma"/>
            <family val="2"/>
          </rPr>
          <t>If this highlights as an error, consider upsizing the Tether size for better ribbon utilization</t>
        </r>
      </text>
    </comment>
    <comment ref="J1380" authorId="1" shapeId="0">
      <text>
        <r>
          <rPr>
            <b/>
            <sz val="9"/>
            <color indexed="81"/>
            <rFont val="Tahoma"/>
            <family val="2"/>
          </rPr>
          <t>If this highlights as an error, consider upsizing the Tether size for better ribbon utilization</t>
        </r>
      </text>
    </comment>
    <comment ref="J1381" authorId="1" shapeId="0">
      <text>
        <r>
          <rPr>
            <b/>
            <sz val="9"/>
            <color indexed="81"/>
            <rFont val="Tahoma"/>
            <family val="2"/>
          </rPr>
          <t>If this highlights as an error, consider upsizing the Tether size for better ribbon utilization</t>
        </r>
      </text>
    </comment>
    <comment ref="J1382" authorId="1" shapeId="0">
      <text>
        <r>
          <rPr>
            <b/>
            <sz val="9"/>
            <color indexed="81"/>
            <rFont val="Tahoma"/>
            <family val="2"/>
          </rPr>
          <t>If this highlights as an error, consider upsizing the Tether size for better ribbon utilization</t>
        </r>
      </text>
    </comment>
    <comment ref="J1383" authorId="1" shapeId="0">
      <text>
        <r>
          <rPr>
            <b/>
            <sz val="9"/>
            <color indexed="81"/>
            <rFont val="Tahoma"/>
            <family val="2"/>
          </rPr>
          <t>If this highlights as an error, consider upsizing the Tether size for better ribbon utilization</t>
        </r>
      </text>
    </comment>
    <comment ref="J1384" authorId="1" shapeId="0">
      <text>
        <r>
          <rPr>
            <b/>
            <sz val="9"/>
            <color indexed="81"/>
            <rFont val="Tahoma"/>
            <family val="2"/>
          </rPr>
          <t>If this highlights as an error, consider upsizing the Tether size for better ribbon utilization</t>
        </r>
      </text>
    </comment>
    <comment ref="J1385" authorId="1" shapeId="0">
      <text>
        <r>
          <rPr>
            <b/>
            <sz val="9"/>
            <color indexed="81"/>
            <rFont val="Tahoma"/>
            <family val="2"/>
          </rPr>
          <t>If this highlights as an error, consider upsizing the Tether size for better ribbon utilization</t>
        </r>
      </text>
    </comment>
    <comment ref="J1386" authorId="1" shapeId="0">
      <text>
        <r>
          <rPr>
            <b/>
            <sz val="9"/>
            <color indexed="81"/>
            <rFont val="Tahoma"/>
            <family val="2"/>
          </rPr>
          <t>If this highlights as an error, consider upsizing the Tether size for better ribbon utilization</t>
        </r>
      </text>
    </comment>
    <comment ref="J1387" authorId="1" shapeId="0">
      <text>
        <r>
          <rPr>
            <b/>
            <sz val="9"/>
            <color indexed="81"/>
            <rFont val="Tahoma"/>
            <family val="2"/>
          </rPr>
          <t>If this highlights as an error, consider upsizing the Tether size for better ribbon utilization</t>
        </r>
      </text>
    </comment>
    <comment ref="C1388" authorId="1" shapeId="0">
      <text>
        <r>
          <rPr>
            <b/>
            <sz val="9"/>
            <color indexed="81"/>
            <rFont val="Tahoma"/>
            <family val="2"/>
          </rPr>
          <t>DBL REV requires TWO rows!
TPL REV requires THREE rows!
QD REV requires FOUR rows!</t>
        </r>
      </text>
    </comment>
    <comment ref="J1388" authorId="1" shapeId="0">
      <text>
        <r>
          <rPr>
            <b/>
            <sz val="9"/>
            <color indexed="81"/>
            <rFont val="Tahoma"/>
            <family val="2"/>
          </rPr>
          <t>If this highlights as an error, consider upsizing the Tether size for better ribbon utilization</t>
        </r>
      </text>
    </comment>
    <comment ref="C1389" authorId="1" shapeId="0">
      <text>
        <r>
          <rPr>
            <b/>
            <sz val="9"/>
            <color indexed="81"/>
            <rFont val="Tahoma"/>
            <family val="2"/>
          </rPr>
          <t>DBL REV requires TWO rows!
TPL REV requires THREE rows!
QD REV requires FOUR rows!</t>
        </r>
      </text>
    </comment>
    <comment ref="J1389" authorId="1" shapeId="0">
      <text>
        <r>
          <rPr>
            <b/>
            <sz val="9"/>
            <color indexed="81"/>
            <rFont val="Tahoma"/>
            <family val="2"/>
          </rPr>
          <t>If this highlights as an error, consider upsizing the Tether size for better ribbon utilization</t>
        </r>
      </text>
    </comment>
    <comment ref="C1390" authorId="1" shapeId="0">
      <text>
        <r>
          <rPr>
            <b/>
            <sz val="9"/>
            <color indexed="81"/>
            <rFont val="Tahoma"/>
            <family val="2"/>
          </rPr>
          <t>DBL REV requires TWO rows!
TPL REV requires THREE rows!
QD REV requires FOUR rows!</t>
        </r>
      </text>
    </comment>
    <comment ref="J1390" authorId="1" shapeId="0">
      <text>
        <r>
          <rPr>
            <b/>
            <sz val="9"/>
            <color indexed="81"/>
            <rFont val="Tahoma"/>
            <family val="2"/>
          </rPr>
          <t>If this highlights as an error, consider upsizing the Tether size for better ribbon utilization</t>
        </r>
      </text>
    </comment>
    <comment ref="C1391" authorId="1" shapeId="0">
      <text>
        <r>
          <rPr>
            <b/>
            <sz val="9"/>
            <color indexed="81"/>
            <rFont val="Tahoma"/>
            <family val="2"/>
          </rPr>
          <t>DBL REV requires TWO rows!
TPL REV requires THREE rows!
QD REV requires FOUR rows!</t>
        </r>
      </text>
    </comment>
    <comment ref="J1391" authorId="1" shapeId="0">
      <text>
        <r>
          <rPr>
            <b/>
            <sz val="9"/>
            <color indexed="81"/>
            <rFont val="Tahoma"/>
            <family val="2"/>
          </rPr>
          <t>If this highlights as an error, consider upsizing the Tether size for better ribbon utilization</t>
        </r>
      </text>
    </comment>
    <comment ref="C1392" authorId="1" shapeId="0">
      <text>
        <r>
          <rPr>
            <b/>
            <sz val="9"/>
            <color indexed="81"/>
            <rFont val="Tahoma"/>
            <family val="2"/>
          </rPr>
          <t>DBL REV requires TWO rows!
TPL REV requires THREE rows!
QD REV requires FOUR rows!</t>
        </r>
      </text>
    </comment>
    <comment ref="J1392" authorId="1" shapeId="0">
      <text>
        <r>
          <rPr>
            <b/>
            <sz val="9"/>
            <color indexed="81"/>
            <rFont val="Tahoma"/>
            <family val="2"/>
          </rPr>
          <t>If this highlights as an error, consider upsizing the Tether size for better ribbon utilization</t>
        </r>
      </text>
    </comment>
    <comment ref="C1393" authorId="1" shapeId="0">
      <text>
        <r>
          <rPr>
            <b/>
            <sz val="9"/>
            <color indexed="81"/>
            <rFont val="Tahoma"/>
            <family val="2"/>
          </rPr>
          <t>DBL REV requires TWO rows!
TPL REV requires THREE rows!
QD REV requires FOUR rows!</t>
        </r>
      </text>
    </comment>
    <comment ref="J1393" authorId="1" shapeId="0">
      <text>
        <r>
          <rPr>
            <b/>
            <sz val="9"/>
            <color indexed="81"/>
            <rFont val="Tahoma"/>
            <family val="2"/>
          </rPr>
          <t>If this highlights as an error, consider upsizing the Tether size for better ribbon utilization</t>
        </r>
      </text>
    </comment>
    <comment ref="C1394" authorId="1" shapeId="0">
      <text>
        <r>
          <rPr>
            <b/>
            <sz val="9"/>
            <color indexed="81"/>
            <rFont val="Tahoma"/>
            <family val="2"/>
          </rPr>
          <t>DBL REV requires TWO rows!
TPL REV requires THREE rows!
QD REV requires FOUR rows!</t>
        </r>
      </text>
    </comment>
    <comment ref="J1394" authorId="1" shapeId="0">
      <text>
        <r>
          <rPr>
            <b/>
            <sz val="9"/>
            <color indexed="81"/>
            <rFont val="Tahoma"/>
            <family val="2"/>
          </rPr>
          <t>If this highlights as an error, consider upsizing the Tether size for better ribbon utilization</t>
        </r>
      </text>
    </comment>
    <comment ref="B140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text>
        <r>
          <rPr>
            <b/>
            <sz val="8"/>
            <color indexed="81"/>
            <rFont val="Tahoma"/>
            <family val="2"/>
          </rPr>
          <t>This will be added to Planning Load Block A for TOTAL</t>
        </r>
        <r>
          <rPr>
            <sz val="8"/>
            <color indexed="81"/>
            <rFont val="Tahoma"/>
            <family val="2"/>
          </rPr>
          <t xml:space="preserve">
</t>
        </r>
      </text>
    </comment>
    <comment ref="J1400" authorId="0" shapeId="0">
      <text>
        <r>
          <rPr>
            <b/>
            <sz val="8"/>
            <color indexed="81"/>
            <rFont val="Tahoma"/>
            <family val="2"/>
          </rPr>
          <t>This is the PON OUT count that is not assigned in this cable reel.</t>
        </r>
        <r>
          <rPr>
            <sz val="8"/>
            <color indexed="81"/>
            <rFont val="Tahoma"/>
            <family val="2"/>
          </rPr>
          <t xml:space="preserve">
</t>
        </r>
      </text>
    </comment>
    <comment ref="P1400" authorId="1" shapeId="0">
      <text>
        <r>
          <rPr>
            <b/>
            <sz val="9"/>
            <color indexed="81"/>
            <rFont val="Tahoma"/>
            <family val="2"/>
          </rPr>
          <t>REMEMBER: 2-Fbr Tethers are NOT available for RPX CABLE!</t>
        </r>
      </text>
    </comment>
    <comment ref="Q1400" authorId="1" shapeId="0">
      <text>
        <r>
          <rPr>
            <b/>
            <sz val="9"/>
            <color indexed="81"/>
            <rFont val="Tahoma"/>
            <family val="2"/>
          </rPr>
          <t>REMEMBER: 2-Fbr Tethers are NOT available for RPX CABLE!</t>
        </r>
      </text>
    </comment>
    <comment ref="S1400" authorId="1" shapeId="0">
      <text>
        <r>
          <rPr>
            <b/>
            <sz val="9"/>
            <color indexed="81"/>
            <rFont val="Tahoma"/>
            <family val="2"/>
          </rPr>
          <t>REMEMBER: 2-Fbr Tethers are NOT available for RPX CABLE!</t>
        </r>
      </text>
    </comment>
    <comment ref="T1400" authorId="1" shapeId="0">
      <text>
        <r>
          <rPr>
            <b/>
            <sz val="9"/>
            <color indexed="81"/>
            <rFont val="Tahoma"/>
            <family val="2"/>
          </rPr>
          <t>REMEMBER: 2-Fbr Tethers are NOT available for RPX CABLE!</t>
        </r>
      </text>
    </comment>
    <comment ref="B140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text>
        <r>
          <rPr>
            <b/>
            <sz val="8"/>
            <color indexed="81"/>
            <rFont val="Tahoma"/>
            <family val="2"/>
          </rPr>
          <t>Make sure you add this number to "TAT FIBERS ASSIGNED" for the total required in the Load Block on the prints.</t>
        </r>
      </text>
    </comment>
    <comment ref="G1401" authorId="0" shapeId="0">
      <text>
        <r>
          <rPr>
            <b/>
            <sz val="8"/>
            <color indexed="81"/>
            <rFont val="Tahoma"/>
            <family val="2"/>
          </rPr>
          <t>Includes "DEAD" Count (No PON count assigned)</t>
        </r>
      </text>
    </comment>
    <comment ref="I140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text>
        <r>
          <rPr>
            <b/>
            <sz val="9"/>
            <color indexed="81"/>
            <rFont val="Tahoma"/>
            <family val="2"/>
          </rPr>
          <t>REMEMBER: 6-Fbr Tethers are NOT available for RPX CABLE!</t>
        </r>
      </text>
    </comment>
    <comment ref="Q1402" authorId="1" shapeId="0">
      <text>
        <r>
          <rPr>
            <b/>
            <sz val="9"/>
            <color indexed="81"/>
            <rFont val="Tahoma"/>
            <family val="2"/>
          </rPr>
          <t>REMEMBER: 6-Fbr Tethers are NOT available for RPX CABLE!</t>
        </r>
      </text>
    </comment>
    <comment ref="S1402" authorId="1" shapeId="0">
      <text>
        <r>
          <rPr>
            <b/>
            <sz val="9"/>
            <color indexed="81"/>
            <rFont val="Tahoma"/>
            <family val="2"/>
          </rPr>
          <t>REMEMBER: 6-Fbr Tethers are NOT available for RPX CABLE!</t>
        </r>
      </text>
    </comment>
    <comment ref="T1402" authorId="1" shapeId="0">
      <text>
        <r>
          <rPr>
            <b/>
            <sz val="9"/>
            <color indexed="81"/>
            <rFont val="Tahoma"/>
            <family val="2"/>
          </rPr>
          <t>REMEMBER: 6-Fbr Tethers are NOT available for AERIAL CABLE!</t>
        </r>
      </text>
    </comment>
    <comment ref="B140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text>
        <r>
          <rPr>
            <b/>
            <sz val="8"/>
            <color indexed="81"/>
            <rFont val="Tahoma"/>
            <family val="2"/>
          </rPr>
          <t>These are "manufacturing rules" and general warnings</t>
        </r>
        <r>
          <rPr>
            <sz val="8"/>
            <color indexed="81"/>
            <rFont val="Tahoma"/>
            <family val="2"/>
          </rPr>
          <t xml:space="preserve">
</t>
        </r>
      </text>
    </comment>
    <comment ref="B140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text>
        <r>
          <rPr>
            <b/>
            <sz val="8"/>
            <color indexed="81"/>
            <rFont val="Tahoma"/>
            <family val="2"/>
          </rPr>
          <t>This number is a sum of TOTAL PLANNED plus the ASSIGNED TO TETHERS</t>
        </r>
        <r>
          <rPr>
            <sz val="8"/>
            <color indexed="81"/>
            <rFont val="Tahoma"/>
            <family val="2"/>
          </rPr>
          <t xml:space="preserve">
</t>
        </r>
      </text>
    </comment>
    <comment ref="Z1408" authorId="0" shapeId="0">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text>
        <r>
          <rPr>
            <b/>
            <sz val="8"/>
            <color indexed="81"/>
            <rFont val="Tahoma"/>
            <family val="2"/>
          </rPr>
          <t>Counting from High count Backwards- this is Fiber Strand 133</t>
        </r>
      </text>
    </comment>
    <comment ref="AB1408" authorId="0" shapeId="0">
      <text>
        <r>
          <rPr>
            <b/>
            <sz val="8"/>
            <color indexed="81"/>
            <rFont val="Tahoma"/>
            <family val="2"/>
          </rPr>
          <t>Counting from High count Backwards- this is Fiber Strand 144</t>
        </r>
        <r>
          <rPr>
            <sz val="8"/>
            <color indexed="81"/>
            <rFont val="Tahoma"/>
            <family val="2"/>
          </rPr>
          <t xml:space="preserve">
</t>
        </r>
      </text>
    </comment>
    <comment ref="C1409" authorId="0" shapeId="0">
      <text>
        <r>
          <rPr>
            <b/>
            <sz val="8"/>
            <color indexed="81"/>
            <rFont val="Tahoma"/>
            <family val="2"/>
          </rPr>
          <t xml:space="preserve">Select if this tether will be used to feed a CFST or a lateral cable. </t>
        </r>
      </text>
    </comment>
    <comment ref="D1409" authorId="0" shapeId="0">
      <text>
        <r>
          <rPr>
            <b/>
            <sz val="8"/>
            <color indexed="81"/>
            <rFont val="Tahoma"/>
            <family val="2"/>
          </rPr>
          <t>Note the Terminal Address to keep your locations straight</t>
        </r>
        <r>
          <rPr>
            <sz val="8"/>
            <color indexed="81"/>
            <rFont val="Tahoma"/>
            <family val="2"/>
          </rPr>
          <t xml:space="preserve">
</t>
        </r>
      </text>
    </comment>
    <comment ref="E1409" authorId="0" shapeId="0">
      <text>
        <r>
          <rPr>
            <b/>
            <sz val="9"/>
            <color indexed="81"/>
            <rFont val="Calibri"/>
            <family val="2"/>
            <scheme val="minor"/>
          </rPr>
          <t>Pick the Tether Size for the location</t>
        </r>
        <r>
          <rPr>
            <sz val="8"/>
            <color indexed="81"/>
            <rFont val="Tahoma"/>
            <family val="2"/>
          </rPr>
          <t xml:space="preserve">
</t>
        </r>
      </text>
    </comment>
    <comment ref="F1409" authorId="2" shapeId="0">
      <text>
        <r>
          <rPr>
            <b/>
            <sz val="9"/>
            <color indexed="81"/>
            <rFont val="Tahoma"/>
            <family val="2"/>
          </rPr>
          <t>Identify TCF or FST location.
Leave blank if tether is NOT for a TCF or FST!</t>
        </r>
      </text>
    </comment>
    <comment ref="H1409" authorId="0" shapeId="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text>
        <r>
          <rPr>
            <b/>
            <sz val="8"/>
            <color indexed="81"/>
            <rFont val="Tahoma"/>
            <family val="2"/>
          </rPr>
          <t>If any of these numbers are negative, check your PON count and Cable size</t>
        </r>
      </text>
    </comment>
    <comment ref="J140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text>
        <r>
          <rPr>
            <b/>
            <sz val="9"/>
            <color indexed="81"/>
            <rFont val="Tahoma"/>
            <family val="2"/>
          </rPr>
          <t>Leave blank if using 10' Terminal Tail
Enter Tail length if greater than 10'</t>
        </r>
      </text>
    </comment>
    <comment ref="M1409" authorId="0" shapeId="0">
      <text>
        <r>
          <rPr>
            <b/>
            <sz val="8"/>
            <color indexed="81"/>
            <rFont val="Tahoma"/>
            <family val="2"/>
          </rPr>
          <t>Make design notes such as slack coils, realingment loops,  or location notes</t>
        </r>
      </text>
    </comment>
    <comment ref="Z1409" authorId="0" shapeId="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text>
        <r>
          <rPr>
            <b/>
            <sz val="8"/>
            <color indexed="81"/>
            <rFont val="Tahoma"/>
            <family val="2"/>
          </rPr>
          <t xml:space="preserve">Counting from High count Backwards- this is Fiber Strand 145
</t>
        </r>
      </text>
    </comment>
    <comment ref="AB1409" authorId="0" shapeId="0">
      <text>
        <r>
          <rPr>
            <b/>
            <sz val="8"/>
            <color indexed="81"/>
            <rFont val="Tahoma"/>
            <family val="2"/>
          </rPr>
          <t>Counting from High count Backwards- this is Fiber Strand 156</t>
        </r>
      </text>
    </comment>
    <comment ref="J1411" authorId="1" shapeId="0">
      <text>
        <r>
          <rPr>
            <b/>
            <sz val="9"/>
            <color indexed="81"/>
            <rFont val="Tahoma"/>
            <family val="2"/>
          </rPr>
          <t>If this highlights as an error, consider upsizing the Tether size for better ribbon utilization</t>
        </r>
      </text>
    </comment>
    <comment ref="J1412" authorId="1" shapeId="0">
      <text>
        <r>
          <rPr>
            <b/>
            <sz val="9"/>
            <color indexed="81"/>
            <rFont val="Tahoma"/>
            <family val="2"/>
          </rPr>
          <t>If this highlights as an error, consider upsizing the Tether size for better ribbon utilization</t>
        </r>
      </text>
    </comment>
    <comment ref="J1413" authorId="1" shapeId="0">
      <text>
        <r>
          <rPr>
            <b/>
            <sz val="9"/>
            <color indexed="81"/>
            <rFont val="Tahoma"/>
            <family val="2"/>
          </rPr>
          <t>If this highlights as an error, consider upsizing the Tether size for better ribbon utilization</t>
        </r>
      </text>
    </comment>
    <comment ref="J1414" authorId="1" shapeId="0">
      <text>
        <r>
          <rPr>
            <b/>
            <sz val="9"/>
            <color indexed="81"/>
            <rFont val="Tahoma"/>
            <family val="2"/>
          </rPr>
          <t>If this highlights as an error, consider upsizing the Tether size for better ribbon utilization</t>
        </r>
      </text>
    </comment>
    <comment ref="J1415" authorId="1" shapeId="0">
      <text>
        <r>
          <rPr>
            <b/>
            <sz val="9"/>
            <color indexed="81"/>
            <rFont val="Tahoma"/>
            <family val="2"/>
          </rPr>
          <t>If this highlights as an error, consider upsizing the Tether size for better ribbon utilization</t>
        </r>
      </text>
    </comment>
    <comment ref="J1416" authorId="1" shapeId="0">
      <text>
        <r>
          <rPr>
            <b/>
            <sz val="9"/>
            <color indexed="81"/>
            <rFont val="Tahoma"/>
            <family val="2"/>
          </rPr>
          <t>If this highlights as an error, consider upsizing the Tether size for better ribbon utilization</t>
        </r>
      </text>
    </comment>
    <comment ref="J1417" authorId="1" shapeId="0">
      <text>
        <r>
          <rPr>
            <b/>
            <sz val="9"/>
            <color indexed="81"/>
            <rFont val="Tahoma"/>
            <family val="2"/>
          </rPr>
          <t>If this highlights as an error, consider upsizing the Tether size for better ribbon utilization</t>
        </r>
      </text>
    </comment>
    <comment ref="J1418" authorId="1" shapeId="0">
      <text>
        <r>
          <rPr>
            <b/>
            <sz val="9"/>
            <color indexed="81"/>
            <rFont val="Tahoma"/>
            <family val="2"/>
          </rPr>
          <t>If this highlights as an error, consider upsizing the Tether size for better ribbon utilization</t>
        </r>
      </text>
    </comment>
    <comment ref="J1419" authorId="1" shapeId="0">
      <text>
        <r>
          <rPr>
            <b/>
            <sz val="9"/>
            <color indexed="81"/>
            <rFont val="Tahoma"/>
            <family val="2"/>
          </rPr>
          <t>If this highlights as an error, consider upsizing the Tether size for better ribbon utilization</t>
        </r>
      </text>
    </comment>
    <comment ref="J1420" authorId="1" shapeId="0">
      <text>
        <r>
          <rPr>
            <b/>
            <sz val="9"/>
            <color indexed="81"/>
            <rFont val="Tahoma"/>
            <family val="2"/>
          </rPr>
          <t>If this highlights as an error, consider upsizing the Tether size for better ribbon utilization</t>
        </r>
      </text>
    </comment>
    <comment ref="J1421" authorId="1" shapeId="0">
      <text>
        <r>
          <rPr>
            <b/>
            <sz val="9"/>
            <color indexed="81"/>
            <rFont val="Tahoma"/>
            <family val="2"/>
          </rPr>
          <t>If this highlights as an error, consider upsizing the Tether size for better ribbon utilization</t>
        </r>
      </text>
    </comment>
    <comment ref="J1422" authorId="1" shapeId="0">
      <text>
        <r>
          <rPr>
            <b/>
            <sz val="9"/>
            <color indexed="81"/>
            <rFont val="Tahoma"/>
            <family val="2"/>
          </rPr>
          <t>If this highlights as an error, consider upsizing the Tether size for better ribbon utilization</t>
        </r>
      </text>
    </comment>
    <comment ref="J1423" authorId="1" shapeId="0">
      <text>
        <r>
          <rPr>
            <b/>
            <sz val="9"/>
            <color indexed="81"/>
            <rFont val="Tahoma"/>
            <family val="2"/>
          </rPr>
          <t>If this highlights as an error, consider upsizing the Tether size for better ribbon utilization</t>
        </r>
      </text>
    </comment>
    <comment ref="J1424" authorId="1" shapeId="0">
      <text>
        <r>
          <rPr>
            <b/>
            <sz val="9"/>
            <color indexed="81"/>
            <rFont val="Tahoma"/>
            <family val="2"/>
          </rPr>
          <t>If this highlights as an error, consider upsizing the Tether size for better ribbon utilization</t>
        </r>
      </text>
    </comment>
    <comment ref="J1425" authorId="1" shapeId="0">
      <text>
        <r>
          <rPr>
            <b/>
            <sz val="9"/>
            <color indexed="81"/>
            <rFont val="Tahoma"/>
            <family val="2"/>
          </rPr>
          <t>If this highlights as an error, consider upsizing the Tether size for better ribbon utilization</t>
        </r>
      </text>
    </comment>
    <comment ref="J1426" authorId="1" shapeId="0">
      <text>
        <r>
          <rPr>
            <b/>
            <sz val="9"/>
            <color indexed="81"/>
            <rFont val="Tahoma"/>
            <family val="2"/>
          </rPr>
          <t>If this highlights as an error, consider upsizing the Tether size for better ribbon utilization</t>
        </r>
      </text>
    </comment>
    <comment ref="J1427" authorId="1" shapeId="0">
      <text>
        <r>
          <rPr>
            <b/>
            <sz val="9"/>
            <color indexed="81"/>
            <rFont val="Tahoma"/>
            <family val="2"/>
          </rPr>
          <t>If this highlights as an error, consider upsizing the Tether size for better ribbon utilization</t>
        </r>
      </text>
    </comment>
    <comment ref="J1428" authorId="1" shapeId="0">
      <text>
        <r>
          <rPr>
            <b/>
            <sz val="9"/>
            <color indexed="81"/>
            <rFont val="Tahoma"/>
            <family val="2"/>
          </rPr>
          <t>If this highlights as an error, consider upsizing the Tether size for better ribbon utilization</t>
        </r>
      </text>
    </comment>
    <comment ref="C1429" authorId="1" shapeId="0">
      <text>
        <r>
          <rPr>
            <b/>
            <sz val="9"/>
            <color indexed="81"/>
            <rFont val="Tahoma"/>
            <family val="2"/>
          </rPr>
          <t>DBL REV requires TWO rows!
TPL REV requires THREE rows!
QD REV requires FOUR rows!</t>
        </r>
      </text>
    </comment>
    <comment ref="J1429" authorId="1" shapeId="0">
      <text>
        <r>
          <rPr>
            <b/>
            <sz val="9"/>
            <color indexed="81"/>
            <rFont val="Tahoma"/>
            <family val="2"/>
          </rPr>
          <t>If this highlights as an error, consider upsizing the Tether size for better ribbon utilization</t>
        </r>
      </text>
    </comment>
    <comment ref="C1430" authorId="1" shapeId="0">
      <text>
        <r>
          <rPr>
            <b/>
            <sz val="9"/>
            <color indexed="81"/>
            <rFont val="Tahoma"/>
            <family val="2"/>
          </rPr>
          <t>DBL REV requires TWO rows!
TPL REV requires THREE rows!
QD REV requires FOUR rows!</t>
        </r>
      </text>
    </comment>
    <comment ref="J1430" authorId="1" shapeId="0">
      <text>
        <r>
          <rPr>
            <b/>
            <sz val="9"/>
            <color indexed="81"/>
            <rFont val="Tahoma"/>
            <family val="2"/>
          </rPr>
          <t>If this highlights as an error, consider upsizing the Tether size for better ribbon utilization</t>
        </r>
      </text>
    </comment>
    <comment ref="C1431" authorId="1" shapeId="0">
      <text>
        <r>
          <rPr>
            <b/>
            <sz val="9"/>
            <color indexed="81"/>
            <rFont val="Tahoma"/>
            <family val="2"/>
          </rPr>
          <t>DBL REV requires TWO rows!
TPL REV requires THREE rows!
QD REV requires FOUR rows!</t>
        </r>
      </text>
    </comment>
    <comment ref="J1431" authorId="1" shapeId="0">
      <text>
        <r>
          <rPr>
            <b/>
            <sz val="9"/>
            <color indexed="81"/>
            <rFont val="Tahoma"/>
            <family val="2"/>
          </rPr>
          <t>If this highlights as an error, consider upsizing the Tether size for better ribbon utilization</t>
        </r>
      </text>
    </comment>
    <comment ref="C1432" authorId="1" shapeId="0">
      <text>
        <r>
          <rPr>
            <b/>
            <sz val="9"/>
            <color indexed="81"/>
            <rFont val="Tahoma"/>
            <family val="2"/>
          </rPr>
          <t>DBL REV requires TWO rows!
TPL REV requires THREE rows!
QD REV requires FOUR rows!</t>
        </r>
      </text>
    </comment>
    <comment ref="J1432" authorId="1" shapeId="0">
      <text>
        <r>
          <rPr>
            <b/>
            <sz val="9"/>
            <color indexed="81"/>
            <rFont val="Tahoma"/>
            <family val="2"/>
          </rPr>
          <t>If this highlights as an error, consider upsizing the Tether size for better ribbon utilization</t>
        </r>
      </text>
    </comment>
    <comment ref="C1433" authorId="1" shapeId="0">
      <text>
        <r>
          <rPr>
            <b/>
            <sz val="9"/>
            <color indexed="81"/>
            <rFont val="Tahoma"/>
            <family val="2"/>
          </rPr>
          <t>DBL REV requires TWO rows!
TPL REV requires THREE rows!
QD REV requires FOUR rows!</t>
        </r>
      </text>
    </comment>
    <comment ref="J1433" authorId="1" shapeId="0">
      <text>
        <r>
          <rPr>
            <b/>
            <sz val="9"/>
            <color indexed="81"/>
            <rFont val="Tahoma"/>
            <family val="2"/>
          </rPr>
          <t>If this highlights as an error, consider upsizing the Tether size for better ribbon utilization</t>
        </r>
      </text>
    </comment>
    <comment ref="C1434" authorId="1" shapeId="0">
      <text>
        <r>
          <rPr>
            <b/>
            <sz val="9"/>
            <color indexed="81"/>
            <rFont val="Tahoma"/>
            <family val="2"/>
          </rPr>
          <t>DBL REV requires TWO rows!
TPL REV requires THREE rows!
QD REV requires FOUR rows!</t>
        </r>
      </text>
    </comment>
    <comment ref="J1434" authorId="1" shapeId="0">
      <text>
        <r>
          <rPr>
            <b/>
            <sz val="9"/>
            <color indexed="81"/>
            <rFont val="Tahoma"/>
            <family val="2"/>
          </rPr>
          <t>If this highlights as an error, consider upsizing the Tether size for better ribbon utilization</t>
        </r>
      </text>
    </comment>
    <comment ref="C1435" authorId="1" shapeId="0">
      <text>
        <r>
          <rPr>
            <b/>
            <sz val="9"/>
            <color indexed="81"/>
            <rFont val="Tahoma"/>
            <family val="2"/>
          </rPr>
          <t>DBL REV requires TWO rows!
TPL REV requires THREE rows!
QD REV requires FOUR rows!</t>
        </r>
      </text>
    </comment>
    <comment ref="J1435" authorId="1" shapeId="0">
      <text>
        <r>
          <rPr>
            <b/>
            <sz val="9"/>
            <color indexed="81"/>
            <rFont val="Tahoma"/>
            <family val="2"/>
          </rPr>
          <t>If this highlights as an error, consider upsizing the Tether size for better ribbon utilization</t>
        </r>
      </text>
    </comment>
    <comment ref="B144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text>
        <r>
          <rPr>
            <b/>
            <sz val="8"/>
            <color indexed="81"/>
            <rFont val="Tahoma"/>
            <family val="2"/>
          </rPr>
          <t>This will be added to Planning Load Block A for TOTAL</t>
        </r>
        <r>
          <rPr>
            <sz val="8"/>
            <color indexed="81"/>
            <rFont val="Tahoma"/>
            <family val="2"/>
          </rPr>
          <t xml:space="preserve">
</t>
        </r>
      </text>
    </comment>
    <comment ref="J1441" authorId="0" shapeId="0">
      <text>
        <r>
          <rPr>
            <b/>
            <sz val="8"/>
            <color indexed="81"/>
            <rFont val="Tahoma"/>
            <family val="2"/>
          </rPr>
          <t>This is the PON OUT count that is not assigned in this cable reel.</t>
        </r>
        <r>
          <rPr>
            <sz val="8"/>
            <color indexed="81"/>
            <rFont val="Tahoma"/>
            <family val="2"/>
          </rPr>
          <t xml:space="preserve">
</t>
        </r>
      </text>
    </comment>
    <comment ref="P1441" authorId="1" shapeId="0">
      <text>
        <r>
          <rPr>
            <b/>
            <sz val="9"/>
            <color indexed="81"/>
            <rFont val="Tahoma"/>
            <family val="2"/>
          </rPr>
          <t>REMEMBER: 2-Fbr Tethers are NOT available for RPX CABLE!</t>
        </r>
      </text>
    </comment>
    <comment ref="Q1441" authorId="1" shapeId="0">
      <text>
        <r>
          <rPr>
            <b/>
            <sz val="9"/>
            <color indexed="81"/>
            <rFont val="Tahoma"/>
            <family val="2"/>
          </rPr>
          <t>REMEMBER: 2-Fbr Tethers are NOT available for RPX CABLE!</t>
        </r>
      </text>
    </comment>
    <comment ref="S1441" authorId="1" shapeId="0">
      <text>
        <r>
          <rPr>
            <b/>
            <sz val="9"/>
            <color indexed="81"/>
            <rFont val="Tahoma"/>
            <family val="2"/>
          </rPr>
          <t>REMEMBER: 2-Fbr Tethers are NOT available for RPX CABLE!</t>
        </r>
      </text>
    </comment>
    <comment ref="T1441" authorId="1" shapeId="0">
      <text>
        <r>
          <rPr>
            <b/>
            <sz val="9"/>
            <color indexed="81"/>
            <rFont val="Tahoma"/>
            <family val="2"/>
          </rPr>
          <t>REMEMBER: 2-Fbr Tethers are NOT available for RPX CABLE!</t>
        </r>
      </text>
    </comment>
    <comment ref="B144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text>
        <r>
          <rPr>
            <b/>
            <sz val="8"/>
            <color indexed="81"/>
            <rFont val="Tahoma"/>
            <family val="2"/>
          </rPr>
          <t>Make sure you add this number to "TAT FIBERS ASSIGNED" for the total required in the Load Block on the prints.</t>
        </r>
      </text>
    </comment>
    <comment ref="G1442" authorId="0" shapeId="0">
      <text>
        <r>
          <rPr>
            <b/>
            <sz val="8"/>
            <color indexed="81"/>
            <rFont val="Tahoma"/>
            <family val="2"/>
          </rPr>
          <t>Includes "DEAD" Count (No PON count assigned)</t>
        </r>
      </text>
    </comment>
    <comment ref="I144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text>
        <r>
          <rPr>
            <b/>
            <sz val="9"/>
            <color indexed="81"/>
            <rFont val="Tahoma"/>
            <family val="2"/>
          </rPr>
          <t>REMEMBER: 6-Fbr Tethers are NOT available for RPX CABLE!</t>
        </r>
      </text>
    </comment>
    <comment ref="Q1443" authorId="1" shapeId="0">
      <text>
        <r>
          <rPr>
            <b/>
            <sz val="9"/>
            <color indexed="81"/>
            <rFont val="Tahoma"/>
            <family val="2"/>
          </rPr>
          <t>REMEMBER: 6-Fbr Tethers are NOT available for RPX CABLE!</t>
        </r>
      </text>
    </comment>
    <comment ref="S1443" authorId="1" shapeId="0">
      <text>
        <r>
          <rPr>
            <b/>
            <sz val="9"/>
            <color indexed="81"/>
            <rFont val="Tahoma"/>
            <family val="2"/>
          </rPr>
          <t>REMEMBER: 6-Fbr Tethers are NOT available for RPX CABLE!</t>
        </r>
      </text>
    </comment>
    <comment ref="T1443" authorId="1" shapeId="0">
      <text>
        <r>
          <rPr>
            <b/>
            <sz val="9"/>
            <color indexed="81"/>
            <rFont val="Tahoma"/>
            <family val="2"/>
          </rPr>
          <t>REMEMBER: 6-Fbr Tethers are NOT available for AERIAL CABLE!</t>
        </r>
      </text>
    </comment>
    <comment ref="B144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text>
        <r>
          <rPr>
            <b/>
            <sz val="8"/>
            <color indexed="81"/>
            <rFont val="Tahoma"/>
            <family val="2"/>
          </rPr>
          <t>These are "manufacturing rules" and general warnings</t>
        </r>
        <r>
          <rPr>
            <sz val="8"/>
            <color indexed="81"/>
            <rFont val="Tahoma"/>
            <family val="2"/>
          </rPr>
          <t xml:space="preserve">
</t>
        </r>
      </text>
    </comment>
    <comment ref="B144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text>
        <r>
          <rPr>
            <b/>
            <sz val="8"/>
            <color indexed="81"/>
            <rFont val="Tahoma"/>
            <family val="2"/>
          </rPr>
          <t>This number is a sum of TOTAL PLANNED plus the ASSIGNED TO TETHERS</t>
        </r>
        <r>
          <rPr>
            <sz val="8"/>
            <color indexed="81"/>
            <rFont val="Tahoma"/>
            <family val="2"/>
          </rPr>
          <t xml:space="preserve">
</t>
        </r>
      </text>
    </comment>
    <comment ref="Z1449" authorId="0" shapeId="0">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text>
        <r>
          <rPr>
            <b/>
            <sz val="8"/>
            <color indexed="81"/>
            <rFont val="Tahoma"/>
            <family val="2"/>
          </rPr>
          <t>Counting from High count Backwards- this is Fiber Strand 133</t>
        </r>
      </text>
    </comment>
    <comment ref="AB1449" authorId="0" shapeId="0">
      <text>
        <r>
          <rPr>
            <b/>
            <sz val="8"/>
            <color indexed="81"/>
            <rFont val="Tahoma"/>
            <family val="2"/>
          </rPr>
          <t>Counting from High count Backwards- this is Fiber Strand 144</t>
        </r>
        <r>
          <rPr>
            <sz val="8"/>
            <color indexed="81"/>
            <rFont val="Tahoma"/>
            <family val="2"/>
          </rPr>
          <t xml:space="preserve">
</t>
        </r>
      </text>
    </comment>
    <comment ref="C1450" authorId="0" shapeId="0">
      <text>
        <r>
          <rPr>
            <b/>
            <sz val="8"/>
            <color indexed="81"/>
            <rFont val="Tahoma"/>
            <family val="2"/>
          </rPr>
          <t xml:space="preserve">Select if this tether will be used to feed a CFST or a lateral cable. </t>
        </r>
      </text>
    </comment>
    <comment ref="D1450" authorId="0" shapeId="0">
      <text>
        <r>
          <rPr>
            <b/>
            <sz val="8"/>
            <color indexed="81"/>
            <rFont val="Tahoma"/>
            <family val="2"/>
          </rPr>
          <t>Note the Terminal Address to keep your locations straight</t>
        </r>
        <r>
          <rPr>
            <sz val="8"/>
            <color indexed="81"/>
            <rFont val="Tahoma"/>
            <family val="2"/>
          </rPr>
          <t xml:space="preserve">
</t>
        </r>
      </text>
    </comment>
    <comment ref="E1450" authorId="0" shapeId="0">
      <text>
        <r>
          <rPr>
            <b/>
            <sz val="9"/>
            <color indexed="81"/>
            <rFont val="Calibri"/>
            <family val="2"/>
            <scheme val="minor"/>
          </rPr>
          <t>Pick the Tether Size for the location</t>
        </r>
        <r>
          <rPr>
            <sz val="8"/>
            <color indexed="81"/>
            <rFont val="Tahoma"/>
            <family val="2"/>
          </rPr>
          <t xml:space="preserve">
</t>
        </r>
      </text>
    </comment>
    <comment ref="F1450" authorId="2" shapeId="0">
      <text>
        <r>
          <rPr>
            <b/>
            <sz val="9"/>
            <color indexed="81"/>
            <rFont val="Tahoma"/>
            <family val="2"/>
          </rPr>
          <t>Identify TCF or FST location.
Leave blank if tether is NOT for a TCF or FST!</t>
        </r>
      </text>
    </comment>
    <comment ref="H1450" authorId="0" shapeId="0">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text>
        <r>
          <rPr>
            <b/>
            <sz val="8"/>
            <color indexed="81"/>
            <rFont val="Tahoma"/>
            <family val="2"/>
          </rPr>
          <t>If any of these numbers are negative, check your PON count and Cable size</t>
        </r>
      </text>
    </comment>
    <comment ref="J145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text>
        <r>
          <rPr>
            <b/>
            <sz val="9"/>
            <color indexed="81"/>
            <rFont val="Tahoma"/>
            <family val="2"/>
          </rPr>
          <t>Leave blank if using 10' Terminal Tail
Enter Tail length if greater than 10'</t>
        </r>
      </text>
    </comment>
    <comment ref="M1450" authorId="0" shapeId="0">
      <text>
        <r>
          <rPr>
            <b/>
            <sz val="8"/>
            <color indexed="81"/>
            <rFont val="Tahoma"/>
            <family val="2"/>
          </rPr>
          <t>Make design notes such as slack coils, realingment loops,  or location notes</t>
        </r>
      </text>
    </comment>
    <comment ref="Z1450" authorId="0" shapeId="0">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text>
        <r>
          <rPr>
            <b/>
            <sz val="8"/>
            <color indexed="81"/>
            <rFont val="Tahoma"/>
            <family val="2"/>
          </rPr>
          <t xml:space="preserve">Counting from High count Backwards- this is Fiber Strand 145
</t>
        </r>
      </text>
    </comment>
    <comment ref="AB1450" authorId="0" shapeId="0">
      <text>
        <r>
          <rPr>
            <b/>
            <sz val="8"/>
            <color indexed="81"/>
            <rFont val="Tahoma"/>
            <family val="2"/>
          </rPr>
          <t>Counting from High count Backwards- this is Fiber Strand 156</t>
        </r>
      </text>
    </comment>
    <comment ref="J1452" authorId="1" shapeId="0">
      <text>
        <r>
          <rPr>
            <b/>
            <sz val="9"/>
            <color indexed="81"/>
            <rFont val="Tahoma"/>
            <family val="2"/>
          </rPr>
          <t>If this highlights as an error, consider upsizing the Tether size for better ribbon utilization</t>
        </r>
      </text>
    </comment>
    <comment ref="J1453" authorId="1" shapeId="0">
      <text>
        <r>
          <rPr>
            <b/>
            <sz val="9"/>
            <color indexed="81"/>
            <rFont val="Tahoma"/>
            <family val="2"/>
          </rPr>
          <t>If this highlights as an error, consider upsizing the Tether size for better ribbon utilization</t>
        </r>
      </text>
    </comment>
    <comment ref="J1454" authorId="1" shapeId="0">
      <text>
        <r>
          <rPr>
            <b/>
            <sz val="9"/>
            <color indexed="81"/>
            <rFont val="Tahoma"/>
            <family val="2"/>
          </rPr>
          <t>If this highlights as an error, consider upsizing the Tether size for better ribbon utilization</t>
        </r>
      </text>
    </comment>
    <comment ref="J1455" authorId="1" shapeId="0">
      <text>
        <r>
          <rPr>
            <b/>
            <sz val="9"/>
            <color indexed="81"/>
            <rFont val="Tahoma"/>
            <family val="2"/>
          </rPr>
          <t>If this highlights as an error, consider upsizing the Tether size for better ribbon utilization</t>
        </r>
      </text>
    </comment>
    <comment ref="J1456" authorId="1" shapeId="0">
      <text>
        <r>
          <rPr>
            <b/>
            <sz val="9"/>
            <color indexed="81"/>
            <rFont val="Tahoma"/>
            <family val="2"/>
          </rPr>
          <t>If this highlights as an error, consider upsizing the Tether size for better ribbon utilization</t>
        </r>
      </text>
    </comment>
    <comment ref="J1457" authorId="1" shapeId="0">
      <text>
        <r>
          <rPr>
            <b/>
            <sz val="9"/>
            <color indexed="81"/>
            <rFont val="Tahoma"/>
            <family val="2"/>
          </rPr>
          <t>If this highlights as an error, consider upsizing the Tether size for better ribbon utilization</t>
        </r>
      </text>
    </comment>
    <comment ref="J1458" authorId="1" shapeId="0">
      <text>
        <r>
          <rPr>
            <b/>
            <sz val="9"/>
            <color indexed="81"/>
            <rFont val="Tahoma"/>
            <family val="2"/>
          </rPr>
          <t>If this highlights as an error, consider upsizing the Tether size for better ribbon utilization</t>
        </r>
      </text>
    </comment>
    <comment ref="J1459" authorId="1" shapeId="0">
      <text>
        <r>
          <rPr>
            <b/>
            <sz val="9"/>
            <color indexed="81"/>
            <rFont val="Tahoma"/>
            <family val="2"/>
          </rPr>
          <t>If this highlights as an error, consider upsizing the Tether size for better ribbon utilization</t>
        </r>
      </text>
    </comment>
    <comment ref="J1460" authorId="1" shapeId="0">
      <text>
        <r>
          <rPr>
            <b/>
            <sz val="9"/>
            <color indexed="81"/>
            <rFont val="Tahoma"/>
            <family val="2"/>
          </rPr>
          <t>If this highlights as an error, consider upsizing the Tether size for better ribbon utilization</t>
        </r>
      </text>
    </comment>
    <comment ref="J1461" authorId="1" shapeId="0">
      <text>
        <r>
          <rPr>
            <b/>
            <sz val="9"/>
            <color indexed="81"/>
            <rFont val="Tahoma"/>
            <family val="2"/>
          </rPr>
          <t>If this highlights as an error, consider upsizing the Tether size for better ribbon utilization</t>
        </r>
      </text>
    </comment>
    <comment ref="J1462" authorId="1" shapeId="0">
      <text>
        <r>
          <rPr>
            <b/>
            <sz val="9"/>
            <color indexed="81"/>
            <rFont val="Tahoma"/>
            <family val="2"/>
          </rPr>
          <t>If this highlights as an error, consider upsizing the Tether size for better ribbon utilization</t>
        </r>
      </text>
    </comment>
    <comment ref="J1463" authorId="1" shapeId="0">
      <text>
        <r>
          <rPr>
            <b/>
            <sz val="9"/>
            <color indexed="81"/>
            <rFont val="Tahoma"/>
            <family val="2"/>
          </rPr>
          <t>If this highlights as an error, consider upsizing the Tether size for better ribbon utilization</t>
        </r>
      </text>
    </comment>
    <comment ref="J1464" authorId="1" shapeId="0">
      <text>
        <r>
          <rPr>
            <b/>
            <sz val="9"/>
            <color indexed="81"/>
            <rFont val="Tahoma"/>
            <family val="2"/>
          </rPr>
          <t>If this highlights as an error, consider upsizing the Tether size for better ribbon utilization</t>
        </r>
      </text>
    </comment>
    <comment ref="J1465" authorId="1" shapeId="0">
      <text>
        <r>
          <rPr>
            <b/>
            <sz val="9"/>
            <color indexed="81"/>
            <rFont val="Tahoma"/>
            <family val="2"/>
          </rPr>
          <t>If this highlights as an error, consider upsizing the Tether size for better ribbon utilization</t>
        </r>
      </text>
    </comment>
    <comment ref="J1466" authorId="1" shapeId="0">
      <text>
        <r>
          <rPr>
            <b/>
            <sz val="9"/>
            <color indexed="81"/>
            <rFont val="Tahoma"/>
            <family val="2"/>
          </rPr>
          <t>If this highlights as an error, consider upsizing the Tether size for better ribbon utilization</t>
        </r>
      </text>
    </comment>
    <comment ref="J1467" authorId="1" shapeId="0">
      <text>
        <r>
          <rPr>
            <b/>
            <sz val="9"/>
            <color indexed="81"/>
            <rFont val="Tahoma"/>
            <family val="2"/>
          </rPr>
          <t>If this highlights as an error, consider upsizing the Tether size for better ribbon utilization</t>
        </r>
      </text>
    </comment>
    <comment ref="J1468" authorId="1" shapeId="0">
      <text>
        <r>
          <rPr>
            <b/>
            <sz val="9"/>
            <color indexed="81"/>
            <rFont val="Tahoma"/>
            <family val="2"/>
          </rPr>
          <t>If this highlights as an error, consider upsizing the Tether size for better ribbon utilization</t>
        </r>
      </text>
    </comment>
    <comment ref="J1469" authorId="1" shapeId="0">
      <text>
        <r>
          <rPr>
            <b/>
            <sz val="9"/>
            <color indexed="81"/>
            <rFont val="Tahoma"/>
            <family val="2"/>
          </rPr>
          <t>If this highlights as an error, consider upsizing the Tether size for better ribbon utilization</t>
        </r>
      </text>
    </comment>
    <comment ref="C1470" authorId="1" shapeId="0">
      <text>
        <r>
          <rPr>
            <b/>
            <sz val="9"/>
            <color indexed="81"/>
            <rFont val="Tahoma"/>
            <family val="2"/>
          </rPr>
          <t>DBL REV requires TWO rows!
TPL REV requires THREE rows!
QD REV requires FOUR rows!</t>
        </r>
      </text>
    </comment>
    <comment ref="J1470" authorId="1" shapeId="0">
      <text>
        <r>
          <rPr>
            <b/>
            <sz val="9"/>
            <color indexed="81"/>
            <rFont val="Tahoma"/>
            <family val="2"/>
          </rPr>
          <t>If this highlights as an error, consider upsizing the Tether size for better ribbon utilization</t>
        </r>
      </text>
    </comment>
    <comment ref="C1471" authorId="1" shapeId="0">
      <text>
        <r>
          <rPr>
            <b/>
            <sz val="9"/>
            <color indexed="81"/>
            <rFont val="Tahoma"/>
            <family val="2"/>
          </rPr>
          <t>DBL REV requires TWO rows!
TPL REV requires THREE rows!
QD REV requires FOUR rows!</t>
        </r>
      </text>
    </comment>
    <comment ref="J1471" authorId="1" shapeId="0">
      <text>
        <r>
          <rPr>
            <b/>
            <sz val="9"/>
            <color indexed="81"/>
            <rFont val="Tahoma"/>
            <family val="2"/>
          </rPr>
          <t>If this highlights as an error, consider upsizing the Tether size for better ribbon utilization</t>
        </r>
      </text>
    </comment>
    <comment ref="C1472" authorId="1" shapeId="0">
      <text>
        <r>
          <rPr>
            <b/>
            <sz val="9"/>
            <color indexed="81"/>
            <rFont val="Tahoma"/>
            <family val="2"/>
          </rPr>
          <t>DBL REV requires TWO rows!
TPL REV requires THREE rows!
QD REV requires FOUR rows!</t>
        </r>
      </text>
    </comment>
    <comment ref="J1472" authorId="1" shapeId="0">
      <text>
        <r>
          <rPr>
            <b/>
            <sz val="9"/>
            <color indexed="81"/>
            <rFont val="Tahoma"/>
            <family val="2"/>
          </rPr>
          <t>If this highlights as an error, consider upsizing the Tether size for better ribbon utilization</t>
        </r>
      </text>
    </comment>
    <comment ref="C1473" authorId="1" shapeId="0">
      <text>
        <r>
          <rPr>
            <b/>
            <sz val="9"/>
            <color indexed="81"/>
            <rFont val="Tahoma"/>
            <family val="2"/>
          </rPr>
          <t>DBL REV requires TWO rows!
TPL REV requires THREE rows!
QD REV requires FOUR rows!</t>
        </r>
      </text>
    </comment>
    <comment ref="J1473" authorId="1" shapeId="0">
      <text>
        <r>
          <rPr>
            <b/>
            <sz val="9"/>
            <color indexed="81"/>
            <rFont val="Tahoma"/>
            <family val="2"/>
          </rPr>
          <t>If this highlights as an error, consider upsizing the Tether size for better ribbon utilization</t>
        </r>
      </text>
    </comment>
    <comment ref="C1474" authorId="1" shapeId="0">
      <text>
        <r>
          <rPr>
            <b/>
            <sz val="9"/>
            <color indexed="81"/>
            <rFont val="Tahoma"/>
            <family val="2"/>
          </rPr>
          <t>DBL REV requires TWO rows!
TPL REV requires THREE rows!
QD REV requires FOUR rows!</t>
        </r>
      </text>
    </comment>
    <comment ref="J1474" authorId="1" shapeId="0">
      <text>
        <r>
          <rPr>
            <b/>
            <sz val="9"/>
            <color indexed="81"/>
            <rFont val="Tahoma"/>
            <family val="2"/>
          </rPr>
          <t>If this highlights as an error, consider upsizing the Tether size for better ribbon utilization</t>
        </r>
      </text>
    </comment>
    <comment ref="C1475" authorId="1" shapeId="0">
      <text>
        <r>
          <rPr>
            <b/>
            <sz val="9"/>
            <color indexed="81"/>
            <rFont val="Tahoma"/>
            <family val="2"/>
          </rPr>
          <t>DBL REV requires TWO rows!
TPL REV requires THREE rows!
QD REV requires FOUR rows!</t>
        </r>
      </text>
    </comment>
    <comment ref="J1475" authorId="1" shapeId="0">
      <text>
        <r>
          <rPr>
            <b/>
            <sz val="9"/>
            <color indexed="81"/>
            <rFont val="Tahoma"/>
            <family val="2"/>
          </rPr>
          <t>If this highlights as an error, consider upsizing the Tether size for better ribbon utilization</t>
        </r>
      </text>
    </comment>
    <comment ref="C1476" authorId="1" shapeId="0">
      <text>
        <r>
          <rPr>
            <b/>
            <sz val="9"/>
            <color indexed="81"/>
            <rFont val="Tahoma"/>
            <family val="2"/>
          </rPr>
          <t>DBL REV requires TWO rows!
TPL REV requires THREE rows!
QD REV requires FOUR rows!</t>
        </r>
      </text>
    </comment>
    <comment ref="J1476" authorId="1" shapeId="0">
      <text>
        <r>
          <rPr>
            <b/>
            <sz val="9"/>
            <color indexed="81"/>
            <rFont val="Tahoma"/>
            <family val="2"/>
          </rPr>
          <t>If this highlights as an error, consider upsizing the Tether size for better ribbon utilization</t>
        </r>
      </text>
    </comment>
    <comment ref="B148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text>
        <r>
          <rPr>
            <b/>
            <sz val="8"/>
            <color indexed="81"/>
            <rFont val="Tahoma"/>
            <family val="2"/>
          </rPr>
          <t>This will be added to Planning Load Block A for TOTAL</t>
        </r>
        <r>
          <rPr>
            <sz val="8"/>
            <color indexed="81"/>
            <rFont val="Tahoma"/>
            <family val="2"/>
          </rPr>
          <t xml:space="preserve">
</t>
        </r>
      </text>
    </comment>
    <comment ref="J1482" authorId="0" shapeId="0">
      <text>
        <r>
          <rPr>
            <b/>
            <sz val="8"/>
            <color indexed="81"/>
            <rFont val="Tahoma"/>
            <family val="2"/>
          </rPr>
          <t>This is the PON OUT count that is not assigned in this cable reel.</t>
        </r>
        <r>
          <rPr>
            <sz val="8"/>
            <color indexed="81"/>
            <rFont val="Tahoma"/>
            <family val="2"/>
          </rPr>
          <t xml:space="preserve">
</t>
        </r>
      </text>
    </comment>
    <comment ref="P1482" authorId="1" shapeId="0">
      <text>
        <r>
          <rPr>
            <b/>
            <sz val="9"/>
            <color indexed="81"/>
            <rFont val="Tahoma"/>
            <family val="2"/>
          </rPr>
          <t>REMEMBER: 2-Fbr Tethers are NOT available for RPX CABLE!</t>
        </r>
      </text>
    </comment>
    <comment ref="Q1482" authorId="1" shapeId="0">
      <text>
        <r>
          <rPr>
            <b/>
            <sz val="9"/>
            <color indexed="81"/>
            <rFont val="Tahoma"/>
            <family val="2"/>
          </rPr>
          <t>REMEMBER: 2-Fbr Tethers are NOT available for RPX CABLE!</t>
        </r>
      </text>
    </comment>
    <comment ref="S1482" authorId="1" shapeId="0">
      <text>
        <r>
          <rPr>
            <b/>
            <sz val="9"/>
            <color indexed="81"/>
            <rFont val="Tahoma"/>
            <family val="2"/>
          </rPr>
          <t>REMEMBER: 2-Fbr Tethers are NOT available for RPX CABLE!</t>
        </r>
      </text>
    </comment>
    <comment ref="T1482" authorId="1" shapeId="0">
      <text>
        <r>
          <rPr>
            <b/>
            <sz val="9"/>
            <color indexed="81"/>
            <rFont val="Tahoma"/>
            <family val="2"/>
          </rPr>
          <t>REMEMBER: 2-Fbr Tethers are NOT available for RPX CABLE!</t>
        </r>
      </text>
    </comment>
    <comment ref="B148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text>
        <r>
          <rPr>
            <b/>
            <sz val="8"/>
            <color indexed="81"/>
            <rFont val="Tahoma"/>
            <family val="2"/>
          </rPr>
          <t>Make sure you add this number to "TAT FIBERS ASSIGNED" for the total required in the Load Block on the prints.</t>
        </r>
      </text>
    </comment>
    <comment ref="G1483" authorId="0" shapeId="0">
      <text>
        <r>
          <rPr>
            <b/>
            <sz val="8"/>
            <color indexed="81"/>
            <rFont val="Tahoma"/>
            <family val="2"/>
          </rPr>
          <t>Includes "DEAD" Count (No PON count assigned)</t>
        </r>
      </text>
    </comment>
    <comment ref="I148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text>
        <r>
          <rPr>
            <b/>
            <sz val="9"/>
            <color indexed="81"/>
            <rFont val="Tahoma"/>
            <family val="2"/>
          </rPr>
          <t>REMEMBER: 6-Fbr Tethers are NOT available for RPX CABLE!</t>
        </r>
      </text>
    </comment>
    <comment ref="Q1484" authorId="1" shapeId="0">
      <text>
        <r>
          <rPr>
            <b/>
            <sz val="9"/>
            <color indexed="81"/>
            <rFont val="Tahoma"/>
            <family val="2"/>
          </rPr>
          <t>REMEMBER: 6-Fbr Tethers are NOT available for RPX CABLE!</t>
        </r>
      </text>
    </comment>
    <comment ref="S1484" authorId="1" shapeId="0">
      <text>
        <r>
          <rPr>
            <b/>
            <sz val="9"/>
            <color indexed="81"/>
            <rFont val="Tahoma"/>
            <family val="2"/>
          </rPr>
          <t>REMEMBER: 6-Fbr Tethers are NOT available for RPX CABLE!</t>
        </r>
      </text>
    </comment>
    <comment ref="T1484" authorId="1" shapeId="0">
      <text>
        <r>
          <rPr>
            <b/>
            <sz val="9"/>
            <color indexed="81"/>
            <rFont val="Tahoma"/>
            <family val="2"/>
          </rPr>
          <t>REMEMBER: 6-Fbr Tethers are NOT available for AERIAL CABLE!</t>
        </r>
      </text>
    </comment>
    <comment ref="B148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text>
        <r>
          <rPr>
            <b/>
            <sz val="8"/>
            <color indexed="81"/>
            <rFont val="Tahoma"/>
            <family val="2"/>
          </rPr>
          <t>These are "manufacturing rules" and general warnings</t>
        </r>
        <r>
          <rPr>
            <sz val="8"/>
            <color indexed="81"/>
            <rFont val="Tahoma"/>
            <family val="2"/>
          </rPr>
          <t xml:space="preserve">
</t>
        </r>
      </text>
    </comment>
    <comment ref="B148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text>
        <r>
          <rPr>
            <b/>
            <sz val="8"/>
            <color indexed="81"/>
            <rFont val="Tahoma"/>
            <family val="2"/>
          </rPr>
          <t>This number is a sum of TOTAL PLANNED plus the ASSIGNED TO TETHERS</t>
        </r>
        <r>
          <rPr>
            <sz val="8"/>
            <color indexed="81"/>
            <rFont val="Tahoma"/>
            <family val="2"/>
          </rPr>
          <t xml:space="preserve">
</t>
        </r>
      </text>
    </comment>
    <comment ref="Z1490" authorId="0" shapeId="0">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text>
        <r>
          <rPr>
            <b/>
            <sz val="8"/>
            <color indexed="81"/>
            <rFont val="Tahoma"/>
            <family val="2"/>
          </rPr>
          <t>Counting from High count Backwards- this is Fiber Strand 133</t>
        </r>
      </text>
    </comment>
    <comment ref="AB1490" authorId="0" shapeId="0">
      <text>
        <r>
          <rPr>
            <b/>
            <sz val="8"/>
            <color indexed="81"/>
            <rFont val="Tahoma"/>
            <family val="2"/>
          </rPr>
          <t>Counting from High count Backwards- this is Fiber Strand 144</t>
        </r>
        <r>
          <rPr>
            <sz val="8"/>
            <color indexed="81"/>
            <rFont val="Tahoma"/>
            <family val="2"/>
          </rPr>
          <t xml:space="preserve">
</t>
        </r>
      </text>
    </comment>
    <comment ref="C1491" authorId="0" shapeId="0">
      <text>
        <r>
          <rPr>
            <b/>
            <sz val="8"/>
            <color indexed="81"/>
            <rFont val="Tahoma"/>
            <family val="2"/>
          </rPr>
          <t xml:space="preserve">Select if this tether will be used to feed a CFST or a lateral cable. </t>
        </r>
      </text>
    </comment>
    <comment ref="D1491" authorId="0" shapeId="0">
      <text>
        <r>
          <rPr>
            <b/>
            <sz val="8"/>
            <color indexed="81"/>
            <rFont val="Tahoma"/>
            <family val="2"/>
          </rPr>
          <t>Note the Terminal Address to keep your locations straight</t>
        </r>
        <r>
          <rPr>
            <sz val="8"/>
            <color indexed="81"/>
            <rFont val="Tahoma"/>
            <family val="2"/>
          </rPr>
          <t xml:space="preserve">
</t>
        </r>
      </text>
    </comment>
    <comment ref="E1491" authorId="0" shapeId="0">
      <text>
        <r>
          <rPr>
            <b/>
            <sz val="9"/>
            <color indexed="81"/>
            <rFont val="Calibri"/>
            <family val="2"/>
            <scheme val="minor"/>
          </rPr>
          <t>Pick the Tether Size for the location</t>
        </r>
        <r>
          <rPr>
            <sz val="8"/>
            <color indexed="81"/>
            <rFont val="Tahoma"/>
            <family val="2"/>
          </rPr>
          <t xml:space="preserve">
</t>
        </r>
      </text>
    </comment>
    <comment ref="F1491" authorId="2" shapeId="0">
      <text>
        <r>
          <rPr>
            <b/>
            <sz val="9"/>
            <color indexed="81"/>
            <rFont val="Tahoma"/>
            <family val="2"/>
          </rPr>
          <t>Identify TCF or FST location.
Leave blank if tether is NOT for a TCF or FST!</t>
        </r>
      </text>
    </comment>
    <comment ref="H1491" authorId="0" shapeId="0">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text>
        <r>
          <rPr>
            <b/>
            <sz val="8"/>
            <color indexed="81"/>
            <rFont val="Tahoma"/>
            <family val="2"/>
          </rPr>
          <t>If any of these numbers are negative, check your PON count and Cable size</t>
        </r>
      </text>
    </comment>
    <comment ref="J149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text>
        <r>
          <rPr>
            <b/>
            <sz val="9"/>
            <color indexed="81"/>
            <rFont val="Tahoma"/>
            <family val="2"/>
          </rPr>
          <t>Leave blank if using 10' Terminal Tail
Enter Tail length if greater than 10'</t>
        </r>
      </text>
    </comment>
    <comment ref="M1491" authorId="0" shapeId="0">
      <text>
        <r>
          <rPr>
            <b/>
            <sz val="8"/>
            <color indexed="81"/>
            <rFont val="Tahoma"/>
            <family val="2"/>
          </rPr>
          <t>Make design notes such as slack coils, realingment loops,  or location notes</t>
        </r>
      </text>
    </comment>
    <comment ref="Z1491" authorId="0" shapeId="0">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text>
        <r>
          <rPr>
            <b/>
            <sz val="8"/>
            <color indexed="81"/>
            <rFont val="Tahoma"/>
            <family val="2"/>
          </rPr>
          <t xml:space="preserve">Counting from High count Backwards- this is Fiber Strand 145
</t>
        </r>
      </text>
    </comment>
    <comment ref="AB1491" authorId="0" shapeId="0">
      <text>
        <r>
          <rPr>
            <b/>
            <sz val="8"/>
            <color indexed="81"/>
            <rFont val="Tahoma"/>
            <family val="2"/>
          </rPr>
          <t>Counting from High count Backwards- this is Fiber Strand 156</t>
        </r>
      </text>
    </comment>
    <comment ref="J1493" authorId="1" shapeId="0">
      <text>
        <r>
          <rPr>
            <b/>
            <sz val="9"/>
            <color indexed="81"/>
            <rFont val="Tahoma"/>
            <family val="2"/>
          </rPr>
          <t>If this highlights as an error, consider upsizing the Tether size for better ribbon utilization</t>
        </r>
      </text>
    </comment>
    <comment ref="J1494" authorId="1" shapeId="0">
      <text>
        <r>
          <rPr>
            <b/>
            <sz val="9"/>
            <color indexed="81"/>
            <rFont val="Tahoma"/>
            <family val="2"/>
          </rPr>
          <t>If this highlights as an error, consider upsizing the Tether size for better ribbon utilization</t>
        </r>
      </text>
    </comment>
    <comment ref="J1495" authorId="1" shapeId="0">
      <text>
        <r>
          <rPr>
            <b/>
            <sz val="9"/>
            <color indexed="81"/>
            <rFont val="Tahoma"/>
            <family val="2"/>
          </rPr>
          <t>If this highlights as an error, consider upsizing the Tether size for better ribbon utilization</t>
        </r>
      </text>
    </comment>
    <comment ref="J1496" authorId="1" shapeId="0">
      <text>
        <r>
          <rPr>
            <b/>
            <sz val="9"/>
            <color indexed="81"/>
            <rFont val="Tahoma"/>
            <family val="2"/>
          </rPr>
          <t>If this highlights as an error, consider upsizing the Tether size for better ribbon utilization</t>
        </r>
      </text>
    </comment>
    <comment ref="J1497" authorId="1" shapeId="0">
      <text>
        <r>
          <rPr>
            <b/>
            <sz val="9"/>
            <color indexed="81"/>
            <rFont val="Tahoma"/>
            <family val="2"/>
          </rPr>
          <t>If this highlights as an error, consider upsizing the Tether size for better ribbon utilization</t>
        </r>
      </text>
    </comment>
    <comment ref="J1498" authorId="1" shapeId="0">
      <text>
        <r>
          <rPr>
            <b/>
            <sz val="9"/>
            <color indexed="81"/>
            <rFont val="Tahoma"/>
            <family val="2"/>
          </rPr>
          <t>If this highlights as an error, consider upsizing the Tether size for better ribbon utilization</t>
        </r>
      </text>
    </comment>
    <comment ref="J1499" authorId="1" shapeId="0">
      <text>
        <r>
          <rPr>
            <b/>
            <sz val="9"/>
            <color indexed="81"/>
            <rFont val="Tahoma"/>
            <family val="2"/>
          </rPr>
          <t>If this highlights as an error, consider upsizing the Tether size for better ribbon utilization</t>
        </r>
      </text>
    </comment>
    <comment ref="J1500" authorId="1" shapeId="0">
      <text>
        <r>
          <rPr>
            <b/>
            <sz val="9"/>
            <color indexed="81"/>
            <rFont val="Tahoma"/>
            <family val="2"/>
          </rPr>
          <t>If this highlights as an error, consider upsizing the Tether size for better ribbon utilization</t>
        </r>
      </text>
    </comment>
    <comment ref="J1501" authorId="1" shapeId="0">
      <text>
        <r>
          <rPr>
            <b/>
            <sz val="9"/>
            <color indexed="81"/>
            <rFont val="Tahoma"/>
            <family val="2"/>
          </rPr>
          <t>If this highlights as an error, consider upsizing the Tether size for better ribbon utilization</t>
        </r>
      </text>
    </comment>
    <comment ref="J1502" authorId="1" shapeId="0">
      <text>
        <r>
          <rPr>
            <b/>
            <sz val="9"/>
            <color indexed="81"/>
            <rFont val="Tahoma"/>
            <family val="2"/>
          </rPr>
          <t>If this highlights as an error, consider upsizing the Tether size for better ribbon utilization</t>
        </r>
      </text>
    </comment>
    <comment ref="J1503" authorId="1" shapeId="0">
      <text>
        <r>
          <rPr>
            <b/>
            <sz val="9"/>
            <color indexed="81"/>
            <rFont val="Tahoma"/>
            <family val="2"/>
          </rPr>
          <t>If this highlights as an error, consider upsizing the Tether size for better ribbon utilization</t>
        </r>
      </text>
    </comment>
    <comment ref="J1504" authorId="1" shapeId="0">
      <text>
        <r>
          <rPr>
            <b/>
            <sz val="9"/>
            <color indexed="81"/>
            <rFont val="Tahoma"/>
            <family val="2"/>
          </rPr>
          <t>If this highlights as an error, consider upsizing the Tether size for better ribbon utilization</t>
        </r>
      </text>
    </comment>
    <comment ref="J1505" authorId="1" shapeId="0">
      <text>
        <r>
          <rPr>
            <b/>
            <sz val="9"/>
            <color indexed="81"/>
            <rFont val="Tahoma"/>
            <family val="2"/>
          </rPr>
          <t>If this highlights as an error, consider upsizing the Tether size for better ribbon utilization</t>
        </r>
      </text>
    </comment>
    <comment ref="J1506" authorId="1" shapeId="0">
      <text>
        <r>
          <rPr>
            <b/>
            <sz val="9"/>
            <color indexed="81"/>
            <rFont val="Tahoma"/>
            <family val="2"/>
          </rPr>
          <t>If this highlights as an error, consider upsizing the Tether size for better ribbon utilization</t>
        </r>
      </text>
    </comment>
    <comment ref="J1507" authorId="1" shapeId="0">
      <text>
        <r>
          <rPr>
            <b/>
            <sz val="9"/>
            <color indexed="81"/>
            <rFont val="Tahoma"/>
            <family val="2"/>
          </rPr>
          <t>If this highlights as an error, consider upsizing the Tether size for better ribbon utilization</t>
        </r>
      </text>
    </comment>
    <comment ref="J1508" authorId="1" shapeId="0">
      <text>
        <r>
          <rPr>
            <b/>
            <sz val="9"/>
            <color indexed="81"/>
            <rFont val="Tahoma"/>
            <family val="2"/>
          </rPr>
          <t>If this highlights as an error, consider upsizing the Tether size for better ribbon utilization</t>
        </r>
      </text>
    </comment>
    <comment ref="J1509" authorId="1" shapeId="0">
      <text>
        <r>
          <rPr>
            <b/>
            <sz val="9"/>
            <color indexed="81"/>
            <rFont val="Tahoma"/>
            <family val="2"/>
          </rPr>
          <t>If this highlights as an error, consider upsizing the Tether size for better ribbon utilization</t>
        </r>
      </text>
    </comment>
    <comment ref="J1510" authorId="1" shapeId="0">
      <text>
        <r>
          <rPr>
            <b/>
            <sz val="9"/>
            <color indexed="81"/>
            <rFont val="Tahoma"/>
            <family val="2"/>
          </rPr>
          <t>If this highlights as an error, consider upsizing the Tether size for better ribbon utilization</t>
        </r>
      </text>
    </comment>
    <comment ref="C1511" authorId="1" shapeId="0">
      <text>
        <r>
          <rPr>
            <b/>
            <sz val="9"/>
            <color indexed="81"/>
            <rFont val="Tahoma"/>
            <family val="2"/>
          </rPr>
          <t>DBL REV requires TWO rows!
TPL REV requires THREE rows!
QD REV requires FOUR rows!</t>
        </r>
      </text>
    </comment>
    <comment ref="J1511" authorId="1" shapeId="0">
      <text>
        <r>
          <rPr>
            <b/>
            <sz val="9"/>
            <color indexed="81"/>
            <rFont val="Tahoma"/>
            <family val="2"/>
          </rPr>
          <t>If this highlights as an error, consider upsizing the Tether size for better ribbon utilization</t>
        </r>
      </text>
    </comment>
    <comment ref="C1512" authorId="1" shapeId="0">
      <text>
        <r>
          <rPr>
            <b/>
            <sz val="9"/>
            <color indexed="81"/>
            <rFont val="Tahoma"/>
            <family val="2"/>
          </rPr>
          <t>DBL REV requires TWO rows!
TPL REV requires THREE rows!
QD REV requires FOUR rows!</t>
        </r>
      </text>
    </comment>
    <comment ref="J1512" authorId="1" shapeId="0">
      <text>
        <r>
          <rPr>
            <b/>
            <sz val="9"/>
            <color indexed="81"/>
            <rFont val="Tahoma"/>
            <family val="2"/>
          </rPr>
          <t>If this highlights as an error, consider upsizing the Tether size for better ribbon utilization</t>
        </r>
      </text>
    </comment>
    <comment ref="C1513" authorId="1" shapeId="0">
      <text>
        <r>
          <rPr>
            <b/>
            <sz val="9"/>
            <color indexed="81"/>
            <rFont val="Tahoma"/>
            <family val="2"/>
          </rPr>
          <t>DBL REV requires TWO rows!
TPL REV requires THREE rows!
QD REV requires FOUR rows!</t>
        </r>
      </text>
    </comment>
    <comment ref="J1513" authorId="1" shapeId="0">
      <text>
        <r>
          <rPr>
            <b/>
            <sz val="9"/>
            <color indexed="81"/>
            <rFont val="Tahoma"/>
            <family val="2"/>
          </rPr>
          <t>If this highlights as an error, consider upsizing the Tether size for better ribbon utilization</t>
        </r>
      </text>
    </comment>
    <comment ref="C1514" authorId="1" shapeId="0">
      <text>
        <r>
          <rPr>
            <b/>
            <sz val="9"/>
            <color indexed="81"/>
            <rFont val="Tahoma"/>
            <family val="2"/>
          </rPr>
          <t>DBL REV requires TWO rows!
TPL REV requires THREE rows!
QD REV requires FOUR rows!</t>
        </r>
      </text>
    </comment>
    <comment ref="J1514" authorId="1" shapeId="0">
      <text>
        <r>
          <rPr>
            <b/>
            <sz val="9"/>
            <color indexed="81"/>
            <rFont val="Tahoma"/>
            <family val="2"/>
          </rPr>
          <t>If this highlights as an error, consider upsizing the Tether size for better ribbon utilization</t>
        </r>
      </text>
    </comment>
    <comment ref="C1515" authorId="1" shapeId="0">
      <text>
        <r>
          <rPr>
            <b/>
            <sz val="9"/>
            <color indexed="81"/>
            <rFont val="Tahoma"/>
            <family val="2"/>
          </rPr>
          <t>DBL REV requires TWO rows!
TPL REV requires THREE rows!
QD REV requires FOUR rows!</t>
        </r>
      </text>
    </comment>
    <comment ref="J1515" authorId="1" shapeId="0">
      <text>
        <r>
          <rPr>
            <b/>
            <sz val="9"/>
            <color indexed="81"/>
            <rFont val="Tahoma"/>
            <family val="2"/>
          </rPr>
          <t>If this highlights as an error, consider upsizing the Tether size for better ribbon utilization</t>
        </r>
      </text>
    </comment>
    <comment ref="C1516" authorId="1" shapeId="0">
      <text>
        <r>
          <rPr>
            <b/>
            <sz val="9"/>
            <color indexed="81"/>
            <rFont val="Tahoma"/>
            <family val="2"/>
          </rPr>
          <t>DBL REV requires TWO rows!
TPL REV requires THREE rows!
QD REV requires FOUR rows!</t>
        </r>
      </text>
    </comment>
    <comment ref="J1516" authorId="1" shapeId="0">
      <text>
        <r>
          <rPr>
            <b/>
            <sz val="9"/>
            <color indexed="81"/>
            <rFont val="Tahoma"/>
            <family val="2"/>
          </rPr>
          <t>If this highlights as an error, consider upsizing the Tether size for better ribbon utilization</t>
        </r>
      </text>
    </comment>
    <comment ref="C1517" authorId="1" shapeId="0">
      <text>
        <r>
          <rPr>
            <b/>
            <sz val="9"/>
            <color indexed="81"/>
            <rFont val="Tahoma"/>
            <family val="2"/>
          </rPr>
          <t>DBL REV requires TWO rows!
TPL REV requires THREE rows!
QD REV requires FOUR rows!</t>
        </r>
      </text>
    </comment>
    <comment ref="J1517" authorId="1" shapeId="0">
      <text>
        <r>
          <rPr>
            <b/>
            <sz val="9"/>
            <color indexed="81"/>
            <rFont val="Tahoma"/>
            <family val="2"/>
          </rPr>
          <t>If this highlights as an error, consider upsizing the Tether size for better ribbon utilization</t>
        </r>
      </text>
    </comment>
    <comment ref="B152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text>
        <r>
          <rPr>
            <b/>
            <sz val="8"/>
            <color indexed="81"/>
            <rFont val="Tahoma"/>
            <family val="2"/>
          </rPr>
          <t>This will be added to Planning Load Block A for TOTAL</t>
        </r>
        <r>
          <rPr>
            <sz val="8"/>
            <color indexed="81"/>
            <rFont val="Tahoma"/>
            <family val="2"/>
          </rPr>
          <t xml:space="preserve">
</t>
        </r>
      </text>
    </comment>
    <comment ref="J1523" authorId="0" shapeId="0">
      <text>
        <r>
          <rPr>
            <b/>
            <sz val="8"/>
            <color indexed="81"/>
            <rFont val="Tahoma"/>
            <family val="2"/>
          </rPr>
          <t>This is the PON OUT count that is not assigned in this cable reel.</t>
        </r>
        <r>
          <rPr>
            <sz val="8"/>
            <color indexed="81"/>
            <rFont val="Tahoma"/>
            <family val="2"/>
          </rPr>
          <t xml:space="preserve">
</t>
        </r>
      </text>
    </comment>
    <comment ref="P1523" authorId="1" shapeId="0">
      <text>
        <r>
          <rPr>
            <b/>
            <sz val="9"/>
            <color indexed="81"/>
            <rFont val="Tahoma"/>
            <family val="2"/>
          </rPr>
          <t>REMEMBER: 2-Fbr Tethers are NOT available for RPX CABLE!</t>
        </r>
      </text>
    </comment>
    <comment ref="Q1523" authorId="1" shapeId="0">
      <text>
        <r>
          <rPr>
            <b/>
            <sz val="9"/>
            <color indexed="81"/>
            <rFont val="Tahoma"/>
            <family val="2"/>
          </rPr>
          <t>REMEMBER: 2-Fbr Tethers are NOT available for RPX CABLE!</t>
        </r>
      </text>
    </comment>
    <comment ref="S1523" authorId="1" shapeId="0">
      <text>
        <r>
          <rPr>
            <b/>
            <sz val="9"/>
            <color indexed="81"/>
            <rFont val="Tahoma"/>
            <family val="2"/>
          </rPr>
          <t>REMEMBER: 2-Fbr Tethers are NOT available for RPX CABLE!</t>
        </r>
      </text>
    </comment>
    <comment ref="T1523" authorId="1" shapeId="0">
      <text>
        <r>
          <rPr>
            <b/>
            <sz val="9"/>
            <color indexed="81"/>
            <rFont val="Tahoma"/>
            <family val="2"/>
          </rPr>
          <t>REMEMBER: 2-Fbr Tethers are NOT available for RPX CABLE!</t>
        </r>
      </text>
    </comment>
    <comment ref="B152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text>
        <r>
          <rPr>
            <b/>
            <sz val="8"/>
            <color indexed="81"/>
            <rFont val="Tahoma"/>
            <family val="2"/>
          </rPr>
          <t>Make sure you add this number to "TAT FIBERS ASSIGNED" for the total required in the Load Block on the prints.</t>
        </r>
      </text>
    </comment>
    <comment ref="G1524" authorId="0" shapeId="0">
      <text>
        <r>
          <rPr>
            <b/>
            <sz val="8"/>
            <color indexed="81"/>
            <rFont val="Tahoma"/>
            <family val="2"/>
          </rPr>
          <t>Includes "DEAD" Count (No PON count assigned)</t>
        </r>
      </text>
    </comment>
    <comment ref="I152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text>
        <r>
          <rPr>
            <b/>
            <sz val="9"/>
            <color indexed="81"/>
            <rFont val="Tahoma"/>
            <family val="2"/>
          </rPr>
          <t>REMEMBER: 6-Fbr Tethers are NOT available for RPX CABLE!</t>
        </r>
      </text>
    </comment>
    <comment ref="Q1525" authorId="1" shapeId="0">
      <text>
        <r>
          <rPr>
            <b/>
            <sz val="9"/>
            <color indexed="81"/>
            <rFont val="Tahoma"/>
            <family val="2"/>
          </rPr>
          <t>REMEMBER: 6-Fbr Tethers are NOT available for RPX CABLE!</t>
        </r>
      </text>
    </comment>
    <comment ref="S1525" authorId="1" shapeId="0">
      <text>
        <r>
          <rPr>
            <b/>
            <sz val="9"/>
            <color indexed="81"/>
            <rFont val="Tahoma"/>
            <family val="2"/>
          </rPr>
          <t>REMEMBER: 6-Fbr Tethers are NOT available for RPX CABLE!</t>
        </r>
      </text>
    </comment>
    <comment ref="T1525" authorId="1" shapeId="0">
      <text>
        <r>
          <rPr>
            <b/>
            <sz val="9"/>
            <color indexed="81"/>
            <rFont val="Tahoma"/>
            <family val="2"/>
          </rPr>
          <t>REMEMBER: 6-Fbr Tethers are NOT available for AERIAL CABLE!</t>
        </r>
      </text>
    </comment>
    <comment ref="B152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text>
        <r>
          <rPr>
            <b/>
            <sz val="8"/>
            <color indexed="81"/>
            <rFont val="Tahoma"/>
            <family val="2"/>
          </rPr>
          <t>These are "manufacturing rules" and general warnings</t>
        </r>
        <r>
          <rPr>
            <sz val="8"/>
            <color indexed="81"/>
            <rFont val="Tahoma"/>
            <family val="2"/>
          </rPr>
          <t xml:space="preserve">
</t>
        </r>
      </text>
    </comment>
    <comment ref="B152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text>
        <r>
          <rPr>
            <b/>
            <sz val="8"/>
            <color indexed="81"/>
            <rFont val="Tahoma"/>
            <family val="2"/>
          </rPr>
          <t>This number is a sum of TOTAL PLANNED plus the ASSIGNED TO TETHERS</t>
        </r>
        <r>
          <rPr>
            <sz val="8"/>
            <color indexed="81"/>
            <rFont val="Tahoma"/>
            <family val="2"/>
          </rPr>
          <t xml:space="preserve">
</t>
        </r>
      </text>
    </comment>
    <comment ref="Z1531" authorId="0" shapeId="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text>
        <r>
          <rPr>
            <b/>
            <sz val="8"/>
            <color indexed="81"/>
            <rFont val="Tahoma"/>
            <family val="2"/>
          </rPr>
          <t>Counting from High count Backwards- this is Fiber Strand 133</t>
        </r>
      </text>
    </comment>
    <comment ref="AB1531" authorId="0" shapeId="0">
      <text>
        <r>
          <rPr>
            <b/>
            <sz val="8"/>
            <color indexed="81"/>
            <rFont val="Tahoma"/>
            <family val="2"/>
          </rPr>
          <t>Counting from High count Backwards- this is Fiber Strand 144</t>
        </r>
        <r>
          <rPr>
            <sz val="8"/>
            <color indexed="81"/>
            <rFont val="Tahoma"/>
            <family val="2"/>
          </rPr>
          <t xml:space="preserve">
</t>
        </r>
      </text>
    </comment>
    <comment ref="C1532" authorId="0" shapeId="0">
      <text>
        <r>
          <rPr>
            <b/>
            <sz val="8"/>
            <color indexed="81"/>
            <rFont val="Tahoma"/>
            <family val="2"/>
          </rPr>
          <t xml:space="preserve">Select if this tether will be used to feed a CFST or a lateral cable. </t>
        </r>
      </text>
    </comment>
    <comment ref="D1532" authorId="0" shapeId="0">
      <text>
        <r>
          <rPr>
            <b/>
            <sz val="8"/>
            <color indexed="81"/>
            <rFont val="Tahoma"/>
            <family val="2"/>
          </rPr>
          <t>Note the Terminal Address to keep your locations straight</t>
        </r>
        <r>
          <rPr>
            <sz val="8"/>
            <color indexed="81"/>
            <rFont val="Tahoma"/>
            <family val="2"/>
          </rPr>
          <t xml:space="preserve">
</t>
        </r>
      </text>
    </comment>
    <comment ref="E1532" authorId="0" shapeId="0">
      <text>
        <r>
          <rPr>
            <b/>
            <sz val="9"/>
            <color indexed="81"/>
            <rFont val="Calibri"/>
            <family val="2"/>
            <scheme val="minor"/>
          </rPr>
          <t>Pick the Tether Size for the location</t>
        </r>
        <r>
          <rPr>
            <sz val="8"/>
            <color indexed="81"/>
            <rFont val="Tahoma"/>
            <family val="2"/>
          </rPr>
          <t xml:space="preserve">
</t>
        </r>
      </text>
    </comment>
    <comment ref="F1532" authorId="2" shapeId="0">
      <text>
        <r>
          <rPr>
            <b/>
            <sz val="9"/>
            <color indexed="81"/>
            <rFont val="Tahoma"/>
            <family val="2"/>
          </rPr>
          <t>Identify TCF or FST location.
Leave blank if tether is NOT for a TCF or FST!</t>
        </r>
      </text>
    </comment>
    <comment ref="H1532" authorId="0" shapeId="0">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text>
        <r>
          <rPr>
            <b/>
            <sz val="8"/>
            <color indexed="81"/>
            <rFont val="Tahoma"/>
            <family val="2"/>
          </rPr>
          <t>If any of these numbers are negative, check your PON count and Cable size</t>
        </r>
      </text>
    </comment>
    <comment ref="J153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text>
        <r>
          <rPr>
            <b/>
            <sz val="9"/>
            <color indexed="81"/>
            <rFont val="Tahoma"/>
            <family val="2"/>
          </rPr>
          <t>Leave blank if using 10' Terminal Tail
Enter Tail length if greater than 10'</t>
        </r>
      </text>
    </comment>
    <comment ref="M1532" authorId="0" shapeId="0">
      <text>
        <r>
          <rPr>
            <b/>
            <sz val="8"/>
            <color indexed="81"/>
            <rFont val="Tahoma"/>
            <family val="2"/>
          </rPr>
          <t>Make design notes such as slack coils, realingment loops,  or location notes</t>
        </r>
      </text>
    </comment>
    <comment ref="Z1532" authorId="0" shapeId="0">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text>
        <r>
          <rPr>
            <b/>
            <sz val="8"/>
            <color indexed="81"/>
            <rFont val="Tahoma"/>
            <family val="2"/>
          </rPr>
          <t xml:space="preserve">Counting from High count Backwards- this is Fiber Strand 145
</t>
        </r>
      </text>
    </comment>
    <comment ref="AB1532" authorId="0" shapeId="0">
      <text>
        <r>
          <rPr>
            <b/>
            <sz val="8"/>
            <color indexed="81"/>
            <rFont val="Tahoma"/>
            <family val="2"/>
          </rPr>
          <t>Counting from High count Backwards- this is Fiber Strand 156</t>
        </r>
      </text>
    </comment>
    <comment ref="J1534" authorId="1" shapeId="0">
      <text>
        <r>
          <rPr>
            <b/>
            <sz val="9"/>
            <color indexed="81"/>
            <rFont val="Tahoma"/>
            <family val="2"/>
          </rPr>
          <t>If this highlights as an error, consider upsizing the Tether size for better ribbon utilization</t>
        </r>
      </text>
    </comment>
    <comment ref="J1535" authorId="1" shapeId="0">
      <text>
        <r>
          <rPr>
            <b/>
            <sz val="9"/>
            <color indexed="81"/>
            <rFont val="Tahoma"/>
            <family val="2"/>
          </rPr>
          <t>If this highlights as an error, consider upsizing the Tether size for better ribbon utilization</t>
        </r>
      </text>
    </comment>
    <comment ref="J1536" authorId="1" shapeId="0">
      <text>
        <r>
          <rPr>
            <b/>
            <sz val="9"/>
            <color indexed="81"/>
            <rFont val="Tahoma"/>
            <family val="2"/>
          </rPr>
          <t>If this highlights as an error, consider upsizing the Tether size for better ribbon utilization</t>
        </r>
      </text>
    </comment>
    <comment ref="J1537" authorId="1" shapeId="0">
      <text>
        <r>
          <rPr>
            <b/>
            <sz val="9"/>
            <color indexed="81"/>
            <rFont val="Tahoma"/>
            <family val="2"/>
          </rPr>
          <t>If this highlights as an error, consider upsizing the Tether size for better ribbon utilization</t>
        </r>
      </text>
    </comment>
    <comment ref="J1538" authorId="1" shapeId="0">
      <text>
        <r>
          <rPr>
            <b/>
            <sz val="9"/>
            <color indexed="81"/>
            <rFont val="Tahoma"/>
            <family val="2"/>
          </rPr>
          <t>If this highlights as an error, consider upsizing the Tether size for better ribbon utilization</t>
        </r>
      </text>
    </comment>
    <comment ref="J1539" authorId="1" shapeId="0">
      <text>
        <r>
          <rPr>
            <b/>
            <sz val="9"/>
            <color indexed="81"/>
            <rFont val="Tahoma"/>
            <family val="2"/>
          </rPr>
          <t>If this highlights as an error, consider upsizing the Tether size for better ribbon utilization</t>
        </r>
      </text>
    </comment>
    <comment ref="J1540" authorId="1" shapeId="0">
      <text>
        <r>
          <rPr>
            <b/>
            <sz val="9"/>
            <color indexed="81"/>
            <rFont val="Tahoma"/>
            <family val="2"/>
          </rPr>
          <t>If this highlights as an error, consider upsizing the Tether size for better ribbon utilization</t>
        </r>
      </text>
    </comment>
    <comment ref="J1541" authorId="1" shapeId="0">
      <text>
        <r>
          <rPr>
            <b/>
            <sz val="9"/>
            <color indexed="81"/>
            <rFont val="Tahoma"/>
            <family val="2"/>
          </rPr>
          <t>If this highlights as an error, consider upsizing the Tether size for better ribbon utilization</t>
        </r>
      </text>
    </comment>
    <comment ref="J1542" authorId="1" shapeId="0">
      <text>
        <r>
          <rPr>
            <b/>
            <sz val="9"/>
            <color indexed="81"/>
            <rFont val="Tahoma"/>
            <family val="2"/>
          </rPr>
          <t>If this highlights as an error, consider upsizing the Tether size for better ribbon utilization</t>
        </r>
      </text>
    </comment>
    <comment ref="J1543" authorId="1" shapeId="0">
      <text>
        <r>
          <rPr>
            <b/>
            <sz val="9"/>
            <color indexed="81"/>
            <rFont val="Tahoma"/>
            <family val="2"/>
          </rPr>
          <t>If this highlights as an error, consider upsizing the Tether size for better ribbon utilization</t>
        </r>
      </text>
    </comment>
    <comment ref="J1544" authorId="1" shapeId="0">
      <text>
        <r>
          <rPr>
            <b/>
            <sz val="9"/>
            <color indexed="81"/>
            <rFont val="Tahoma"/>
            <family val="2"/>
          </rPr>
          <t>If this highlights as an error, consider upsizing the Tether size for better ribbon utilization</t>
        </r>
      </text>
    </comment>
    <comment ref="J1545" authorId="1" shapeId="0">
      <text>
        <r>
          <rPr>
            <b/>
            <sz val="9"/>
            <color indexed="81"/>
            <rFont val="Tahoma"/>
            <family val="2"/>
          </rPr>
          <t>If this highlights as an error, consider upsizing the Tether size for better ribbon utilization</t>
        </r>
      </text>
    </comment>
    <comment ref="J1546" authorId="1" shapeId="0">
      <text>
        <r>
          <rPr>
            <b/>
            <sz val="9"/>
            <color indexed="81"/>
            <rFont val="Tahoma"/>
            <family val="2"/>
          </rPr>
          <t>If this highlights as an error, consider upsizing the Tether size for better ribbon utilization</t>
        </r>
      </text>
    </comment>
    <comment ref="J1547" authorId="1" shapeId="0">
      <text>
        <r>
          <rPr>
            <b/>
            <sz val="9"/>
            <color indexed="81"/>
            <rFont val="Tahoma"/>
            <family val="2"/>
          </rPr>
          <t>If this highlights as an error, consider upsizing the Tether size for better ribbon utilization</t>
        </r>
      </text>
    </comment>
    <comment ref="J1548" authorId="1" shapeId="0">
      <text>
        <r>
          <rPr>
            <b/>
            <sz val="9"/>
            <color indexed="81"/>
            <rFont val="Tahoma"/>
            <family val="2"/>
          </rPr>
          <t>If this highlights as an error, consider upsizing the Tether size for better ribbon utilization</t>
        </r>
      </text>
    </comment>
    <comment ref="J1549" authorId="1" shapeId="0">
      <text>
        <r>
          <rPr>
            <b/>
            <sz val="9"/>
            <color indexed="81"/>
            <rFont val="Tahoma"/>
            <family val="2"/>
          </rPr>
          <t>If this highlights as an error, consider upsizing the Tether size for better ribbon utilization</t>
        </r>
      </text>
    </comment>
    <comment ref="J1550" authorId="1" shapeId="0">
      <text>
        <r>
          <rPr>
            <b/>
            <sz val="9"/>
            <color indexed="81"/>
            <rFont val="Tahoma"/>
            <family val="2"/>
          </rPr>
          <t>If this highlights as an error, consider upsizing the Tether size for better ribbon utilization</t>
        </r>
      </text>
    </comment>
    <comment ref="J1551" authorId="1" shapeId="0">
      <text>
        <r>
          <rPr>
            <b/>
            <sz val="9"/>
            <color indexed="81"/>
            <rFont val="Tahoma"/>
            <family val="2"/>
          </rPr>
          <t>If this highlights as an error, consider upsizing the Tether size for better ribbon utilization</t>
        </r>
      </text>
    </comment>
    <comment ref="C1552" authorId="1" shapeId="0">
      <text>
        <r>
          <rPr>
            <b/>
            <sz val="9"/>
            <color indexed="81"/>
            <rFont val="Tahoma"/>
            <family val="2"/>
          </rPr>
          <t>DBL REV requires TWO rows!
TPL REV requires THREE rows!
QD REV requires FOUR rows!</t>
        </r>
      </text>
    </comment>
    <comment ref="J1552" authorId="1" shapeId="0">
      <text>
        <r>
          <rPr>
            <b/>
            <sz val="9"/>
            <color indexed="81"/>
            <rFont val="Tahoma"/>
            <family val="2"/>
          </rPr>
          <t>If this highlights as an error, consider upsizing the Tether size for better ribbon utilization</t>
        </r>
      </text>
    </comment>
    <comment ref="C1553" authorId="1" shapeId="0">
      <text>
        <r>
          <rPr>
            <b/>
            <sz val="9"/>
            <color indexed="81"/>
            <rFont val="Tahoma"/>
            <family val="2"/>
          </rPr>
          <t>DBL REV requires TWO rows!
TPL REV requires THREE rows!
QD REV requires FOUR rows!</t>
        </r>
      </text>
    </comment>
    <comment ref="J1553" authorId="1" shapeId="0">
      <text>
        <r>
          <rPr>
            <b/>
            <sz val="9"/>
            <color indexed="81"/>
            <rFont val="Tahoma"/>
            <family val="2"/>
          </rPr>
          <t>If this highlights as an error, consider upsizing the Tether size for better ribbon utilization</t>
        </r>
      </text>
    </comment>
    <comment ref="C1554" authorId="1" shapeId="0">
      <text>
        <r>
          <rPr>
            <b/>
            <sz val="9"/>
            <color indexed="81"/>
            <rFont val="Tahoma"/>
            <family val="2"/>
          </rPr>
          <t>DBL REV requires TWO rows!
TPL REV requires THREE rows!
QD REV requires FOUR rows!</t>
        </r>
      </text>
    </comment>
    <comment ref="J1554" authorId="1" shapeId="0">
      <text>
        <r>
          <rPr>
            <b/>
            <sz val="9"/>
            <color indexed="81"/>
            <rFont val="Tahoma"/>
            <family val="2"/>
          </rPr>
          <t>If this highlights as an error, consider upsizing the Tether size for better ribbon utilization</t>
        </r>
      </text>
    </comment>
    <comment ref="C1555" authorId="1" shapeId="0">
      <text>
        <r>
          <rPr>
            <b/>
            <sz val="9"/>
            <color indexed="81"/>
            <rFont val="Tahoma"/>
            <family val="2"/>
          </rPr>
          <t>DBL REV requires TWO rows!
TPL REV requires THREE rows!
QD REV requires FOUR rows!</t>
        </r>
      </text>
    </comment>
    <comment ref="J1555" authorId="1" shapeId="0">
      <text>
        <r>
          <rPr>
            <b/>
            <sz val="9"/>
            <color indexed="81"/>
            <rFont val="Tahoma"/>
            <family val="2"/>
          </rPr>
          <t>If this highlights as an error, consider upsizing the Tether size for better ribbon utilization</t>
        </r>
      </text>
    </comment>
    <comment ref="C1556" authorId="1" shapeId="0">
      <text>
        <r>
          <rPr>
            <b/>
            <sz val="9"/>
            <color indexed="81"/>
            <rFont val="Tahoma"/>
            <family val="2"/>
          </rPr>
          <t>DBL REV requires TWO rows!
TPL REV requires THREE rows!
QD REV requires FOUR rows!</t>
        </r>
      </text>
    </comment>
    <comment ref="J1556" authorId="1" shapeId="0">
      <text>
        <r>
          <rPr>
            <b/>
            <sz val="9"/>
            <color indexed="81"/>
            <rFont val="Tahoma"/>
            <family val="2"/>
          </rPr>
          <t>If this highlights as an error, consider upsizing the Tether size for better ribbon utilization</t>
        </r>
      </text>
    </comment>
    <comment ref="C1557" authorId="1" shapeId="0">
      <text>
        <r>
          <rPr>
            <b/>
            <sz val="9"/>
            <color indexed="81"/>
            <rFont val="Tahoma"/>
            <family val="2"/>
          </rPr>
          <t>DBL REV requires TWO rows!
TPL REV requires THREE rows!
QD REV requires FOUR rows!</t>
        </r>
      </text>
    </comment>
    <comment ref="J1557" authorId="1" shapeId="0">
      <text>
        <r>
          <rPr>
            <b/>
            <sz val="9"/>
            <color indexed="81"/>
            <rFont val="Tahoma"/>
            <family val="2"/>
          </rPr>
          <t>If this highlights as an error, consider upsizing the Tether size for better ribbon utilization</t>
        </r>
      </text>
    </comment>
    <comment ref="C1558" authorId="1" shapeId="0">
      <text>
        <r>
          <rPr>
            <b/>
            <sz val="9"/>
            <color indexed="81"/>
            <rFont val="Tahoma"/>
            <family val="2"/>
          </rPr>
          <t>DBL REV requires TWO rows!
TPL REV requires THREE rows!
QD REV requires FOUR rows!</t>
        </r>
      </text>
    </comment>
    <comment ref="J1558" authorId="1" shapeId="0">
      <text>
        <r>
          <rPr>
            <b/>
            <sz val="9"/>
            <color indexed="81"/>
            <rFont val="Tahoma"/>
            <family val="2"/>
          </rPr>
          <t>If this highlights as an error, consider upsizing the Tether size for better ribbon utilization</t>
        </r>
      </text>
    </comment>
    <comment ref="B156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text>
        <r>
          <rPr>
            <b/>
            <sz val="8"/>
            <color indexed="81"/>
            <rFont val="Tahoma"/>
            <family val="2"/>
          </rPr>
          <t>This will be added to Planning Load Block A for TOTAL</t>
        </r>
        <r>
          <rPr>
            <sz val="8"/>
            <color indexed="81"/>
            <rFont val="Tahoma"/>
            <family val="2"/>
          </rPr>
          <t xml:space="preserve">
</t>
        </r>
      </text>
    </comment>
    <comment ref="J1564" authorId="0" shapeId="0">
      <text>
        <r>
          <rPr>
            <b/>
            <sz val="8"/>
            <color indexed="81"/>
            <rFont val="Tahoma"/>
            <family val="2"/>
          </rPr>
          <t>This is the PON OUT count that is not assigned in this cable reel.</t>
        </r>
        <r>
          <rPr>
            <sz val="8"/>
            <color indexed="81"/>
            <rFont val="Tahoma"/>
            <family val="2"/>
          </rPr>
          <t xml:space="preserve">
</t>
        </r>
      </text>
    </comment>
    <comment ref="P1564" authorId="1" shapeId="0">
      <text>
        <r>
          <rPr>
            <b/>
            <sz val="9"/>
            <color indexed="81"/>
            <rFont val="Tahoma"/>
            <family val="2"/>
          </rPr>
          <t>REMEMBER: 2-Fbr Tethers are NOT available for RPX CABLE!</t>
        </r>
      </text>
    </comment>
    <comment ref="Q1564" authorId="1" shapeId="0">
      <text>
        <r>
          <rPr>
            <b/>
            <sz val="9"/>
            <color indexed="81"/>
            <rFont val="Tahoma"/>
            <family val="2"/>
          </rPr>
          <t>REMEMBER: 2-Fbr Tethers are NOT available for RPX CABLE!</t>
        </r>
      </text>
    </comment>
    <comment ref="S1564" authorId="1" shapeId="0">
      <text>
        <r>
          <rPr>
            <b/>
            <sz val="9"/>
            <color indexed="81"/>
            <rFont val="Tahoma"/>
            <family val="2"/>
          </rPr>
          <t>REMEMBER: 2-Fbr Tethers are NOT available for RPX CABLE!</t>
        </r>
      </text>
    </comment>
    <comment ref="T1564" authorId="1" shapeId="0">
      <text>
        <r>
          <rPr>
            <b/>
            <sz val="9"/>
            <color indexed="81"/>
            <rFont val="Tahoma"/>
            <family val="2"/>
          </rPr>
          <t>REMEMBER: 2-Fbr Tethers are NOT available for RPX CABLE!</t>
        </r>
      </text>
    </comment>
    <comment ref="B156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text>
        <r>
          <rPr>
            <b/>
            <sz val="8"/>
            <color indexed="81"/>
            <rFont val="Tahoma"/>
            <family val="2"/>
          </rPr>
          <t>Make sure you add this number to "TAT FIBERS ASSIGNED" for the total required in the Load Block on the prints.</t>
        </r>
      </text>
    </comment>
    <comment ref="G1565" authorId="0" shapeId="0">
      <text>
        <r>
          <rPr>
            <b/>
            <sz val="8"/>
            <color indexed="81"/>
            <rFont val="Tahoma"/>
            <family val="2"/>
          </rPr>
          <t>Includes "DEAD" Count (No PON count assigned)</t>
        </r>
      </text>
    </comment>
    <comment ref="I156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text>
        <r>
          <rPr>
            <b/>
            <sz val="9"/>
            <color indexed="81"/>
            <rFont val="Tahoma"/>
            <family val="2"/>
          </rPr>
          <t>REMEMBER: 6-Fbr Tethers are NOT available for RPX CABLE!</t>
        </r>
      </text>
    </comment>
    <comment ref="Q1566" authorId="1" shapeId="0">
      <text>
        <r>
          <rPr>
            <b/>
            <sz val="9"/>
            <color indexed="81"/>
            <rFont val="Tahoma"/>
            <family val="2"/>
          </rPr>
          <t>REMEMBER: 6-Fbr Tethers are NOT available for RPX CABLE!</t>
        </r>
      </text>
    </comment>
    <comment ref="S1566" authorId="1" shapeId="0">
      <text>
        <r>
          <rPr>
            <b/>
            <sz val="9"/>
            <color indexed="81"/>
            <rFont val="Tahoma"/>
            <family val="2"/>
          </rPr>
          <t>REMEMBER: 6-Fbr Tethers are NOT available for RPX CABLE!</t>
        </r>
      </text>
    </comment>
    <comment ref="T1566" authorId="1" shapeId="0">
      <text>
        <r>
          <rPr>
            <b/>
            <sz val="9"/>
            <color indexed="81"/>
            <rFont val="Tahoma"/>
            <family val="2"/>
          </rPr>
          <t>REMEMBER: 6-Fbr Tethers are NOT available for AERIAL CABLE!</t>
        </r>
      </text>
    </comment>
    <comment ref="B156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text>
        <r>
          <rPr>
            <b/>
            <sz val="8"/>
            <color indexed="81"/>
            <rFont val="Tahoma"/>
            <family val="2"/>
          </rPr>
          <t>These are "manufacturing rules" and general warnings</t>
        </r>
        <r>
          <rPr>
            <sz val="8"/>
            <color indexed="81"/>
            <rFont val="Tahoma"/>
            <family val="2"/>
          </rPr>
          <t xml:space="preserve">
</t>
        </r>
      </text>
    </comment>
    <comment ref="B157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text>
        <r>
          <rPr>
            <b/>
            <sz val="8"/>
            <color indexed="81"/>
            <rFont val="Tahoma"/>
            <family val="2"/>
          </rPr>
          <t>This number is a sum of TOTAL PLANNED plus the ASSIGNED TO TETHERS</t>
        </r>
        <r>
          <rPr>
            <sz val="8"/>
            <color indexed="81"/>
            <rFont val="Tahoma"/>
            <family val="2"/>
          </rPr>
          <t xml:space="preserve">
</t>
        </r>
      </text>
    </comment>
    <comment ref="Z1572" authorId="0" shapeId="0">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text>
        <r>
          <rPr>
            <b/>
            <sz val="8"/>
            <color indexed="81"/>
            <rFont val="Tahoma"/>
            <family val="2"/>
          </rPr>
          <t>Counting from High count Backwards- this is Fiber Strand 133</t>
        </r>
      </text>
    </comment>
    <comment ref="AB1572" authorId="0" shapeId="0">
      <text>
        <r>
          <rPr>
            <b/>
            <sz val="8"/>
            <color indexed="81"/>
            <rFont val="Tahoma"/>
            <family val="2"/>
          </rPr>
          <t>Counting from High count Backwards- this is Fiber Strand 144</t>
        </r>
        <r>
          <rPr>
            <sz val="8"/>
            <color indexed="81"/>
            <rFont val="Tahoma"/>
            <family val="2"/>
          </rPr>
          <t xml:space="preserve">
</t>
        </r>
      </text>
    </comment>
    <comment ref="C1573" authorId="0" shapeId="0">
      <text>
        <r>
          <rPr>
            <b/>
            <sz val="8"/>
            <color indexed="81"/>
            <rFont val="Tahoma"/>
            <family val="2"/>
          </rPr>
          <t xml:space="preserve">Select if this tether will be used to feed a CFST or a lateral cable. </t>
        </r>
      </text>
    </comment>
    <comment ref="D1573" authorId="0" shapeId="0">
      <text>
        <r>
          <rPr>
            <b/>
            <sz val="8"/>
            <color indexed="81"/>
            <rFont val="Tahoma"/>
            <family val="2"/>
          </rPr>
          <t>Note the Terminal Address to keep your locations straight</t>
        </r>
        <r>
          <rPr>
            <sz val="8"/>
            <color indexed="81"/>
            <rFont val="Tahoma"/>
            <family val="2"/>
          </rPr>
          <t xml:space="preserve">
</t>
        </r>
      </text>
    </comment>
    <comment ref="E1573" authorId="0" shapeId="0">
      <text>
        <r>
          <rPr>
            <b/>
            <sz val="9"/>
            <color indexed="81"/>
            <rFont val="Calibri"/>
            <family val="2"/>
            <scheme val="minor"/>
          </rPr>
          <t>Pick the Tether Size for the location</t>
        </r>
        <r>
          <rPr>
            <sz val="8"/>
            <color indexed="81"/>
            <rFont val="Tahoma"/>
            <family val="2"/>
          </rPr>
          <t xml:space="preserve">
</t>
        </r>
      </text>
    </comment>
    <comment ref="F1573" authorId="2" shapeId="0">
      <text>
        <r>
          <rPr>
            <b/>
            <sz val="9"/>
            <color indexed="81"/>
            <rFont val="Tahoma"/>
            <family val="2"/>
          </rPr>
          <t>Identify TCF or FST location.
Leave blank if tether is NOT for a TCF or FST!</t>
        </r>
      </text>
    </comment>
    <comment ref="H1573" authorId="0" shapeId="0">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text>
        <r>
          <rPr>
            <b/>
            <sz val="8"/>
            <color indexed="81"/>
            <rFont val="Tahoma"/>
            <family val="2"/>
          </rPr>
          <t>If any of these numbers are negative, check your PON count and Cable size</t>
        </r>
      </text>
    </comment>
    <comment ref="J157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text>
        <r>
          <rPr>
            <b/>
            <sz val="9"/>
            <color indexed="81"/>
            <rFont val="Tahoma"/>
            <family val="2"/>
          </rPr>
          <t>Leave blank if using 10' Terminal Tail
Enter Tail length if greater than 10'</t>
        </r>
      </text>
    </comment>
    <comment ref="M1573" authorId="0" shapeId="0">
      <text>
        <r>
          <rPr>
            <b/>
            <sz val="8"/>
            <color indexed="81"/>
            <rFont val="Tahoma"/>
            <family val="2"/>
          </rPr>
          <t>Make design notes such as slack coils, realingment loops,  or location notes</t>
        </r>
      </text>
    </comment>
    <comment ref="Z1573" authorId="0" shapeId="0">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text>
        <r>
          <rPr>
            <b/>
            <sz val="8"/>
            <color indexed="81"/>
            <rFont val="Tahoma"/>
            <family val="2"/>
          </rPr>
          <t xml:space="preserve">Counting from High count Backwards- this is Fiber Strand 145
</t>
        </r>
      </text>
    </comment>
    <comment ref="AB1573" authorId="0" shapeId="0">
      <text>
        <r>
          <rPr>
            <b/>
            <sz val="8"/>
            <color indexed="81"/>
            <rFont val="Tahoma"/>
            <family val="2"/>
          </rPr>
          <t>Counting from High count Backwards- this is Fiber Strand 156</t>
        </r>
      </text>
    </comment>
    <comment ref="J1575" authorId="1" shapeId="0">
      <text>
        <r>
          <rPr>
            <b/>
            <sz val="9"/>
            <color indexed="81"/>
            <rFont val="Tahoma"/>
            <family val="2"/>
          </rPr>
          <t>If this highlights as an error, consider upsizing the Tether size for better ribbon utilization</t>
        </r>
      </text>
    </comment>
    <comment ref="J1576" authorId="1" shapeId="0">
      <text>
        <r>
          <rPr>
            <b/>
            <sz val="9"/>
            <color indexed="81"/>
            <rFont val="Tahoma"/>
            <family val="2"/>
          </rPr>
          <t>If this highlights as an error, consider upsizing the Tether size for better ribbon utilization</t>
        </r>
      </text>
    </comment>
    <comment ref="J1577" authorId="1" shapeId="0">
      <text>
        <r>
          <rPr>
            <b/>
            <sz val="9"/>
            <color indexed="81"/>
            <rFont val="Tahoma"/>
            <family val="2"/>
          </rPr>
          <t>If this highlights as an error, consider upsizing the Tether size for better ribbon utilization</t>
        </r>
      </text>
    </comment>
    <comment ref="J1578" authorId="1" shapeId="0">
      <text>
        <r>
          <rPr>
            <b/>
            <sz val="9"/>
            <color indexed="81"/>
            <rFont val="Tahoma"/>
            <family val="2"/>
          </rPr>
          <t>If this highlights as an error, consider upsizing the Tether size for better ribbon utilization</t>
        </r>
      </text>
    </comment>
    <comment ref="J1579" authorId="1" shapeId="0">
      <text>
        <r>
          <rPr>
            <b/>
            <sz val="9"/>
            <color indexed="81"/>
            <rFont val="Tahoma"/>
            <family val="2"/>
          </rPr>
          <t>If this highlights as an error, consider upsizing the Tether size for better ribbon utilization</t>
        </r>
      </text>
    </comment>
    <comment ref="J1580" authorId="1" shapeId="0">
      <text>
        <r>
          <rPr>
            <b/>
            <sz val="9"/>
            <color indexed="81"/>
            <rFont val="Tahoma"/>
            <family val="2"/>
          </rPr>
          <t>If this highlights as an error, consider upsizing the Tether size for better ribbon utilization</t>
        </r>
      </text>
    </comment>
    <comment ref="J1581" authorId="1" shapeId="0">
      <text>
        <r>
          <rPr>
            <b/>
            <sz val="9"/>
            <color indexed="81"/>
            <rFont val="Tahoma"/>
            <family val="2"/>
          </rPr>
          <t>If this highlights as an error, consider upsizing the Tether size for better ribbon utilization</t>
        </r>
      </text>
    </comment>
    <comment ref="J1582" authorId="1" shapeId="0">
      <text>
        <r>
          <rPr>
            <b/>
            <sz val="9"/>
            <color indexed="81"/>
            <rFont val="Tahoma"/>
            <family val="2"/>
          </rPr>
          <t>If this highlights as an error, consider upsizing the Tether size for better ribbon utilization</t>
        </r>
      </text>
    </comment>
    <comment ref="J1583" authorId="1" shapeId="0">
      <text>
        <r>
          <rPr>
            <b/>
            <sz val="9"/>
            <color indexed="81"/>
            <rFont val="Tahoma"/>
            <family val="2"/>
          </rPr>
          <t>If this highlights as an error, consider upsizing the Tether size for better ribbon utilization</t>
        </r>
      </text>
    </comment>
    <comment ref="J1584" authorId="1" shapeId="0">
      <text>
        <r>
          <rPr>
            <b/>
            <sz val="9"/>
            <color indexed="81"/>
            <rFont val="Tahoma"/>
            <family val="2"/>
          </rPr>
          <t>If this highlights as an error, consider upsizing the Tether size for better ribbon utilization</t>
        </r>
      </text>
    </comment>
    <comment ref="J1585" authorId="1" shapeId="0">
      <text>
        <r>
          <rPr>
            <b/>
            <sz val="9"/>
            <color indexed="81"/>
            <rFont val="Tahoma"/>
            <family val="2"/>
          </rPr>
          <t>If this highlights as an error, consider upsizing the Tether size for better ribbon utilization</t>
        </r>
      </text>
    </comment>
    <comment ref="J1586" authorId="1" shapeId="0">
      <text>
        <r>
          <rPr>
            <b/>
            <sz val="9"/>
            <color indexed="81"/>
            <rFont val="Tahoma"/>
            <family val="2"/>
          </rPr>
          <t>If this highlights as an error, consider upsizing the Tether size for better ribbon utilization</t>
        </r>
      </text>
    </comment>
    <comment ref="J1587" authorId="1" shapeId="0">
      <text>
        <r>
          <rPr>
            <b/>
            <sz val="9"/>
            <color indexed="81"/>
            <rFont val="Tahoma"/>
            <family val="2"/>
          </rPr>
          <t>If this highlights as an error, consider upsizing the Tether size for better ribbon utilization</t>
        </r>
      </text>
    </comment>
    <comment ref="J1588" authorId="1" shapeId="0">
      <text>
        <r>
          <rPr>
            <b/>
            <sz val="9"/>
            <color indexed="81"/>
            <rFont val="Tahoma"/>
            <family val="2"/>
          </rPr>
          <t>If this highlights as an error, consider upsizing the Tether size for better ribbon utilization</t>
        </r>
      </text>
    </comment>
    <comment ref="J1589" authorId="1" shapeId="0">
      <text>
        <r>
          <rPr>
            <b/>
            <sz val="9"/>
            <color indexed="81"/>
            <rFont val="Tahoma"/>
            <family val="2"/>
          </rPr>
          <t>If this highlights as an error, consider upsizing the Tether size for better ribbon utilization</t>
        </r>
      </text>
    </comment>
    <comment ref="J1590" authorId="1" shapeId="0">
      <text>
        <r>
          <rPr>
            <b/>
            <sz val="9"/>
            <color indexed="81"/>
            <rFont val="Tahoma"/>
            <family val="2"/>
          </rPr>
          <t>If this highlights as an error, consider upsizing the Tether size for better ribbon utilization</t>
        </r>
      </text>
    </comment>
    <comment ref="J1591" authorId="1" shapeId="0">
      <text>
        <r>
          <rPr>
            <b/>
            <sz val="9"/>
            <color indexed="81"/>
            <rFont val="Tahoma"/>
            <family val="2"/>
          </rPr>
          <t>If this highlights as an error, consider upsizing the Tether size for better ribbon utilization</t>
        </r>
      </text>
    </comment>
    <comment ref="J1592" authorId="1" shapeId="0">
      <text>
        <r>
          <rPr>
            <b/>
            <sz val="9"/>
            <color indexed="81"/>
            <rFont val="Tahoma"/>
            <family val="2"/>
          </rPr>
          <t>If this highlights as an error, consider upsizing the Tether size for better ribbon utilization</t>
        </r>
      </text>
    </comment>
    <comment ref="C1593" authorId="1" shapeId="0">
      <text>
        <r>
          <rPr>
            <b/>
            <sz val="9"/>
            <color indexed="81"/>
            <rFont val="Tahoma"/>
            <family val="2"/>
          </rPr>
          <t>DBL REV requires TWO rows!
TPL REV requires THREE rows!
QD REV requires FOUR rows!</t>
        </r>
      </text>
    </comment>
    <comment ref="J1593" authorId="1" shapeId="0">
      <text>
        <r>
          <rPr>
            <b/>
            <sz val="9"/>
            <color indexed="81"/>
            <rFont val="Tahoma"/>
            <family val="2"/>
          </rPr>
          <t>If this highlights as an error, consider upsizing the Tether size for better ribbon utilization</t>
        </r>
      </text>
    </comment>
    <comment ref="C1594" authorId="1" shapeId="0">
      <text>
        <r>
          <rPr>
            <b/>
            <sz val="9"/>
            <color indexed="81"/>
            <rFont val="Tahoma"/>
            <family val="2"/>
          </rPr>
          <t>DBL REV requires TWO rows!
TPL REV requires THREE rows!
QD REV requires FOUR rows!</t>
        </r>
      </text>
    </comment>
    <comment ref="J1594" authorId="1" shapeId="0">
      <text>
        <r>
          <rPr>
            <b/>
            <sz val="9"/>
            <color indexed="81"/>
            <rFont val="Tahoma"/>
            <family val="2"/>
          </rPr>
          <t>If this highlights as an error, consider upsizing the Tether size for better ribbon utilization</t>
        </r>
      </text>
    </comment>
    <comment ref="C1595" authorId="1" shapeId="0">
      <text>
        <r>
          <rPr>
            <b/>
            <sz val="9"/>
            <color indexed="81"/>
            <rFont val="Tahoma"/>
            <family val="2"/>
          </rPr>
          <t>DBL REV requires TWO rows!
TPL REV requires THREE rows!
QD REV requires FOUR rows!</t>
        </r>
      </text>
    </comment>
    <comment ref="J1595" authorId="1" shapeId="0">
      <text>
        <r>
          <rPr>
            <b/>
            <sz val="9"/>
            <color indexed="81"/>
            <rFont val="Tahoma"/>
            <family val="2"/>
          </rPr>
          <t>If this highlights as an error, consider upsizing the Tether size for better ribbon utilization</t>
        </r>
      </text>
    </comment>
    <comment ref="C1596" authorId="1" shapeId="0">
      <text>
        <r>
          <rPr>
            <b/>
            <sz val="9"/>
            <color indexed="81"/>
            <rFont val="Tahoma"/>
            <family val="2"/>
          </rPr>
          <t>DBL REV requires TWO rows!
TPL REV requires THREE rows!
QD REV requires FOUR rows!</t>
        </r>
      </text>
    </comment>
    <comment ref="J1596" authorId="1" shapeId="0">
      <text>
        <r>
          <rPr>
            <b/>
            <sz val="9"/>
            <color indexed="81"/>
            <rFont val="Tahoma"/>
            <family val="2"/>
          </rPr>
          <t>If this highlights as an error, consider upsizing the Tether size for better ribbon utilization</t>
        </r>
      </text>
    </comment>
    <comment ref="C1597" authorId="1" shapeId="0">
      <text>
        <r>
          <rPr>
            <b/>
            <sz val="9"/>
            <color indexed="81"/>
            <rFont val="Tahoma"/>
            <family val="2"/>
          </rPr>
          <t>DBL REV requires TWO rows!
TPL REV requires THREE rows!
QD REV requires FOUR rows!</t>
        </r>
      </text>
    </comment>
    <comment ref="J1597" authorId="1" shapeId="0">
      <text>
        <r>
          <rPr>
            <b/>
            <sz val="9"/>
            <color indexed="81"/>
            <rFont val="Tahoma"/>
            <family val="2"/>
          </rPr>
          <t>If this highlights as an error, consider upsizing the Tether size for better ribbon utilization</t>
        </r>
      </text>
    </comment>
    <comment ref="C1598" authorId="1" shapeId="0">
      <text>
        <r>
          <rPr>
            <b/>
            <sz val="9"/>
            <color indexed="81"/>
            <rFont val="Tahoma"/>
            <family val="2"/>
          </rPr>
          <t>DBL REV requires TWO rows!
TPL REV requires THREE rows!
QD REV requires FOUR rows!</t>
        </r>
      </text>
    </comment>
    <comment ref="J1598" authorId="1" shapeId="0">
      <text>
        <r>
          <rPr>
            <b/>
            <sz val="9"/>
            <color indexed="81"/>
            <rFont val="Tahoma"/>
            <family val="2"/>
          </rPr>
          <t>If this highlights as an error, consider upsizing the Tether size for better ribbon utilization</t>
        </r>
      </text>
    </comment>
    <comment ref="C1599" authorId="1" shapeId="0">
      <text>
        <r>
          <rPr>
            <b/>
            <sz val="9"/>
            <color indexed="81"/>
            <rFont val="Tahoma"/>
            <family val="2"/>
          </rPr>
          <t>DBL REV requires TWO rows!
TPL REV requires THREE rows!
QD REV requires FOUR rows!</t>
        </r>
      </text>
    </comment>
    <comment ref="J1599" authorId="1" shapeId="0">
      <text>
        <r>
          <rPr>
            <b/>
            <sz val="9"/>
            <color indexed="81"/>
            <rFont val="Tahoma"/>
            <family val="2"/>
          </rPr>
          <t>If this highlights as an error, consider upsizing the Tether size for better ribbon utilization</t>
        </r>
      </text>
    </comment>
    <comment ref="B160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text>
        <r>
          <rPr>
            <b/>
            <sz val="8"/>
            <color indexed="81"/>
            <rFont val="Tahoma"/>
            <family val="2"/>
          </rPr>
          <t>This will be added to Planning Load Block A for TOTAL</t>
        </r>
        <r>
          <rPr>
            <sz val="8"/>
            <color indexed="81"/>
            <rFont val="Tahoma"/>
            <family val="2"/>
          </rPr>
          <t xml:space="preserve">
</t>
        </r>
      </text>
    </comment>
    <comment ref="J1605" authorId="0" shapeId="0">
      <text>
        <r>
          <rPr>
            <b/>
            <sz val="8"/>
            <color indexed="81"/>
            <rFont val="Tahoma"/>
            <family val="2"/>
          </rPr>
          <t>This is the PON OUT count that is not assigned in this cable reel.</t>
        </r>
        <r>
          <rPr>
            <sz val="8"/>
            <color indexed="81"/>
            <rFont val="Tahoma"/>
            <family val="2"/>
          </rPr>
          <t xml:space="preserve">
</t>
        </r>
      </text>
    </comment>
    <comment ref="P1605" authorId="1" shapeId="0">
      <text>
        <r>
          <rPr>
            <b/>
            <sz val="9"/>
            <color indexed="81"/>
            <rFont val="Tahoma"/>
            <family val="2"/>
          </rPr>
          <t>REMEMBER: 2-Fbr Tethers are NOT available for RPX CABLE!</t>
        </r>
      </text>
    </comment>
    <comment ref="Q1605" authorId="1" shapeId="0">
      <text>
        <r>
          <rPr>
            <b/>
            <sz val="9"/>
            <color indexed="81"/>
            <rFont val="Tahoma"/>
            <family val="2"/>
          </rPr>
          <t>REMEMBER: 2-Fbr Tethers are NOT available for RPX CABLE!</t>
        </r>
      </text>
    </comment>
    <comment ref="S1605" authorId="1" shapeId="0">
      <text>
        <r>
          <rPr>
            <b/>
            <sz val="9"/>
            <color indexed="81"/>
            <rFont val="Tahoma"/>
            <family val="2"/>
          </rPr>
          <t>REMEMBER: 2-Fbr Tethers are NOT available for RPX CABLE!</t>
        </r>
      </text>
    </comment>
    <comment ref="T1605" authorId="1" shapeId="0">
      <text>
        <r>
          <rPr>
            <b/>
            <sz val="9"/>
            <color indexed="81"/>
            <rFont val="Tahoma"/>
            <family val="2"/>
          </rPr>
          <t>REMEMBER: 2-Fbr Tethers are NOT available for RPX CABLE!</t>
        </r>
      </text>
    </comment>
    <comment ref="B160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text>
        <r>
          <rPr>
            <b/>
            <sz val="8"/>
            <color indexed="81"/>
            <rFont val="Tahoma"/>
            <family val="2"/>
          </rPr>
          <t>Make sure you add this number to "TAT FIBERS ASSIGNED" for the total required in the Load Block on the prints.</t>
        </r>
      </text>
    </comment>
    <comment ref="G1606" authorId="0" shapeId="0">
      <text>
        <r>
          <rPr>
            <b/>
            <sz val="8"/>
            <color indexed="81"/>
            <rFont val="Tahoma"/>
            <family val="2"/>
          </rPr>
          <t>Includes "DEAD" Count (No PON count assigned)</t>
        </r>
      </text>
    </comment>
    <comment ref="I160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text>
        <r>
          <rPr>
            <b/>
            <sz val="9"/>
            <color indexed="81"/>
            <rFont val="Tahoma"/>
            <family val="2"/>
          </rPr>
          <t>REMEMBER: 6-Fbr Tethers are NOT available for RPX CABLE!</t>
        </r>
      </text>
    </comment>
    <comment ref="Q1607" authorId="1" shapeId="0">
      <text>
        <r>
          <rPr>
            <b/>
            <sz val="9"/>
            <color indexed="81"/>
            <rFont val="Tahoma"/>
            <family val="2"/>
          </rPr>
          <t>REMEMBER: 6-Fbr Tethers are NOT available for RPX CABLE!</t>
        </r>
      </text>
    </comment>
    <comment ref="S1607" authorId="1" shapeId="0">
      <text>
        <r>
          <rPr>
            <b/>
            <sz val="9"/>
            <color indexed="81"/>
            <rFont val="Tahoma"/>
            <family val="2"/>
          </rPr>
          <t>REMEMBER: 6-Fbr Tethers are NOT available for RPX CABLE!</t>
        </r>
      </text>
    </comment>
    <comment ref="T1607" authorId="1" shapeId="0">
      <text>
        <r>
          <rPr>
            <b/>
            <sz val="9"/>
            <color indexed="81"/>
            <rFont val="Tahoma"/>
            <family val="2"/>
          </rPr>
          <t>REMEMBER: 6-Fbr Tethers are NOT available for AERIAL CABLE!</t>
        </r>
      </text>
    </comment>
    <comment ref="B160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text>
        <r>
          <rPr>
            <b/>
            <sz val="8"/>
            <color indexed="81"/>
            <rFont val="Tahoma"/>
            <family val="2"/>
          </rPr>
          <t>These are "manufacturing rules" and general warnings</t>
        </r>
        <r>
          <rPr>
            <sz val="8"/>
            <color indexed="81"/>
            <rFont val="Tahoma"/>
            <family val="2"/>
          </rPr>
          <t xml:space="preserve">
</t>
        </r>
      </text>
    </comment>
    <comment ref="B161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text>
        <r>
          <rPr>
            <b/>
            <sz val="8"/>
            <color indexed="81"/>
            <rFont val="Tahoma"/>
            <family val="2"/>
          </rPr>
          <t>This number is a sum of TOTAL PLANNED plus the ASSIGNED TO TETHERS</t>
        </r>
        <r>
          <rPr>
            <sz val="8"/>
            <color indexed="81"/>
            <rFont val="Tahoma"/>
            <family val="2"/>
          </rPr>
          <t xml:space="preserve">
</t>
        </r>
      </text>
    </comment>
    <comment ref="Z1613" authorId="0" shapeId="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text>
        <r>
          <rPr>
            <b/>
            <sz val="8"/>
            <color indexed="81"/>
            <rFont val="Tahoma"/>
            <family val="2"/>
          </rPr>
          <t>Counting from High count Backwards- this is Fiber Strand 133</t>
        </r>
      </text>
    </comment>
    <comment ref="AB1613" authorId="0" shapeId="0">
      <text>
        <r>
          <rPr>
            <b/>
            <sz val="8"/>
            <color indexed="81"/>
            <rFont val="Tahoma"/>
            <family val="2"/>
          </rPr>
          <t>Counting from High count Backwards- this is Fiber Strand 144</t>
        </r>
        <r>
          <rPr>
            <sz val="8"/>
            <color indexed="81"/>
            <rFont val="Tahoma"/>
            <family val="2"/>
          </rPr>
          <t xml:space="preserve">
</t>
        </r>
      </text>
    </comment>
    <comment ref="C1614" authorId="0" shapeId="0">
      <text>
        <r>
          <rPr>
            <b/>
            <sz val="8"/>
            <color indexed="81"/>
            <rFont val="Tahoma"/>
            <family val="2"/>
          </rPr>
          <t xml:space="preserve">Select if this tether will be used to feed a CFST or a lateral cable. </t>
        </r>
      </text>
    </comment>
    <comment ref="D1614" authorId="0" shapeId="0">
      <text>
        <r>
          <rPr>
            <b/>
            <sz val="8"/>
            <color indexed="81"/>
            <rFont val="Tahoma"/>
            <family val="2"/>
          </rPr>
          <t>Note the Terminal Address to keep your locations straight</t>
        </r>
        <r>
          <rPr>
            <sz val="8"/>
            <color indexed="81"/>
            <rFont val="Tahoma"/>
            <family val="2"/>
          </rPr>
          <t xml:space="preserve">
</t>
        </r>
      </text>
    </comment>
    <comment ref="E1614" authorId="0" shapeId="0">
      <text>
        <r>
          <rPr>
            <b/>
            <sz val="9"/>
            <color indexed="81"/>
            <rFont val="Calibri"/>
            <family val="2"/>
            <scheme val="minor"/>
          </rPr>
          <t>Pick the Tether Size for the location</t>
        </r>
        <r>
          <rPr>
            <sz val="8"/>
            <color indexed="81"/>
            <rFont val="Tahoma"/>
            <family val="2"/>
          </rPr>
          <t xml:space="preserve">
</t>
        </r>
      </text>
    </comment>
    <comment ref="F1614" authorId="2" shapeId="0">
      <text>
        <r>
          <rPr>
            <b/>
            <sz val="9"/>
            <color indexed="81"/>
            <rFont val="Tahoma"/>
            <family val="2"/>
          </rPr>
          <t>Identify TCF or FST location.
Leave blank if tether is NOT for a TCF or FST!</t>
        </r>
      </text>
    </comment>
    <comment ref="H1614" authorId="0" shapeId="0">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text>
        <r>
          <rPr>
            <b/>
            <sz val="8"/>
            <color indexed="81"/>
            <rFont val="Tahoma"/>
            <family val="2"/>
          </rPr>
          <t>If any of these numbers are negative, check your PON count and Cable size</t>
        </r>
      </text>
    </comment>
    <comment ref="J161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text>
        <r>
          <rPr>
            <b/>
            <sz val="9"/>
            <color indexed="81"/>
            <rFont val="Tahoma"/>
            <family val="2"/>
          </rPr>
          <t>Leave blank if using 10' Terminal Tail
Enter Tail length if greater than 10'</t>
        </r>
      </text>
    </comment>
    <comment ref="M1614" authorId="0" shapeId="0">
      <text>
        <r>
          <rPr>
            <b/>
            <sz val="8"/>
            <color indexed="81"/>
            <rFont val="Tahoma"/>
            <family val="2"/>
          </rPr>
          <t>Make design notes such as slack coils, realingment loops,  or location notes</t>
        </r>
      </text>
    </comment>
    <comment ref="Z1614" authorId="0" shapeId="0">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text>
        <r>
          <rPr>
            <b/>
            <sz val="8"/>
            <color indexed="81"/>
            <rFont val="Tahoma"/>
            <family val="2"/>
          </rPr>
          <t xml:space="preserve">Counting from High count Backwards- this is Fiber Strand 145
</t>
        </r>
      </text>
    </comment>
    <comment ref="AB1614" authorId="0" shapeId="0">
      <text>
        <r>
          <rPr>
            <b/>
            <sz val="8"/>
            <color indexed="81"/>
            <rFont val="Tahoma"/>
            <family val="2"/>
          </rPr>
          <t>Counting from High count Backwards- this is Fiber Strand 156</t>
        </r>
      </text>
    </comment>
    <comment ref="J1616" authorId="1" shapeId="0">
      <text>
        <r>
          <rPr>
            <b/>
            <sz val="9"/>
            <color indexed="81"/>
            <rFont val="Tahoma"/>
            <family val="2"/>
          </rPr>
          <t>If this highlights as an error, consider upsizing the Tether size for better ribbon utilization</t>
        </r>
      </text>
    </comment>
    <comment ref="J1617" authorId="1" shapeId="0">
      <text>
        <r>
          <rPr>
            <b/>
            <sz val="9"/>
            <color indexed="81"/>
            <rFont val="Tahoma"/>
            <family val="2"/>
          </rPr>
          <t>If this highlights as an error, consider upsizing the Tether size for better ribbon utilization</t>
        </r>
      </text>
    </comment>
    <comment ref="J1618" authorId="1" shapeId="0">
      <text>
        <r>
          <rPr>
            <b/>
            <sz val="9"/>
            <color indexed="81"/>
            <rFont val="Tahoma"/>
            <family val="2"/>
          </rPr>
          <t>If this highlights as an error, consider upsizing the Tether size for better ribbon utilization</t>
        </r>
      </text>
    </comment>
    <comment ref="J1619" authorId="1" shapeId="0">
      <text>
        <r>
          <rPr>
            <b/>
            <sz val="9"/>
            <color indexed="81"/>
            <rFont val="Tahoma"/>
            <family val="2"/>
          </rPr>
          <t>If this highlights as an error, consider upsizing the Tether size for better ribbon utilization</t>
        </r>
      </text>
    </comment>
    <comment ref="J1620" authorId="1" shapeId="0">
      <text>
        <r>
          <rPr>
            <b/>
            <sz val="9"/>
            <color indexed="81"/>
            <rFont val="Tahoma"/>
            <family val="2"/>
          </rPr>
          <t>If this highlights as an error, consider upsizing the Tether size for better ribbon utilization</t>
        </r>
      </text>
    </comment>
    <comment ref="J1621" authorId="1" shapeId="0">
      <text>
        <r>
          <rPr>
            <b/>
            <sz val="9"/>
            <color indexed="81"/>
            <rFont val="Tahoma"/>
            <family val="2"/>
          </rPr>
          <t>If this highlights as an error, consider upsizing the Tether size for better ribbon utilization</t>
        </r>
      </text>
    </comment>
    <comment ref="J1622" authorId="1" shapeId="0">
      <text>
        <r>
          <rPr>
            <b/>
            <sz val="9"/>
            <color indexed="81"/>
            <rFont val="Tahoma"/>
            <family val="2"/>
          </rPr>
          <t>If this highlights as an error, consider upsizing the Tether size for better ribbon utilization</t>
        </r>
      </text>
    </comment>
    <comment ref="J1623" authorId="1" shapeId="0">
      <text>
        <r>
          <rPr>
            <b/>
            <sz val="9"/>
            <color indexed="81"/>
            <rFont val="Tahoma"/>
            <family val="2"/>
          </rPr>
          <t>If this highlights as an error, consider upsizing the Tether size for better ribbon utilization</t>
        </r>
      </text>
    </comment>
    <comment ref="J1624" authorId="1" shapeId="0">
      <text>
        <r>
          <rPr>
            <b/>
            <sz val="9"/>
            <color indexed="81"/>
            <rFont val="Tahoma"/>
            <family val="2"/>
          </rPr>
          <t>If this highlights as an error, consider upsizing the Tether size for better ribbon utilization</t>
        </r>
      </text>
    </comment>
    <comment ref="J1625" authorId="1" shapeId="0">
      <text>
        <r>
          <rPr>
            <b/>
            <sz val="9"/>
            <color indexed="81"/>
            <rFont val="Tahoma"/>
            <family val="2"/>
          </rPr>
          <t>If this highlights as an error, consider upsizing the Tether size for better ribbon utilization</t>
        </r>
      </text>
    </comment>
    <comment ref="J1626" authorId="1" shapeId="0">
      <text>
        <r>
          <rPr>
            <b/>
            <sz val="9"/>
            <color indexed="81"/>
            <rFont val="Tahoma"/>
            <family val="2"/>
          </rPr>
          <t>If this highlights as an error, consider upsizing the Tether size for better ribbon utilization</t>
        </r>
      </text>
    </comment>
    <comment ref="J1627" authorId="1" shapeId="0">
      <text>
        <r>
          <rPr>
            <b/>
            <sz val="9"/>
            <color indexed="81"/>
            <rFont val="Tahoma"/>
            <family val="2"/>
          </rPr>
          <t>If this highlights as an error, consider upsizing the Tether size for better ribbon utilization</t>
        </r>
      </text>
    </comment>
    <comment ref="J1628" authorId="1" shapeId="0">
      <text>
        <r>
          <rPr>
            <b/>
            <sz val="9"/>
            <color indexed="81"/>
            <rFont val="Tahoma"/>
            <family val="2"/>
          </rPr>
          <t>If this highlights as an error, consider upsizing the Tether size for better ribbon utilization</t>
        </r>
      </text>
    </comment>
    <comment ref="J1629" authorId="1" shapeId="0">
      <text>
        <r>
          <rPr>
            <b/>
            <sz val="9"/>
            <color indexed="81"/>
            <rFont val="Tahoma"/>
            <family val="2"/>
          </rPr>
          <t>If this highlights as an error, consider upsizing the Tether size for better ribbon utilization</t>
        </r>
      </text>
    </comment>
    <comment ref="J1630" authorId="1" shapeId="0">
      <text>
        <r>
          <rPr>
            <b/>
            <sz val="9"/>
            <color indexed="81"/>
            <rFont val="Tahoma"/>
            <family val="2"/>
          </rPr>
          <t>If this highlights as an error, consider upsizing the Tether size for better ribbon utilization</t>
        </r>
      </text>
    </comment>
    <comment ref="J1631" authorId="1" shapeId="0">
      <text>
        <r>
          <rPr>
            <b/>
            <sz val="9"/>
            <color indexed="81"/>
            <rFont val="Tahoma"/>
            <family val="2"/>
          </rPr>
          <t>If this highlights as an error, consider upsizing the Tether size for better ribbon utilization</t>
        </r>
      </text>
    </comment>
    <comment ref="J1632" authorId="1" shapeId="0">
      <text>
        <r>
          <rPr>
            <b/>
            <sz val="9"/>
            <color indexed="81"/>
            <rFont val="Tahoma"/>
            <family val="2"/>
          </rPr>
          <t>If this highlights as an error, consider upsizing the Tether size for better ribbon utilization</t>
        </r>
      </text>
    </comment>
    <comment ref="J1633" authorId="1" shapeId="0">
      <text>
        <r>
          <rPr>
            <b/>
            <sz val="9"/>
            <color indexed="81"/>
            <rFont val="Tahoma"/>
            <family val="2"/>
          </rPr>
          <t>If this highlights as an error, consider upsizing the Tether size for better ribbon utilization</t>
        </r>
      </text>
    </comment>
    <comment ref="C1634" authorId="1" shapeId="0">
      <text>
        <r>
          <rPr>
            <b/>
            <sz val="9"/>
            <color indexed="81"/>
            <rFont val="Tahoma"/>
            <family val="2"/>
          </rPr>
          <t>DBL REV requires TWO rows!
TPL REV requires THREE rows!
QD REV requires FOUR rows!</t>
        </r>
      </text>
    </comment>
    <comment ref="J1634" authorId="1" shapeId="0">
      <text>
        <r>
          <rPr>
            <b/>
            <sz val="9"/>
            <color indexed="81"/>
            <rFont val="Tahoma"/>
            <family val="2"/>
          </rPr>
          <t>If this highlights as an error, consider upsizing the Tether size for better ribbon utilization</t>
        </r>
      </text>
    </comment>
    <comment ref="C1635" authorId="1" shapeId="0">
      <text>
        <r>
          <rPr>
            <b/>
            <sz val="9"/>
            <color indexed="81"/>
            <rFont val="Tahoma"/>
            <family val="2"/>
          </rPr>
          <t>DBL REV requires TWO rows!
TPL REV requires THREE rows!
QD REV requires FOUR rows!</t>
        </r>
      </text>
    </comment>
    <comment ref="J1635" authorId="1" shapeId="0">
      <text>
        <r>
          <rPr>
            <b/>
            <sz val="9"/>
            <color indexed="81"/>
            <rFont val="Tahoma"/>
            <family val="2"/>
          </rPr>
          <t>If this highlights as an error, consider upsizing the Tether size for better ribbon utilization</t>
        </r>
      </text>
    </comment>
    <comment ref="C1636" authorId="1" shapeId="0">
      <text>
        <r>
          <rPr>
            <b/>
            <sz val="9"/>
            <color indexed="81"/>
            <rFont val="Tahoma"/>
            <family val="2"/>
          </rPr>
          <t>DBL REV requires TWO rows!
TPL REV requires THREE rows!
QD REV requires FOUR rows!</t>
        </r>
      </text>
    </comment>
    <comment ref="J1636" authorId="1" shapeId="0">
      <text>
        <r>
          <rPr>
            <b/>
            <sz val="9"/>
            <color indexed="81"/>
            <rFont val="Tahoma"/>
            <family val="2"/>
          </rPr>
          <t>If this highlights as an error, consider upsizing the Tether size for better ribbon utilization</t>
        </r>
      </text>
    </comment>
    <comment ref="C1637" authorId="1" shapeId="0">
      <text>
        <r>
          <rPr>
            <b/>
            <sz val="9"/>
            <color indexed="81"/>
            <rFont val="Tahoma"/>
            <family val="2"/>
          </rPr>
          <t>DBL REV requires TWO rows!
TPL REV requires THREE rows!
QD REV requires FOUR rows!</t>
        </r>
      </text>
    </comment>
    <comment ref="J1637" authorId="1" shapeId="0">
      <text>
        <r>
          <rPr>
            <b/>
            <sz val="9"/>
            <color indexed="81"/>
            <rFont val="Tahoma"/>
            <family val="2"/>
          </rPr>
          <t>If this highlights as an error, consider upsizing the Tether size for better ribbon utilization</t>
        </r>
      </text>
    </comment>
    <comment ref="C1638" authorId="1" shapeId="0">
      <text>
        <r>
          <rPr>
            <b/>
            <sz val="9"/>
            <color indexed="81"/>
            <rFont val="Tahoma"/>
            <family val="2"/>
          </rPr>
          <t>DBL REV requires TWO rows!
TPL REV requires THREE rows!
QD REV requires FOUR rows!</t>
        </r>
      </text>
    </comment>
    <comment ref="J1638" authorId="1" shapeId="0">
      <text>
        <r>
          <rPr>
            <b/>
            <sz val="9"/>
            <color indexed="81"/>
            <rFont val="Tahoma"/>
            <family val="2"/>
          </rPr>
          <t>If this highlights as an error, consider upsizing the Tether size for better ribbon utilization</t>
        </r>
      </text>
    </comment>
    <comment ref="C1639" authorId="1" shapeId="0">
      <text>
        <r>
          <rPr>
            <b/>
            <sz val="9"/>
            <color indexed="81"/>
            <rFont val="Tahoma"/>
            <family val="2"/>
          </rPr>
          <t>DBL REV requires TWO rows!
TPL REV requires THREE rows!
QD REV requires FOUR rows!</t>
        </r>
      </text>
    </comment>
    <comment ref="J1639" authorId="1" shapeId="0">
      <text>
        <r>
          <rPr>
            <b/>
            <sz val="9"/>
            <color indexed="81"/>
            <rFont val="Tahoma"/>
            <family val="2"/>
          </rPr>
          <t>If this highlights as an error, consider upsizing the Tether size for better ribbon utilization</t>
        </r>
      </text>
    </comment>
    <comment ref="C1640" authorId="1" shapeId="0">
      <text>
        <r>
          <rPr>
            <b/>
            <sz val="9"/>
            <color indexed="81"/>
            <rFont val="Tahoma"/>
            <family val="2"/>
          </rPr>
          <t>DBL REV requires TWO rows!
TPL REV requires THREE rows!
QD REV requires FOUR rows!</t>
        </r>
      </text>
    </comment>
    <comment ref="J1640" authorId="1" shapeId="0">
      <text>
        <r>
          <rPr>
            <b/>
            <sz val="9"/>
            <color indexed="81"/>
            <rFont val="Tahoma"/>
            <family val="2"/>
          </rPr>
          <t>If this highlights as an error, consider upsizing the Tether size for better ribbon utilization</t>
        </r>
      </text>
    </comment>
    <comment ref="B164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text>
        <r>
          <rPr>
            <b/>
            <sz val="8"/>
            <color indexed="81"/>
            <rFont val="Tahoma"/>
            <family val="2"/>
          </rPr>
          <t>This will be added to Planning Load Block A for TOTAL</t>
        </r>
        <r>
          <rPr>
            <sz val="8"/>
            <color indexed="81"/>
            <rFont val="Tahoma"/>
            <family val="2"/>
          </rPr>
          <t xml:space="preserve">
</t>
        </r>
      </text>
    </comment>
    <comment ref="J1646" authorId="0" shapeId="0">
      <text>
        <r>
          <rPr>
            <b/>
            <sz val="8"/>
            <color indexed="81"/>
            <rFont val="Tahoma"/>
            <family val="2"/>
          </rPr>
          <t>This is the PON OUT count that is not assigned in this cable reel.</t>
        </r>
        <r>
          <rPr>
            <sz val="8"/>
            <color indexed="81"/>
            <rFont val="Tahoma"/>
            <family val="2"/>
          </rPr>
          <t xml:space="preserve">
</t>
        </r>
      </text>
    </comment>
    <comment ref="P1646" authorId="1" shapeId="0">
      <text>
        <r>
          <rPr>
            <b/>
            <sz val="9"/>
            <color indexed="81"/>
            <rFont val="Tahoma"/>
            <family val="2"/>
          </rPr>
          <t>REMEMBER: 2-Fbr Tethers are NOT available for RPX CABLE!</t>
        </r>
      </text>
    </comment>
    <comment ref="Q1646" authorId="1" shapeId="0">
      <text>
        <r>
          <rPr>
            <b/>
            <sz val="9"/>
            <color indexed="81"/>
            <rFont val="Tahoma"/>
            <family val="2"/>
          </rPr>
          <t>REMEMBER: 2-Fbr Tethers are NOT available for RPX CABLE!</t>
        </r>
      </text>
    </comment>
    <comment ref="S1646" authorId="1" shapeId="0">
      <text>
        <r>
          <rPr>
            <b/>
            <sz val="9"/>
            <color indexed="81"/>
            <rFont val="Tahoma"/>
            <family val="2"/>
          </rPr>
          <t>REMEMBER: 2-Fbr Tethers are NOT available for RPX CABLE!</t>
        </r>
      </text>
    </comment>
    <comment ref="T1646" authorId="1" shapeId="0">
      <text>
        <r>
          <rPr>
            <b/>
            <sz val="9"/>
            <color indexed="81"/>
            <rFont val="Tahoma"/>
            <family val="2"/>
          </rPr>
          <t>REMEMBER: 2-Fbr Tethers are NOT available for RPX CABLE!</t>
        </r>
      </text>
    </comment>
    <comment ref="B164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text>
        <r>
          <rPr>
            <b/>
            <sz val="8"/>
            <color indexed="81"/>
            <rFont val="Tahoma"/>
            <family val="2"/>
          </rPr>
          <t>Make sure you add this number to "TAT FIBERS ASSIGNED" for the total required in the Load Block on the prints.</t>
        </r>
      </text>
    </comment>
    <comment ref="G1647" authorId="0" shapeId="0">
      <text>
        <r>
          <rPr>
            <b/>
            <sz val="8"/>
            <color indexed="81"/>
            <rFont val="Tahoma"/>
            <family val="2"/>
          </rPr>
          <t>Includes "DEAD" Count (No PON count assigned)</t>
        </r>
      </text>
    </comment>
    <comment ref="I164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text>
        <r>
          <rPr>
            <b/>
            <sz val="9"/>
            <color indexed="81"/>
            <rFont val="Tahoma"/>
            <family val="2"/>
          </rPr>
          <t>REMEMBER: 6-Fbr Tethers are NOT available for RPX CABLE!</t>
        </r>
      </text>
    </comment>
    <comment ref="Q1648" authorId="1" shapeId="0">
      <text>
        <r>
          <rPr>
            <b/>
            <sz val="9"/>
            <color indexed="81"/>
            <rFont val="Tahoma"/>
            <family val="2"/>
          </rPr>
          <t>REMEMBER: 6-Fbr Tethers are NOT available for RPX CABLE!</t>
        </r>
      </text>
    </comment>
    <comment ref="S1648" authorId="1" shapeId="0">
      <text>
        <r>
          <rPr>
            <b/>
            <sz val="9"/>
            <color indexed="81"/>
            <rFont val="Tahoma"/>
            <family val="2"/>
          </rPr>
          <t>REMEMBER: 6-Fbr Tethers are NOT available for RPX CABLE!</t>
        </r>
      </text>
    </comment>
    <comment ref="T1648" authorId="1" shapeId="0">
      <text>
        <r>
          <rPr>
            <b/>
            <sz val="9"/>
            <color indexed="81"/>
            <rFont val="Tahoma"/>
            <family val="2"/>
          </rPr>
          <t>REMEMBER: 6-Fbr Tethers are NOT available for AERIAL CABLE!</t>
        </r>
      </text>
    </comment>
    <comment ref="B164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text>
        <r>
          <rPr>
            <b/>
            <sz val="8"/>
            <color indexed="81"/>
            <rFont val="Tahoma"/>
            <family val="2"/>
          </rPr>
          <t>These are "manufacturing rules" and general warnings</t>
        </r>
        <r>
          <rPr>
            <sz val="8"/>
            <color indexed="81"/>
            <rFont val="Tahoma"/>
            <family val="2"/>
          </rPr>
          <t xml:space="preserve">
</t>
        </r>
      </text>
    </comment>
    <comment ref="B165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text>
        <r>
          <rPr>
            <b/>
            <sz val="8"/>
            <color indexed="81"/>
            <rFont val="Tahoma"/>
            <family val="2"/>
          </rPr>
          <t>This number is a sum of TOTAL PLANNED plus the ASSIGNED TO TETHERS</t>
        </r>
        <r>
          <rPr>
            <sz val="8"/>
            <color indexed="81"/>
            <rFont val="Tahoma"/>
            <family val="2"/>
          </rPr>
          <t xml:space="preserve">
</t>
        </r>
      </text>
    </comment>
    <comment ref="Z1654" authorId="0" shapeId="0">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text>
        <r>
          <rPr>
            <b/>
            <sz val="8"/>
            <color indexed="81"/>
            <rFont val="Tahoma"/>
            <family val="2"/>
          </rPr>
          <t>Counting from High count Backwards- this is Fiber Strand 133</t>
        </r>
      </text>
    </comment>
    <comment ref="AB1654" authorId="0" shapeId="0">
      <text>
        <r>
          <rPr>
            <b/>
            <sz val="8"/>
            <color indexed="81"/>
            <rFont val="Tahoma"/>
            <family val="2"/>
          </rPr>
          <t>Counting from High count Backwards- this is Fiber Strand 144</t>
        </r>
        <r>
          <rPr>
            <sz val="8"/>
            <color indexed="81"/>
            <rFont val="Tahoma"/>
            <family val="2"/>
          </rPr>
          <t xml:space="preserve">
</t>
        </r>
      </text>
    </comment>
    <comment ref="C1655" authorId="0" shapeId="0">
      <text>
        <r>
          <rPr>
            <b/>
            <sz val="8"/>
            <color indexed="81"/>
            <rFont val="Tahoma"/>
            <family val="2"/>
          </rPr>
          <t xml:space="preserve">Select if this tether will be used to feed a CFST or a lateral cable. </t>
        </r>
      </text>
    </comment>
    <comment ref="D1655" authorId="0" shapeId="0">
      <text>
        <r>
          <rPr>
            <b/>
            <sz val="8"/>
            <color indexed="81"/>
            <rFont val="Tahoma"/>
            <family val="2"/>
          </rPr>
          <t>Note the Terminal Address to keep your locations straight</t>
        </r>
        <r>
          <rPr>
            <sz val="8"/>
            <color indexed="81"/>
            <rFont val="Tahoma"/>
            <family val="2"/>
          </rPr>
          <t xml:space="preserve">
</t>
        </r>
      </text>
    </comment>
    <comment ref="E1655" authorId="0" shapeId="0">
      <text>
        <r>
          <rPr>
            <b/>
            <sz val="9"/>
            <color indexed="81"/>
            <rFont val="Calibri"/>
            <family val="2"/>
            <scheme val="minor"/>
          </rPr>
          <t>Pick the Tether Size for the location</t>
        </r>
        <r>
          <rPr>
            <sz val="8"/>
            <color indexed="81"/>
            <rFont val="Tahoma"/>
            <family val="2"/>
          </rPr>
          <t xml:space="preserve">
</t>
        </r>
      </text>
    </comment>
    <comment ref="F1655" authorId="2" shapeId="0">
      <text>
        <r>
          <rPr>
            <b/>
            <sz val="9"/>
            <color indexed="81"/>
            <rFont val="Tahoma"/>
            <family val="2"/>
          </rPr>
          <t>Identify TCF or FST location.
Leave blank if tether is NOT for a TCF or FST!</t>
        </r>
      </text>
    </comment>
    <comment ref="H1655" authorId="0" shapeId="0">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text>
        <r>
          <rPr>
            <b/>
            <sz val="8"/>
            <color indexed="81"/>
            <rFont val="Tahoma"/>
            <family val="2"/>
          </rPr>
          <t>If any of these numbers are negative, check your PON count and Cable size</t>
        </r>
      </text>
    </comment>
    <comment ref="J165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text>
        <r>
          <rPr>
            <b/>
            <sz val="9"/>
            <color indexed="81"/>
            <rFont val="Tahoma"/>
            <family val="2"/>
          </rPr>
          <t>Leave blank if using 10' Terminal Tail
Enter Tail length if greater than 10'</t>
        </r>
      </text>
    </comment>
    <comment ref="M1655" authorId="0" shapeId="0">
      <text>
        <r>
          <rPr>
            <b/>
            <sz val="8"/>
            <color indexed="81"/>
            <rFont val="Tahoma"/>
            <family val="2"/>
          </rPr>
          <t>Make design notes such as slack coils, realingment loops,  or location notes</t>
        </r>
      </text>
    </comment>
    <comment ref="Z1655" authorId="0" shapeId="0">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text>
        <r>
          <rPr>
            <b/>
            <sz val="8"/>
            <color indexed="81"/>
            <rFont val="Tahoma"/>
            <family val="2"/>
          </rPr>
          <t xml:space="preserve">Counting from High count Backwards- this is Fiber Strand 145
</t>
        </r>
      </text>
    </comment>
    <comment ref="AB1655" authorId="0" shapeId="0">
      <text>
        <r>
          <rPr>
            <b/>
            <sz val="8"/>
            <color indexed="81"/>
            <rFont val="Tahoma"/>
            <family val="2"/>
          </rPr>
          <t>Counting from High count Backwards- this is Fiber Strand 156</t>
        </r>
      </text>
    </comment>
    <comment ref="J1657" authorId="1" shapeId="0">
      <text>
        <r>
          <rPr>
            <b/>
            <sz val="9"/>
            <color indexed="81"/>
            <rFont val="Tahoma"/>
            <family val="2"/>
          </rPr>
          <t>If this highlights as an error, consider upsizing the Tether size for better ribbon utilization</t>
        </r>
      </text>
    </comment>
    <comment ref="J1658" authorId="1" shapeId="0">
      <text>
        <r>
          <rPr>
            <b/>
            <sz val="9"/>
            <color indexed="81"/>
            <rFont val="Tahoma"/>
            <family val="2"/>
          </rPr>
          <t>If this highlights as an error, consider upsizing the Tether size for better ribbon utilization</t>
        </r>
      </text>
    </comment>
    <comment ref="J1659" authorId="1" shapeId="0">
      <text>
        <r>
          <rPr>
            <b/>
            <sz val="9"/>
            <color indexed="81"/>
            <rFont val="Tahoma"/>
            <family val="2"/>
          </rPr>
          <t>If this highlights as an error, consider upsizing the Tether size for better ribbon utilization</t>
        </r>
      </text>
    </comment>
    <comment ref="J1660" authorId="1" shapeId="0">
      <text>
        <r>
          <rPr>
            <b/>
            <sz val="9"/>
            <color indexed="81"/>
            <rFont val="Tahoma"/>
            <family val="2"/>
          </rPr>
          <t>If this highlights as an error, consider upsizing the Tether size for better ribbon utilization</t>
        </r>
      </text>
    </comment>
    <comment ref="J1661" authorId="1" shapeId="0">
      <text>
        <r>
          <rPr>
            <b/>
            <sz val="9"/>
            <color indexed="81"/>
            <rFont val="Tahoma"/>
            <family val="2"/>
          </rPr>
          <t>If this highlights as an error, consider upsizing the Tether size for better ribbon utilization</t>
        </r>
      </text>
    </comment>
    <comment ref="J1662" authorId="1" shapeId="0">
      <text>
        <r>
          <rPr>
            <b/>
            <sz val="9"/>
            <color indexed="81"/>
            <rFont val="Tahoma"/>
            <family val="2"/>
          </rPr>
          <t>If this highlights as an error, consider upsizing the Tether size for better ribbon utilization</t>
        </r>
      </text>
    </comment>
    <comment ref="J1663" authorId="1" shapeId="0">
      <text>
        <r>
          <rPr>
            <b/>
            <sz val="9"/>
            <color indexed="81"/>
            <rFont val="Tahoma"/>
            <family val="2"/>
          </rPr>
          <t>If this highlights as an error, consider upsizing the Tether size for better ribbon utilization</t>
        </r>
      </text>
    </comment>
    <comment ref="J1664" authorId="1" shapeId="0">
      <text>
        <r>
          <rPr>
            <b/>
            <sz val="9"/>
            <color indexed="81"/>
            <rFont val="Tahoma"/>
            <family val="2"/>
          </rPr>
          <t>If this highlights as an error, consider upsizing the Tether size for better ribbon utilization</t>
        </r>
      </text>
    </comment>
    <comment ref="J1665" authorId="1" shapeId="0">
      <text>
        <r>
          <rPr>
            <b/>
            <sz val="9"/>
            <color indexed="81"/>
            <rFont val="Tahoma"/>
            <family val="2"/>
          </rPr>
          <t>If this highlights as an error, consider upsizing the Tether size for better ribbon utilization</t>
        </r>
      </text>
    </comment>
    <comment ref="J1666" authorId="1" shapeId="0">
      <text>
        <r>
          <rPr>
            <b/>
            <sz val="9"/>
            <color indexed="81"/>
            <rFont val="Tahoma"/>
            <family val="2"/>
          </rPr>
          <t>If this highlights as an error, consider upsizing the Tether size for better ribbon utilization</t>
        </r>
      </text>
    </comment>
    <comment ref="J1667" authorId="1" shapeId="0">
      <text>
        <r>
          <rPr>
            <b/>
            <sz val="9"/>
            <color indexed="81"/>
            <rFont val="Tahoma"/>
            <family val="2"/>
          </rPr>
          <t>If this highlights as an error, consider upsizing the Tether size for better ribbon utilization</t>
        </r>
      </text>
    </comment>
    <comment ref="J1668" authorId="1" shapeId="0">
      <text>
        <r>
          <rPr>
            <b/>
            <sz val="9"/>
            <color indexed="81"/>
            <rFont val="Tahoma"/>
            <family val="2"/>
          </rPr>
          <t>If this highlights as an error, consider upsizing the Tether size for better ribbon utilization</t>
        </r>
      </text>
    </comment>
    <comment ref="J1669" authorId="1" shapeId="0">
      <text>
        <r>
          <rPr>
            <b/>
            <sz val="9"/>
            <color indexed="81"/>
            <rFont val="Tahoma"/>
            <family val="2"/>
          </rPr>
          <t>If this highlights as an error, consider upsizing the Tether size for better ribbon utilization</t>
        </r>
      </text>
    </comment>
    <comment ref="J1670" authorId="1" shapeId="0">
      <text>
        <r>
          <rPr>
            <b/>
            <sz val="9"/>
            <color indexed="81"/>
            <rFont val="Tahoma"/>
            <family val="2"/>
          </rPr>
          <t>If this highlights as an error, consider upsizing the Tether size for better ribbon utilization</t>
        </r>
      </text>
    </comment>
    <comment ref="J1671" authorId="1" shapeId="0">
      <text>
        <r>
          <rPr>
            <b/>
            <sz val="9"/>
            <color indexed="81"/>
            <rFont val="Tahoma"/>
            <family val="2"/>
          </rPr>
          <t>If this highlights as an error, consider upsizing the Tether size for better ribbon utilization</t>
        </r>
      </text>
    </comment>
    <comment ref="J1672" authorId="1" shapeId="0">
      <text>
        <r>
          <rPr>
            <b/>
            <sz val="9"/>
            <color indexed="81"/>
            <rFont val="Tahoma"/>
            <family val="2"/>
          </rPr>
          <t>If this highlights as an error, consider upsizing the Tether size for better ribbon utilization</t>
        </r>
      </text>
    </comment>
    <comment ref="J1673" authorId="1" shapeId="0">
      <text>
        <r>
          <rPr>
            <b/>
            <sz val="9"/>
            <color indexed="81"/>
            <rFont val="Tahoma"/>
            <family val="2"/>
          </rPr>
          <t>If this highlights as an error, consider upsizing the Tether size for better ribbon utilization</t>
        </r>
      </text>
    </comment>
    <comment ref="J1674" authorId="1" shapeId="0">
      <text>
        <r>
          <rPr>
            <b/>
            <sz val="9"/>
            <color indexed="81"/>
            <rFont val="Tahoma"/>
            <family val="2"/>
          </rPr>
          <t>If this highlights as an error, consider upsizing the Tether size for better ribbon utilization</t>
        </r>
      </text>
    </comment>
    <comment ref="C1675" authorId="1" shapeId="0">
      <text>
        <r>
          <rPr>
            <b/>
            <sz val="9"/>
            <color indexed="81"/>
            <rFont val="Tahoma"/>
            <family val="2"/>
          </rPr>
          <t>DBL REV requires TWO rows!
TPL REV requires THREE rows!
QD REV requires FOUR rows!</t>
        </r>
      </text>
    </comment>
    <comment ref="J1675" authorId="1" shapeId="0">
      <text>
        <r>
          <rPr>
            <b/>
            <sz val="9"/>
            <color indexed="81"/>
            <rFont val="Tahoma"/>
            <family val="2"/>
          </rPr>
          <t>If this highlights as an error, consider upsizing the Tether size for better ribbon utilization</t>
        </r>
      </text>
    </comment>
    <comment ref="C1676" authorId="1" shapeId="0">
      <text>
        <r>
          <rPr>
            <b/>
            <sz val="9"/>
            <color indexed="81"/>
            <rFont val="Tahoma"/>
            <family val="2"/>
          </rPr>
          <t>DBL REV requires TWO rows!
TPL REV requires THREE rows!
QD REV requires FOUR rows!</t>
        </r>
      </text>
    </comment>
    <comment ref="J1676" authorId="1" shapeId="0">
      <text>
        <r>
          <rPr>
            <b/>
            <sz val="9"/>
            <color indexed="81"/>
            <rFont val="Tahoma"/>
            <family val="2"/>
          </rPr>
          <t>If this highlights as an error, consider upsizing the Tether size for better ribbon utilization</t>
        </r>
      </text>
    </comment>
    <comment ref="C1677" authorId="1" shapeId="0">
      <text>
        <r>
          <rPr>
            <b/>
            <sz val="9"/>
            <color indexed="81"/>
            <rFont val="Tahoma"/>
            <family val="2"/>
          </rPr>
          <t>DBL REV requires TWO rows!
TPL REV requires THREE rows!
QD REV requires FOUR rows!</t>
        </r>
      </text>
    </comment>
    <comment ref="J1677" authorId="1" shapeId="0">
      <text>
        <r>
          <rPr>
            <b/>
            <sz val="9"/>
            <color indexed="81"/>
            <rFont val="Tahoma"/>
            <family val="2"/>
          </rPr>
          <t>If this highlights as an error, consider upsizing the Tether size for better ribbon utilization</t>
        </r>
      </text>
    </comment>
    <comment ref="C1678" authorId="1" shapeId="0">
      <text>
        <r>
          <rPr>
            <b/>
            <sz val="9"/>
            <color indexed="81"/>
            <rFont val="Tahoma"/>
            <family val="2"/>
          </rPr>
          <t>DBL REV requires TWO rows!
TPL REV requires THREE rows!
QD REV requires FOUR rows!</t>
        </r>
      </text>
    </comment>
    <comment ref="J1678" authorId="1" shapeId="0">
      <text>
        <r>
          <rPr>
            <b/>
            <sz val="9"/>
            <color indexed="81"/>
            <rFont val="Tahoma"/>
            <family val="2"/>
          </rPr>
          <t>If this highlights as an error, consider upsizing the Tether size for better ribbon utilization</t>
        </r>
      </text>
    </comment>
    <comment ref="C1679" authorId="1" shapeId="0">
      <text>
        <r>
          <rPr>
            <b/>
            <sz val="9"/>
            <color indexed="81"/>
            <rFont val="Tahoma"/>
            <family val="2"/>
          </rPr>
          <t>DBL REV requires TWO rows!
TPL REV requires THREE rows!
QD REV requires FOUR rows!</t>
        </r>
      </text>
    </comment>
    <comment ref="J1679" authorId="1" shapeId="0">
      <text>
        <r>
          <rPr>
            <b/>
            <sz val="9"/>
            <color indexed="81"/>
            <rFont val="Tahoma"/>
            <family val="2"/>
          </rPr>
          <t>If this highlights as an error, consider upsizing the Tether size for better ribbon utilization</t>
        </r>
      </text>
    </comment>
    <comment ref="C1680" authorId="1" shapeId="0">
      <text>
        <r>
          <rPr>
            <b/>
            <sz val="9"/>
            <color indexed="81"/>
            <rFont val="Tahoma"/>
            <family val="2"/>
          </rPr>
          <t>DBL REV requires TWO rows!
TPL REV requires THREE rows!
QD REV requires FOUR rows!</t>
        </r>
      </text>
    </comment>
    <comment ref="J1680" authorId="1" shapeId="0">
      <text>
        <r>
          <rPr>
            <b/>
            <sz val="9"/>
            <color indexed="81"/>
            <rFont val="Tahoma"/>
            <family val="2"/>
          </rPr>
          <t>If this highlights as an error, consider upsizing the Tether size for better ribbon utilization</t>
        </r>
      </text>
    </comment>
    <comment ref="C1681" authorId="1" shapeId="0">
      <text>
        <r>
          <rPr>
            <b/>
            <sz val="9"/>
            <color indexed="81"/>
            <rFont val="Tahoma"/>
            <family val="2"/>
          </rPr>
          <t>DBL REV requires TWO rows!
TPL REV requires THREE rows!
QD REV requires FOUR rows!</t>
        </r>
      </text>
    </comment>
    <comment ref="J1681" authorId="1" shapeId="0">
      <text>
        <r>
          <rPr>
            <b/>
            <sz val="9"/>
            <color indexed="81"/>
            <rFont val="Tahoma"/>
            <family val="2"/>
          </rPr>
          <t>If this highlights as an error, consider upsizing the Tether size for better ribbon utilization</t>
        </r>
      </text>
    </comment>
    <comment ref="B168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text>
        <r>
          <rPr>
            <b/>
            <sz val="8"/>
            <color indexed="81"/>
            <rFont val="Tahoma"/>
            <family val="2"/>
          </rPr>
          <t>This will be added to Planning Load Block A for TOTAL</t>
        </r>
        <r>
          <rPr>
            <sz val="8"/>
            <color indexed="81"/>
            <rFont val="Tahoma"/>
            <family val="2"/>
          </rPr>
          <t xml:space="preserve">
</t>
        </r>
      </text>
    </comment>
    <comment ref="J1687" authorId="0" shapeId="0">
      <text>
        <r>
          <rPr>
            <b/>
            <sz val="8"/>
            <color indexed="81"/>
            <rFont val="Tahoma"/>
            <family val="2"/>
          </rPr>
          <t>This is the PON OUT count that is not assigned in this cable reel.</t>
        </r>
        <r>
          <rPr>
            <sz val="8"/>
            <color indexed="81"/>
            <rFont val="Tahoma"/>
            <family val="2"/>
          </rPr>
          <t xml:space="preserve">
</t>
        </r>
      </text>
    </comment>
    <comment ref="P1687" authorId="1" shapeId="0">
      <text>
        <r>
          <rPr>
            <b/>
            <sz val="9"/>
            <color indexed="81"/>
            <rFont val="Tahoma"/>
            <family val="2"/>
          </rPr>
          <t>REMEMBER: 2-Fbr Tethers are NOT available for RPX CABLE!</t>
        </r>
      </text>
    </comment>
    <comment ref="Q1687" authorId="1" shapeId="0">
      <text>
        <r>
          <rPr>
            <b/>
            <sz val="9"/>
            <color indexed="81"/>
            <rFont val="Tahoma"/>
            <family val="2"/>
          </rPr>
          <t>REMEMBER: 2-Fbr Tethers are NOT available for RPX CABLE!</t>
        </r>
      </text>
    </comment>
    <comment ref="S1687" authorId="1" shapeId="0">
      <text>
        <r>
          <rPr>
            <b/>
            <sz val="9"/>
            <color indexed="81"/>
            <rFont val="Tahoma"/>
            <family val="2"/>
          </rPr>
          <t>REMEMBER: 2-Fbr Tethers are NOT available for RPX CABLE!</t>
        </r>
      </text>
    </comment>
    <comment ref="T1687" authorId="1" shapeId="0">
      <text>
        <r>
          <rPr>
            <b/>
            <sz val="9"/>
            <color indexed="81"/>
            <rFont val="Tahoma"/>
            <family val="2"/>
          </rPr>
          <t>REMEMBER: 2-Fbr Tethers are NOT available for RPX CABLE!</t>
        </r>
      </text>
    </comment>
    <comment ref="B168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text>
        <r>
          <rPr>
            <b/>
            <sz val="8"/>
            <color indexed="81"/>
            <rFont val="Tahoma"/>
            <family val="2"/>
          </rPr>
          <t>Make sure you add this number to "TAT FIBERS ASSIGNED" for the total required in the Load Block on the prints.</t>
        </r>
      </text>
    </comment>
    <comment ref="G1688" authorId="0" shapeId="0">
      <text>
        <r>
          <rPr>
            <b/>
            <sz val="8"/>
            <color indexed="81"/>
            <rFont val="Tahoma"/>
            <family val="2"/>
          </rPr>
          <t>Includes "DEAD" Count (No PON count assigned)</t>
        </r>
      </text>
    </comment>
    <comment ref="I168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text>
        <r>
          <rPr>
            <b/>
            <sz val="9"/>
            <color indexed="81"/>
            <rFont val="Tahoma"/>
            <family val="2"/>
          </rPr>
          <t>REMEMBER: 6-Fbr Tethers are NOT available for RPX CABLE!</t>
        </r>
      </text>
    </comment>
    <comment ref="Q1689" authorId="1" shapeId="0">
      <text>
        <r>
          <rPr>
            <b/>
            <sz val="9"/>
            <color indexed="81"/>
            <rFont val="Tahoma"/>
            <family val="2"/>
          </rPr>
          <t>REMEMBER: 6-Fbr Tethers are NOT available for RPX CABLE!</t>
        </r>
      </text>
    </comment>
    <comment ref="S1689" authorId="1" shapeId="0">
      <text>
        <r>
          <rPr>
            <b/>
            <sz val="9"/>
            <color indexed="81"/>
            <rFont val="Tahoma"/>
            <family val="2"/>
          </rPr>
          <t>REMEMBER: 6-Fbr Tethers are NOT available for RPX CABLE!</t>
        </r>
      </text>
    </comment>
    <comment ref="T1689" authorId="1" shapeId="0">
      <text>
        <r>
          <rPr>
            <b/>
            <sz val="9"/>
            <color indexed="81"/>
            <rFont val="Tahoma"/>
            <family val="2"/>
          </rPr>
          <t>REMEMBER: 6-Fbr Tethers are NOT available for AERIAL CABLE!</t>
        </r>
      </text>
    </comment>
    <comment ref="B169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text>
        <r>
          <rPr>
            <b/>
            <sz val="8"/>
            <color indexed="81"/>
            <rFont val="Tahoma"/>
            <family val="2"/>
          </rPr>
          <t>These are "manufacturing rules" and general warnings</t>
        </r>
        <r>
          <rPr>
            <sz val="8"/>
            <color indexed="81"/>
            <rFont val="Tahoma"/>
            <family val="2"/>
          </rPr>
          <t xml:space="preserve">
</t>
        </r>
      </text>
    </comment>
    <comment ref="B169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text>
        <r>
          <rPr>
            <b/>
            <sz val="8"/>
            <color indexed="81"/>
            <rFont val="Tahoma"/>
            <family val="2"/>
          </rPr>
          <t>This number is a sum of TOTAL PLANNED plus the ASSIGNED TO TETHERS</t>
        </r>
        <r>
          <rPr>
            <sz val="8"/>
            <color indexed="81"/>
            <rFont val="Tahoma"/>
            <family val="2"/>
          </rPr>
          <t xml:space="preserve">
</t>
        </r>
      </text>
    </comment>
    <comment ref="Z1695" authorId="0" shapeId="0">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text>
        <r>
          <rPr>
            <b/>
            <sz val="8"/>
            <color indexed="81"/>
            <rFont val="Tahoma"/>
            <family val="2"/>
          </rPr>
          <t>Counting from High count Backwards- this is Fiber Strand 133</t>
        </r>
      </text>
    </comment>
    <comment ref="AB1695" authorId="0" shapeId="0">
      <text>
        <r>
          <rPr>
            <b/>
            <sz val="8"/>
            <color indexed="81"/>
            <rFont val="Tahoma"/>
            <family val="2"/>
          </rPr>
          <t>Counting from High count Backwards- this is Fiber Strand 144</t>
        </r>
        <r>
          <rPr>
            <sz val="8"/>
            <color indexed="81"/>
            <rFont val="Tahoma"/>
            <family val="2"/>
          </rPr>
          <t xml:space="preserve">
</t>
        </r>
      </text>
    </comment>
    <comment ref="C1696" authorId="0" shapeId="0">
      <text>
        <r>
          <rPr>
            <b/>
            <sz val="8"/>
            <color indexed="81"/>
            <rFont val="Tahoma"/>
            <family val="2"/>
          </rPr>
          <t xml:space="preserve">Select if this tether will be used to feed a CFST or a lateral cable. </t>
        </r>
      </text>
    </comment>
    <comment ref="D1696" authorId="0" shapeId="0">
      <text>
        <r>
          <rPr>
            <b/>
            <sz val="8"/>
            <color indexed="81"/>
            <rFont val="Tahoma"/>
            <family val="2"/>
          </rPr>
          <t>Note the Terminal Address to keep your locations straight</t>
        </r>
        <r>
          <rPr>
            <sz val="8"/>
            <color indexed="81"/>
            <rFont val="Tahoma"/>
            <family val="2"/>
          </rPr>
          <t xml:space="preserve">
</t>
        </r>
      </text>
    </comment>
    <comment ref="E1696" authorId="0" shapeId="0">
      <text>
        <r>
          <rPr>
            <b/>
            <sz val="9"/>
            <color indexed="81"/>
            <rFont val="Calibri"/>
            <family val="2"/>
            <scheme val="minor"/>
          </rPr>
          <t>Pick the Tether Size for the location</t>
        </r>
        <r>
          <rPr>
            <sz val="8"/>
            <color indexed="81"/>
            <rFont val="Tahoma"/>
            <family val="2"/>
          </rPr>
          <t xml:space="preserve">
</t>
        </r>
      </text>
    </comment>
    <comment ref="F1696" authorId="2" shapeId="0">
      <text>
        <r>
          <rPr>
            <b/>
            <sz val="9"/>
            <color indexed="81"/>
            <rFont val="Tahoma"/>
            <family val="2"/>
          </rPr>
          <t>Identify TCF or FST location.
Leave blank if tether is NOT for a TCF or FST!</t>
        </r>
      </text>
    </comment>
    <comment ref="H1696" authorId="0" shapeId="0">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text>
        <r>
          <rPr>
            <b/>
            <sz val="8"/>
            <color indexed="81"/>
            <rFont val="Tahoma"/>
            <family val="2"/>
          </rPr>
          <t>If any of these numbers are negative, check your PON count and Cable size</t>
        </r>
      </text>
    </comment>
    <comment ref="J169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text>
        <r>
          <rPr>
            <b/>
            <sz val="9"/>
            <color indexed="81"/>
            <rFont val="Tahoma"/>
            <family val="2"/>
          </rPr>
          <t>Leave blank if using 10' Terminal Tail
Enter Tail length if greater than 10'</t>
        </r>
      </text>
    </comment>
    <comment ref="M1696" authorId="0" shapeId="0">
      <text>
        <r>
          <rPr>
            <b/>
            <sz val="8"/>
            <color indexed="81"/>
            <rFont val="Tahoma"/>
            <family val="2"/>
          </rPr>
          <t>Make design notes such as slack coils, realingment loops,  or location notes</t>
        </r>
      </text>
    </comment>
    <comment ref="Z1696" authorId="0" shapeId="0">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text>
        <r>
          <rPr>
            <b/>
            <sz val="8"/>
            <color indexed="81"/>
            <rFont val="Tahoma"/>
            <family val="2"/>
          </rPr>
          <t xml:space="preserve">Counting from High count Backwards- this is Fiber Strand 145
</t>
        </r>
      </text>
    </comment>
    <comment ref="AB1696" authorId="0" shapeId="0">
      <text>
        <r>
          <rPr>
            <b/>
            <sz val="8"/>
            <color indexed="81"/>
            <rFont val="Tahoma"/>
            <family val="2"/>
          </rPr>
          <t>Counting from High count Backwards- this is Fiber Strand 156</t>
        </r>
      </text>
    </comment>
    <comment ref="J1698" authorId="1" shapeId="0">
      <text>
        <r>
          <rPr>
            <b/>
            <sz val="9"/>
            <color indexed="81"/>
            <rFont val="Tahoma"/>
            <family val="2"/>
          </rPr>
          <t>If this highlights as an error, consider upsizing the Tether size for better ribbon utilization</t>
        </r>
      </text>
    </comment>
    <comment ref="J1699" authorId="1" shapeId="0">
      <text>
        <r>
          <rPr>
            <b/>
            <sz val="9"/>
            <color indexed="81"/>
            <rFont val="Tahoma"/>
            <family val="2"/>
          </rPr>
          <t>If this highlights as an error, consider upsizing the Tether size for better ribbon utilization</t>
        </r>
      </text>
    </comment>
    <comment ref="J1700" authorId="1" shapeId="0">
      <text>
        <r>
          <rPr>
            <b/>
            <sz val="9"/>
            <color indexed="81"/>
            <rFont val="Tahoma"/>
            <family val="2"/>
          </rPr>
          <t>If this highlights as an error, consider upsizing the Tether size for better ribbon utilization</t>
        </r>
      </text>
    </comment>
    <comment ref="J1701" authorId="1" shapeId="0">
      <text>
        <r>
          <rPr>
            <b/>
            <sz val="9"/>
            <color indexed="81"/>
            <rFont val="Tahoma"/>
            <family val="2"/>
          </rPr>
          <t>If this highlights as an error, consider upsizing the Tether size for better ribbon utilization</t>
        </r>
      </text>
    </comment>
    <comment ref="J1702" authorId="1" shapeId="0">
      <text>
        <r>
          <rPr>
            <b/>
            <sz val="9"/>
            <color indexed="81"/>
            <rFont val="Tahoma"/>
            <family val="2"/>
          </rPr>
          <t>If this highlights as an error, consider upsizing the Tether size for better ribbon utilization</t>
        </r>
      </text>
    </comment>
    <comment ref="J1703" authorId="1" shapeId="0">
      <text>
        <r>
          <rPr>
            <b/>
            <sz val="9"/>
            <color indexed="81"/>
            <rFont val="Tahoma"/>
            <family val="2"/>
          </rPr>
          <t>If this highlights as an error, consider upsizing the Tether size for better ribbon utilization</t>
        </r>
      </text>
    </comment>
    <comment ref="J1704" authorId="1" shapeId="0">
      <text>
        <r>
          <rPr>
            <b/>
            <sz val="9"/>
            <color indexed="81"/>
            <rFont val="Tahoma"/>
            <family val="2"/>
          </rPr>
          <t>If this highlights as an error, consider upsizing the Tether size for better ribbon utilization</t>
        </r>
      </text>
    </comment>
    <comment ref="J1705" authorId="1" shapeId="0">
      <text>
        <r>
          <rPr>
            <b/>
            <sz val="9"/>
            <color indexed="81"/>
            <rFont val="Tahoma"/>
            <family val="2"/>
          </rPr>
          <t>If this highlights as an error, consider upsizing the Tether size for better ribbon utilization</t>
        </r>
      </text>
    </comment>
    <comment ref="J1706" authorId="1" shapeId="0">
      <text>
        <r>
          <rPr>
            <b/>
            <sz val="9"/>
            <color indexed="81"/>
            <rFont val="Tahoma"/>
            <family val="2"/>
          </rPr>
          <t>If this highlights as an error, consider upsizing the Tether size for better ribbon utilization</t>
        </r>
      </text>
    </comment>
    <comment ref="J1707" authorId="1" shapeId="0">
      <text>
        <r>
          <rPr>
            <b/>
            <sz val="9"/>
            <color indexed="81"/>
            <rFont val="Tahoma"/>
            <family val="2"/>
          </rPr>
          <t>If this highlights as an error, consider upsizing the Tether size for better ribbon utilization</t>
        </r>
      </text>
    </comment>
    <comment ref="J1708" authorId="1" shapeId="0">
      <text>
        <r>
          <rPr>
            <b/>
            <sz val="9"/>
            <color indexed="81"/>
            <rFont val="Tahoma"/>
            <family val="2"/>
          </rPr>
          <t>If this highlights as an error, consider upsizing the Tether size for better ribbon utilization</t>
        </r>
      </text>
    </comment>
    <comment ref="J1709" authorId="1" shapeId="0">
      <text>
        <r>
          <rPr>
            <b/>
            <sz val="9"/>
            <color indexed="81"/>
            <rFont val="Tahoma"/>
            <family val="2"/>
          </rPr>
          <t>If this highlights as an error, consider upsizing the Tether size for better ribbon utilization</t>
        </r>
      </text>
    </comment>
    <comment ref="J1710" authorId="1" shapeId="0">
      <text>
        <r>
          <rPr>
            <b/>
            <sz val="9"/>
            <color indexed="81"/>
            <rFont val="Tahoma"/>
            <family val="2"/>
          </rPr>
          <t>If this highlights as an error, consider upsizing the Tether size for better ribbon utilization</t>
        </r>
      </text>
    </comment>
    <comment ref="J1711" authorId="1" shapeId="0">
      <text>
        <r>
          <rPr>
            <b/>
            <sz val="9"/>
            <color indexed="81"/>
            <rFont val="Tahoma"/>
            <family val="2"/>
          </rPr>
          <t>If this highlights as an error, consider upsizing the Tether size for better ribbon utilization</t>
        </r>
      </text>
    </comment>
    <comment ref="J1712" authorId="1" shapeId="0">
      <text>
        <r>
          <rPr>
            <b/>
            <sz val="9"/>
            <color indexed="81"/>
            <rFont val="Tahoma"/>
            <family val="2"/>
          </rPr>
          <t>If this highlights as an error, consider upsizing the Tether size for better ribbon utilization</t>
        </r>
      </text>
    </comment>
    <comment ref="J1713" authorId="1" shapeId="0">
      <text>
        <r>
          <rPr>
            <b/>
            <sz val="9"/>
            <color indexed="81"/>
            <rFont val="Tahoma"/>
            <family val="2"/>
          </rPr>
          <t>If this highlights as an error, consider upsizing the Tether size for better ribbon utilization</t>
        </r>
      </text>
    </comment>
    <comment ref="J1714" authorId="1" shapeId="0">
      <text>
        <r>
          <rPr>
            <b/>
            <sz val="9"/>
            <color indexed="81"/>
            <rFont val="Tahoma"/>
            <family val="2"/>
          </rPr>
          <t>If this highlights as an error, consider upsizing the Tether size for better ribbon utilization</t>
        </r>
      </text>
    </comment>
    <comment ref="J1715" authorId="1" shapeId="0">
      <text>
        <r>
          <rPr>
            <b/>
            <sz val="9"/>
            <color indexed="81"/>
            <rFont val="Tahoma"/>
            <family val="2"/>
          </rPr>
          <t>If this highlights as an error, consider upsizing the Tether size for better ribbon utilization</t>
        </r>
      </text>
    </comment>
    <comment ref="C1716" authorId="1" shapeId="0">
      <text>
        <r>
          <rPr>
            <b/>
            <sz val="9"/>
            <color indexed="81"/>
            <rFont val="Tahoma"/>
            <family val="2"/>
          </rPr>
          <t>DBL REV requires TWO rows!
TPL REV requires THREE rows!
QD REV requires FOUR rows!</t>
        </r>
      </text>
    </comment>
    <comment ref="J1716" authorId="1" shapeId="0">
      <text>
        <r>
          <rPr>
            <b/>
            <sz val="9"/>
            <color indexed="81"/>
            <rFont val="Tahoma"/>
            <family val="2"/>
          </rPr>
          <t>If this highlights as an error, consider upsizing the Tether size for better ribbon utilization</t>
        </r>
      </text>
    </comment>
    <comment ref="C1717" authorId="1" shapeId="0">
      <text>
        <r>
          <rPr>
            <b/>
            <sz val="9"/>
            <color indexed="81"/>
            <rFont val="Tahoma"/>
            <family val="2"/>
          </rPr>
          <t>DBL REV requires TWO rows!
TPL REV requires THREE rows!
QD REV requires FOUR rows!</t>
        </r>
      </text>
    </comment>
    <comment ref="J1717" authorId="1" shapeId="0">
      <text>
        <r>
          <rPr>
            <b/>
            <sz val="9"/>
            <color indexed="81"/>
            <rFont val="Tahoma"/>
            <family val="2"/>
          </rPr>
          <t>If this highlights as an error, consider upsizing the Tether size for better ribbon utilization</t>
        </r>
      </text>
    </comment>
    <comment ref="C1718" authorId="1" shapeId="0">
      <text>
        <r>
          <rPr>
            <b/>
            <sz val="9"/>
            <color indexed="81"/>
            <rFont val="Tahoma"/>
            <family val="2"/>
          </rPr>
          <t>DBL REV requires TWO rows!
TPL REV requires THREE rows!
QD REV requires FOUR rows!</t>
        </r>
      </text>
    </comment>
    <comment ref="J1718" authorId="1" shapeId="0">
      <text>
        <r>
          <rPr>
            <b/>
            <sz val="9"/>
            <color indexed="81"/>
            <rFont val="Tahoma"/>
            <family val="2"/>
          </rPr>
          <t>If this highlights as an error, consider upsizing the Tether size for better ribbon utilization</t>
        </r>
      </text>
    </comment>
    <comment ref="C1719" authorId="1" shapeId="0">
      <text>
        <r>
          <rPr>
            <b/>
            <sz val="9"/>
            <color indexed="81"/>
            <rFont val="Tahoma"/>
            <family val="2"/>
          </rPr>
          <t>DBL REV requires TWO rows!
TPL REV requires THREE rows!
QD REV requires FOUR rows!</t>
        </r>
      </text>
    </comment>
    <comment ref="J1719" authorId="1" shapeId="0">
      <text>
        <r>
          <rPr>
            <b/>
            <sz val="9"/>
            <color indexed="81"/>
            <rFont val="Tahoma"/>
            <family val="2"/>
          </rPr>
          <t>If this highlights as an error, consider upsizing the Tether size for better ribbon utilization</t>
        </r>
      </text>
    </comment>
    <comment ref="C1720" authorId="1" shapeId="0">
      <text>
        <r>
          <rPr>
            <b/>
            <sz val="9"/>
            <color indexed="81"/>
            <rFont val="Tahoma"/>
            <family val="2"/>
          </rPr>
          <t>DBL REV requires TWO rows!
TPL REV requires THREE rows!
QD REV requires FOUR rows!</t>
        </r>
      </text>
    </comment>
    <comment ref="J1720" authorId="1" shapeId="0">
      <text>
        <r>
          <rPr>
            <b/>
            <sz val="9"/>
            <color indexed="81"/>
            <rFont val="Tahoma"/>
            <family val="2"/>
          </rPr>
          <t>If this highlights as an error, consider upsizing the Tether size for better ribbon utilization</t>
        </r>
      </text>
    </comment>
    <comment ref="C1721" authorId="1" shapeId="0">
      <text>
        <r>
          <rPr>
            <b/>
            <sz val="9"/>
            <color indexed="81"/>
            <rFont val="Tahoma"/>
            <family val="2"/>
          </rPr>
          <t>DBL REV requires TWO rows!
TPL REV requires THREE rows!
QD REV requires FOUR rows!</t>
        </r>
      </text>
    </comment>
    <comment ref="J1721" authorId="1" shapeId="0">
      <text>
        <r>
          <rPr>
            <b/>
            <sz val="9"/>
            <color indexed="81"/>
            <rFont val="Tahoma"/>
            <family val="2"/>
          </rPr>
          <t>If this highlights as an error, consider upsizing the Tether size for better ribbon utilization</t>
        </r>
      </text>
    </comment>
    <comment ref="C1722" authorId="1" shapeId="0">
      <text>
        <r>
          <rPr>
            <b/>
            <sz val="9"/>
            <color indexed="81"/>
            <rFont val="Tahoma"/>
            <family val="2"/>
          </rPr>
          <t>DBL REV requires TWO rows!
TPL REV requires THREE rows!
QD REV requires FOUR rows!</t>
        </r>
      </text>
    </comment>
    <comment ref="J1722" authorId="1" shapeId="0">
      <text>
        <r>
          <rPr>
            <b/>
            <sz val="9"/>
            <color indexed="81"/>
            <rFont val="Tahoma"/>
            <family val="2"/>
          </rPr>
          <t>If this highlights as an error, consider upsizing the Tether size for better ribbon utilization</t>
        </r>
      </text>
    </comment>
    <comment ref="B172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text>
        <r>
          <rPr>
            <b/>
            <sz val="8"/>
            <color indexed="81"/>
            <rFont val="Tahoma"/>
            <family val="2"/>
          </rPr>
          <t>This will be added to Planning Load Block A for TOTAL</t>
        </r>
        <r>
          <rPr>
            <sz val="8"/>
            <color indexed="81"/>
            <rFont val="Tahoma"/>
            <family val="2"/>
          </rPr>
          <t xml:space="preserve">
</t>
        </r>
      </text>
    </comment>
    <comment ref="J1728" authorId="0" shapeId="0">
      <text>
        <r>
          <rPr>
            <b/>
            <sz val="8"/>
            <color indexed="81"/>
            <rFont val="Tahoma"/>
            <family val="2"/>
          </rPr>
          <t>This is the PON OUT count that is not assigned in this cable reel.</t>
        </r>
        <r>
          <rPr>
            <sz val="8"/>
            <color indexed="81"/>
            <rFont val="Tahoma"/>
            <family val="2"/>
          </rPr>
          <t xml:space="preserve">
</t>
        </r>
      </text>
    </comment>
    <comment ref="P1728" authorId="1" shapeId="0">
      <text>
        <r>
          <rPr>
            <b/>
            <sz val="9"/>
            <color indexed="81"/>
            <rFont val="Tahoma"/>
            <family val="2"/>
          </rPr>
          <t>REMEMBER: 2-Fbr Tethers are NOT available for RPX CABLE!</t>
        </r>
      </text>
    </comment>
    <comment ref="Q1728" authorId="1" shapeId="0">
      <text>
        <r>
          <rPr>
            <b/>
            <sz val="9"/>
            <color indexed="81"/>
            <rFont val="Tahoma"/>
            <family val="2"/>
          </rPr>
          <t>REMEMBER: 2-Fbr Tethers are NOT available for RPX CABLE!</t>
        </r>
      </text>
    </comment>
    <comment ref="S1728" authorId="1" shapeId="0">
      <text>
        <r>
          <rPr>
            <b/>
            <sz val="9"/>
            <color indexed="81"/>
            <rFont val="Tahoma"/>
            <family val="2"/>
          </rPr>
          <t>REMEMBER: 2-Fbr Tethers are NOT available for RPX CABLE!</t>
        </r>
      </text>
    </comment>
    <comment ref="T1728" authorId="1" shapeId="0">
      <text>
        <r>
          <rPr>
            <b/>
            <sz val="9"/>
            <color indexed="81"/>
            <rFont val="Tahoma"/>
            <family val="2"/>
          </rPr>
          <t>REMEMBER: 2-Fbr Tethers are NOT available for RPX CABLE!</t>
        </r>
      </text>
    </comment>
    <comment ref="B172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text>
        <r>
          <rPr>
            <b/>
            <sz val="8"/>
            <color indexed="81"/>
            <rFont val="Tahoma"/>
            <family val="2"/>
          </rPr>
          <t>Make sure you add this number to "TAT FIBERS ASSIGNED" for the total required in the Load Block on the prints.</t>
        </r>
      </text>
    </comment>
    <comment ref="G1729" authorId="0" shapeId="0">
      <text>
        <r>
          <rPr>
            <b/>
            <sz val="8"/>
            <color indexed="81"/>
            <rFont val="Tahoma"/>
            <family val="2"/>
          </rPr>
          <t>Includes "DEAD" Count (No PON count assigned)</t>
        </r>
      </text>
    </comment>
    <comment ref="I172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text>
        <r>
          <rPr>
            <b/>
            <sz val="9"/>
            <color indexed="81"/>
            <rFont val="Tahoma"/>
            <family val="2"/>
          </rPr>
          <t>REMEMBER: 6-Fbr Tethers are NOT available for RPX CABLE!</t>
        </r>
      </text>
    </comment>
    <comment ref="Q1730" authorId="1" shapeId="0">
      <text>
        <r>
          <rPr>
            <b/>
            <sz val="9"/>
            <color indexed="81"/>
            <rFont val="Tahoma"/>
            <family val="2"/>
          </rPr>
          <t>REMEMBER: 6-Fbr Tethers are NOT available for RPX CABLE!</t>
        </r>
      </text>
    </comment>
    <comment ref="S1730" authorId="1" shapeId="0">
      <text>
        <r>
          <rPr>
            <b/>
            <sz val="9"/>
            <color indexed="81"/>
            <rFont val="Tahoma"/>
            <family val="2"/>
          </rPr>
          <t>REMEMBER: 6-Fbr Tethers are NOT available for RPX CABLE!</t>
        </r>
      </text>
    </comment>
    <comment ref="T1730" authorId="1" shapeId="0">
      <text>
        <r>
          <rPr>
            <b/>
            <sz val="9"/>
            <color indexed="81"/>
            <rFont val="Tahoma"/>
            <family val="2"/>
          </rPr>
          <t>REMEMBER: 6-Fbr Tethers are NOT available for AERIAL CABLE!</t>
        </r>
      </text>
    </comment>
    <comment ref="B173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text>
        <r>
          <rPr>
            <b/>
            <sz val="8"/>
            <color indexed="81"/>
            <rFont val="Tahoma"/>
            <family val="2"/>
          </rPr>
          <t>These are "manufacturing rules" and general warnings</t>
        </r>
        <r>
          <rPr>
            <sz val="8"/>
            <color indexed="81"/>
            <rFont val="Tahoma"/>
            <family val="2"/>
          </rPr>
          <t xml:space="preserve">
</t>
        </r>
      </text>
    </comment>
    <comment ref="B173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text>
        <r>
          <rPr>
            <b/>
            <sz val="8"/>
            <color indexed="81"/>
            <rFont val="Tahoma"/>
            <family val="2"/>
          </rPr>
          <t>This number is a sum of TOTAL PLANNED plus the ASSIGNED TO TETHERS</t>
        </r>
        <r>
          <rPr>
            <sz val="8"/>
            <color indexed="81"/>
            <rFont val="Tahoma"/>
            <family val="2"/>
          </rPr>
          <t xml:space="preserve">
</t>
        </r>
      </text>
    </comment>
    <comment ref="Z1736" authorId="0" shapeId="0">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text>
        <r>
          <rPr>
            <b/>
            <sz val="8"/>
            <color indexed="81"/>
            <rFont val="Tahoma"/>
            <family val="2"/>
          </rPr>
          <t>Counting from High count Backwards- this is Fiber Strand 133</t>
        </r>
      </text>
    </comment>
    <comment ref="AB1736" authorId="0" shapeId="0">
      <text>
        <r>
          <rPr>
            <b/>
            <sz val="8"/>
            <color indexed="81"/>
            <rFont val="Tahoma"/>
            <family val="2"/>
          </rPr>
          <t>Counting from High count Backwards- this is Fiber Strand 144</t>
        </r>
        <r>
          <rPr>
            <sz val="8"/>
            <color indexed="81"/>
            <rFont val="Tahoma"/>
            <family val="2"/>
          </rPr>
          <t xml:space="preserve">
</t>
        </r>
      </text>
    </comment>
    <comment ref="C1737" authorId="0" shapeId="0">
      <text>
        <r>
          <rPr>
            <b/>
            <sz val="8"/>
            <color indexed="81"/>
            <rFont val="Tahoma"/>
            <family val="2"/>
          </rPr>
          <t xml:space="preserve">Select if this tether will be used to feed a CFST or a lateral cable. </t>
        </r>
      </text>
    </comment>
    <comment ref="D1737" authorId="0" shapeId="0">
      <text>
        <r>
          <rPr>
            <b/>
            <sz val="8"/>
            <color indexed="81"/>
            <rFont val="Tahoma"/>
            <family val="2"/>
          </rPr>
          <t>Note the Terminal Address to keep your locations straight</t>
        </r>
        <r>
          <rPr>
            <sz val="8"/>
            <color indexed="81"/>
            <rFont val="Tahoma"/>
            <family val="2"/>
          </rPr>
          <t xml:space="preserve">
</t>
        </r>
      </text>
    </comment>
    <comment ref="E1737" authorId="0" shapeId="0">
      <text>
        <r>
          <rPr>
            <b/>
            <sz val="9"/>
            <color indexed="81"/>
            <rFont val="Calibri"/>
            <family val="2"/>
            <scheme val="minor"/>
          </rPr>
          <t>Pick the Tether Size for the location</t>
        </r>
        <r>
          <rPr>
            <sz val="8"/>
            <color indexed="81"/>
            <rFont val="Tahoma"/>
            <family val="2"/>
          </rPr>
          <t xml:space="preserve">
</t>
        </r>
      </text>
    </comment>
    <comment ref="F1737" authorId="2" shapeId="0">
      <text>
        <r>
          <rPr>
            <b/>
            <sz val="9"/>
            <color indexed="81"/>
            <rFont val="Tahoma"/>
            <family val="2"/>
          </rPr>
          <t>Identify TCF or FST location.
Leave blank if tether is NOT for a TCF or FST!</t>
        </r>
      </text>
    </comment>
    <comment ref="H1737" authorId="0" shapeId="0">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text>
        <r>
          <rPr>
            <b/>
            <sz val="8"/>
            <color indexed="81"/>
            <rFont val="Tahoma"/>
            <family val="2"/>
          </rPr>
          <t>If any of these numbers are negative, check your PON count and Cable size</t>
        </r>
      </text>
    </comment>
    <comment ref="J173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text>
        <r>
          <rPr>
            <b/>
            <sz val="9"/>
            <color indexed="81"/>
            <rFont val="Tahoma"/>
            <family val="2"/>
          </rPr>
          <t>Leave blank if using 10' Terminal Tail
Enter Tail length if greater than 10'</t>
        </r>
      </text>
    </comment>
    <comment ref="M1737" authorId="0" shapeId="0">
      <text>
        <r>
          <rPr>
            <b/>
            <sz val="8"/>
            <color indexed="81"/>
            <rFont val="Tahoma"/>
            <family val="2"/>
          </rPr>
          <t>Make design notes such as slack coils, realingment loops,  or location notes</t>
        </r>
      </text>
    </comment>
    <comment ref="Z1737" authorId="0" shapeId="0">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text>
        <r>
          <rPr>
            <b/>
            <sz val="8"/>
            <color indexed="81"/>
            <rFont val="Tahoma"/>
            <family val="2"/>
          </rPr>
          <t xml:space="preserve">Counting from High count Backwards- this is Fiber Strand 145
</t>
        </r>
      </text>
    </comment>
    <comment ref="AB1737" authorId="0" shapeId="0">
      <text>
        <r>
          <rPr>
            <b/>
            <sz val="8"/>
            <color indexed="81"/>
            <rFont val="Tahoma"/>
            <family val="2"/>
          </rPr>
          <t>Counting from High count Backwards- this is Fiber Strand 156</t>
        </r>
      </text>
    </comment>
    <comment ref="J1739" authorId="1" shapeId="0">
      <text>
        <r>
          <rPr>
            <b/>
            <sz val="9"/>
            <color indexed="81"/>
            <rFont val="Tahoma"/>
            <family val="2"/>
          </rPr>
          <t>If this highlights as an error, consider upsizing the Tether size for better ribbon utilization</t>
        </r>
      </text>
    </comment>
    <comment ref="J1740" authorId="1" shapeId="0">
      <text>
        <r>
          <rPr>
            <b/>
            <sz val="9"/>
            <color indexed="81"/>
            <rFont val="Tahoma"/>
            <family val="2"/>
          </rPr>
          <t>If this highlights as an error, consider upsizing the Tether size for better ribbon utilization</t>
        </r>
      </text>
    </comment>
    <comment ref="J1741" authorId="1" shapeId="0">
      <text>
        <r>
          <rPr>
            <b/>
            <sz val="9"/>
            <color indexed="81"/>
            <rFont val="Tahoma"/>
            <family val="2"/>
          </rPr>
          <t>If this highlights as an error, consider upsizing the Tether size for better ribbon utilization</t>
        </r>
      </text>
    </comment>
    <comment ref="J1742" authorId="1" shapeId="0">
      <text>
        <r>
          <rPr>
            <b/>
            <sz val="9"/>
            <color indexed="81"/>
            <rFont val="Tahoma"/>
            <family val="2"/>
          </rPr>
          <t>If this highlights as an error, consider upsizing the Tether size for better ribbon utilization</t>
        </r>
      </text>
    </comment>
    <comment ref="J1743" authorId="1" shapeId="0">
      <text>
        <r>
          <rPr>
            <b/>
            <sz val="9"/>
            <color indexed="81"/>
            <rFont val="Tahoma"/>
            <family val="2"/>
          </rPr>
          <t>If this highlights as an error, consider upsizing the Tether size for better ribbon utilization</t>
        </r>
      </text>
    </comment>
    <comment ref="J1744" authorId="1" shapeId="0">
      <text>
        <r>
          <rPr>
            <b/>
            <sz val="9"/>
            <color indexed="81"/>
            <rFont val="Tahoma"/>
            <family val="2"/>
          </rPr>
          <t>If this highlights as an error, consider upsizing the Tether size for better ribbon utilization</t>
        </r>
      </text>
    </comment>
    <comment ref="J1745" authorId="1" shapeId="0">
      <text>
        <r>
          <rPr>
            <b/>
            <sz val="9"/>
            <color indexed="81"/>
            <rFont val="Tahoma"/>
            <family val="2"/>
          </rPr>
          <t>If this highlights as an error, consider upsizing the Tether size for better ribbon utilization</t>
        </r>
      </text>
    </comment>
    <comment ref="J1746" authorId="1" shapeId="0">
      <text>
        <r>
          <rPr>
            <b/>
            <sz val="9"/>
            <color indexed="81"/>
            <rFont val="Tahoma"/>
            <family val="2"/>
          </rPr>
          <t>If this highlights as an error, consider upsizing the Tether size for better ribbon utilization</t>
        </r>
      </text>
    </comment>
    <comment ref="J1747" authorId="1" shapeId="0">
      <text>
        <r>
          <rPr>
            <b/>
            <sz val="9"/>
            <color indexed="81"/>
            <rFont val="Tahoma"/>
            <family val="2"/>
          </rPr>
          <t>If this highlights as an error, consider upsizing the Tether size for better ribbon utilization</t>
        </r>
      </text>
    </comment>
    <comment ref="J1748" authorId="1" shapeId="0">
      <text>
        <r>
          <rPr>
            <b/>
            <sz val="9"/>
            <color indexed="81"/>
            <rFont val="Tahoma"/>
            <family val="2"/>
          </rPr>
          <t>If this highlights as an error, consider upsizing the Tether size for better ribbon utilization</t>
        </r>
      </text>
    </comment>
    <comment ref="J1749" authorId="1" shapeId="0">
      <text>
        <r>
          <rPr>
            <b/>
            <sz val="9"/>
            <color indexed="81"/>
            <rFont val="Tahoma"/>
            <family val="2"/>
          </rPr>
          <t>If this highlights as an error, consider upsizing the Tether size for better ribbon utilization</t>
        </r>
      </text>
    </comment>
    <comment ref="J1750" authorId="1" shapeId="0">
      <text>
        <r>
          <rPr>
            <b/>
            <sz val="9"/>
            <color indexed="81"/>
            <rFont val="Tahoma"/>
            <family val="2"/>
          </rPr>
          <t>If this highlights as an error, consider upsizing the Tether size for better ribbon utilization</t>
        </r>
      </text>
    </comment>
    <comment ref="J1751" authorId="1" shapeId="0">
      <text>
        <r>
          <rPr>
            <b/>
            <sz val="9"/>
            <color indexed="81"/>
            <rFont val="Tahoma"/>
            <family val="2"/>
          </rPr>
          <t>If this highlights as an error, consider upsizing the Tether size for better ribbon utilization</t>
        </r>
      </text>
    </comment>
    <comment ref="J1752" authorId="1" shapeId="0">
      <text>
        <r>
          <rPr>
            <b/>
            <sz val="9"/>
            <color indexed="81"/>
            <rFont val="Tahoma"/>
            <family val="2"/>
          </rPr>
          <t>If this highlights as an error, consider upsizing the Tether size for better ribbon utilization</t>
        </r>
      </text>
    </comment>
    <comment ref="J1753" authorId="1" shapeId="0">
      <text>
        <r>
          <rPr>
            <b/>
            <sz val="9"/>
            <color indexed="81"/>
            <rFont val="Tahoma"/>
            <family val="2"/>
          </rPr>
          <t>If this highlights as an error, consider upsizing the Tether size for better ribbon utilization</t>
        </r>
      </text>
    </comment>
    <comment ref="J1754" authorId="1" shapeId="0">
      <text>
        <r>
          <rPr>
            <b/>
            <sz val="9"/>
            <color indexed="81"/>
            <rFont val="Tahoma"/>
            <family val="2"/>
          </rPr>
          <t>If this highlights as an error, consider upsizing the Tether size for better ribbon utilization</t>
        </r>
      </text>
    </comment>
    <comment ref="J1755" authorId="1" shapeId="0">
      <text>
        <r>
          <rPr>
            <b/>
            <sz val="9"/>
            <color indexed="81"/>
            <rFont val="Tahoma"/>
            <family val="2"/>
          </rPr>
          <t>If this highlights as an error, consider upsizing the Tether size for better ribbon utilization</t>
        </r>
      </text>
    </comment>
    <comment ref="J1756" authorId="1" shapeId="0">
      <text>
        <r>
          <rPr>
            <b/>
            <sz val="9"/>
            <color indexed="81"/>
            <rFont val="Tahoma"/>
            <family val="2"/>
          </rPr>
          <t>If this highlights as an error, consider upsizing the Tether size for better ribbon utilization</t>
        </r>
      </text>
    </comment>
    <comment ref="C1757" authorId="1" shapeId="0">
      <text>
        <r>
          <rPr>
            <b/>
            <sz val="9"/>
            <color indexed="81"/>
            <rFont val="Tahoma"/>
            <family val="2"/>
          </rPr>
          <t>DBL REV requires TWO rows!
TPL REV requires THREE rows!
QD REV requires FOUR rows!</t>
        </r>
      </text>
    </comment>
    <comment ref="J1757" authorId="1" shapeId="0">
      <text>
        <r>
          <rPr>
            <b/>
            <sz val="9"/>
            <color indexed="81"/>
            <rFont val="Tahoma"/>
            <family val="2"/>
          </rPr>
          <t>If this highlights as an error, consider upsizing the Tether size for better ribbon utilization</t>
        </r>
      </text>
    </comment>
    <comment ref="C1758" authorId="1" shapeId="0">
      <text>
        <r>
          <rPr>
            <b/>
            <sz val="9"/>
            <color indexed="81"/>
            <rFont val="Tahoma"/>
            <family val="2"/>
          </rPr>
          <t>DBL REV requires TWO rows!
TPL REV requires THREE rows!
QD REV requires FOUR rows!</t>
        </r>
      </text>
    </comment>
    <comment ref="J1758" authorId="1" shapeId="0">
      <text>
        <r>
          <rPr>
            <b/>
            <sz val="9"/>
            <color indexed="81"/>
            <rFont val="Tahoma"/>
            <family val="2"/>
          </rPr>
          <t>If this highlights as an error, consider upsizing the Tether size for better ribbon utilization</t>
        </r>
      </text>
    </comment>
    <comment ref="C1759" authorId="1" shapeId="0">
      <text>
        <r>
          <rPr>
            <b/>
            <sz val="9"/>
            <color indexed="81"/>
            <rFont val="Tahoma"/>
            <family val="2"/>
          </rPr>
          <t>DBL REV requires TWO rows!
TPL REV requires THREE rows!
QD REV requires FOUR rows!</t>
        </r>
      </text>
    </comment>
    <comment ref="J1759" authorId="1" shapeId="0">
      <text>
        <r>
          <rPr>
            <b/>
            <sz val="9"/>
            <color indexed="81"/>
            <rFont val="Tahoma"/>
            <family val="2"/>
          </rPr>
          <t>If this highlights as an error, consider upsizing the Tether size for better ribbon utilization</t>
        </r>
      </text>
    </comment>
    <comment ref="C1760" authorId="1" shapeId="0">
      <text>
        <r>
          <rPr>
            <b/>
            <sz val="9"/>
            <color indexed="81"/>
            <rFont val="Tahoma"/>
            <family val="2"/>
          </rPr>
          <t>DBL REV requires TWO rows!
TPL REV requires THREE rows!
QD REV requires FOUR rows!</t>
        </r>
      </text>
    </comment>
    <comment ref="J1760" authorId="1" shapeId="0">
      <text>
        <r>
          <rPr>
            <b/>
            <sz val="9"/>
            <color indexed="81"/>
            <rFont val="Tahoma"/>
            <family val="2"/>
          </rPr>
          <t>If this highlights as an error, consider upsizing the Tether size for better ribbon utilization</t>
        </r>
      </text>
    </comment>
    <comment ref="C1761" authorId="1" shapeId="0">
      <text>
        <r>
          <rPr>
            <b/>
            <sz val="9"/>
            <color indexed="81"/>
            <rFont val="Tahoma"/>
            <family val="2"/>
          </rPr>
          <t>DBL REV requires TWO rows!
TPL REV requires THREE rows!
QD REV requires FOUR rows!</t>
        </r>
      </text>
    </comment>
    <comment ref="J1761" authorId="1" shapeId="0">
      <text>
        <r>
          <rPr>
            <b/>
            <sz val="9"/>
            <color indexed="81"/>
            <rFont val="Tahoma"/>
            <family val="2"/>
          </rPr>
          <t>If this highlights as an error, consider upsizing the Tether size for better ribbon utilization</t>
        </r>
      </text>
    </comment>
    <comment ref="C1762" authorId="1" shapeId="0">
      <text>
        <r>
          <rPr>
            <b/>
            <sz val="9"/>
            <color indexed="81"/>
            <rFont val="Tahoma"/>
            <family val="2"/>
          </rPr>
          <t>DBL REV requires TWO rows!
TPL REV requires THREE rows!
QD REV requires FOUR rows!</t>
        </r>
      </text>
    </comment>
    <comment ref="J1762" authorId="1" shapeId="0">
      <text>
        <r>
          <rPr>
            <b/>
            <sz val="9"/>
            <color indexed="81"/>
            <rFont val="Tahoma"/>
            <family val="2"/>
          </rPr>
          <t>If this highlights as an error, consider upsizing the Tether size for better ribbon utilization</t>
        </r>
      </text>
    </comment>
    <comment ref="C1763" authorId="1" shapeId="0">
      <text>
        <r>
          <rPr>
            <b/>
            <sz val="9"/>
            <color indexed="81"/>
            <rFont val="Tahoma"/>
            <family val="2"/>
          </rPr>
          <t>DBL REV requires TWO rows!
TPL REV requires THREE rows!
QD REV requires FOUR rows!</t>
        </r>
      </text>
    </comment>
    <comment ref="J1763" authorId="1" shapeId="0">
      <text>
        <r>
          <rPr>
            <b/>
            <sz val="9"/>
            <color indexed="81"/>
            <rFont val="Tahoma"/>
            <family val="2"/>
          </rPr>
          <t>If this highlights as an error, consider upsizing the Tether size for better ribbon utilization</t>
        </r>
      </text>
    </comment>
    <comment ref="B176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text>
        <r>
          <rPr>
            <b/>
            <sz val="8"/>
            <color indexed="81"/>
            <rFont val="Tahoma"/>
            <family val="2"/>
          </rPr>
          <t>This will be added to Planning Load Block A for TOTAL</t>
        </r>
        <r>
          <rPr>
            <sz val="8"/>
            <color indexed="81"/>
            <rFont val="Tahoma"/>
            <family val="2"/>
          </rPr>
          <t xml:space="preserve">
</t>
        </r>
      </text>
    </comment>
    <comment ref="J1769" authorId="0" shapeId="0">
      <text>
        <r>
          <rPr>
            <b/>
            <sz val="8"/>
            <color indexed="81"/>
            <rFont val="Tahoma"/>
            <family val="2"/>
          </rPr>
          <t>This is the PON OUT count that is not assigned in this cable reel.</t>
        </r>
        <r>
          <rPr>
            <sz val="8"/>
            <color indexed="81"/>
            <rFont val="Tahoma"/>
            <family val="2"/>
          </rPr>
          <t xml:space="preserve">
</t>
        </r>
      </text>
    </comment>
    <comment ref="P1769" authorId="1" shapeId="0">
      <text>
        <r>
          <rPr>
            <b/>
            <sz val="9"/>
            <color indexed="81"/>
            <rFont val="Tahoma"/>
            <family val="2"/>
          </rPr>
          <t>REMEMBER: 2-Fbr Tethers are NOT available for RPX CABLE!</t>
        </r>
      </text>
    </comment>
    <comment ref="Q1769" authorId="1" shapeId="0">
      <text>
        <r>
          <rPr>
            <b/>
            <sz val="9"/>
            <color indexed="81"/>
            <rFont val="Tahoma"/>
            <family val="2"/>
          </rPr>
          <t>REMEMBER: 2-Fbr Tethers are NOT available for RPX CABLE!</t>
        </r>
      </text>
    </comment>
    <comment ref="S1769" authorId="1" shapeId="0">
      <text>
        <r>
          <rPr>
            <b/>
            <sz val="9"/>
            <color indexed="81"/>
            <rFont val="Tahoma"/>
            <family val="2"/>
          </rPr>
          <t>REMEMBER: 2-Fbr Tethers are NOT available for RPX CABLE!</t>
        </r>
      </text>
    </comment>
    <comment ref="T1769" authorId="1" shapeId="0">
      <text>
        <r>
          <rPr>
            <b/>
            <sz val="9"/>
            <color indexed="81"/>
            <rFont val="Tahoma"/>
            <family val="2"/>
          </rPr>
          <t>REMEMBER: 2-Fbr Tethers are NOT available for RPX CABLE!</t>
        </r>
      </text>
    </comment>
    <comment ref="B177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text>
        <r>
          <rPr>
            <b/>
            <sz val="8"/>
            <color indexed="81"/>
            <rFont val="Tahoma"/>
            <family val="2"/>
          </rPr>
          <t>Make sure you add this number to "TAT FIBERS ASSIGNED" for the total required in the Load Block on the prints.</t>
        </r>
      </text>
    </comment>
    <comment ref="G1770" authorId="0" shapeId="0">
      <text>
        <r>
          <rPr>
            <b/>
            <sz val="8"/>
            <color indexed="81"/>
            <rFont val="Tahoma"/>
            <family val="2"/>
          </rPr>
          <t>Includes "DEAD" Count (No PON count assigned)</t>
        </r>
      </text>
    </comment>
    <comment ref="I177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text>
        <r>
          <rPr>
            <b/>
            <sz val="9"/>
            <color indexed="81"/>
            <rFont val="Tahoma"/>
            <family val="2"/>
          </rPr>
          <t>REMEMBER: 6-Fbr Tethers are NOT available for RPX CABLE!</t>
        </r>
      </text>
    </comment>
    <comment ref="Q1771" authorId="1" shapeId="0">
      <text>
        <r>
          <rPr>
            <b/>
            <sz val="9"/>
            <color indexed="81"/>
            <rFont val="Tahoma"/>
            <family val="2"/>
          </rPr>
          <t>REMEMBER: 6-Fbr Tethers are NOT available for RPX CABLE!</t>
        </r>
      </text>
    </comment>
    <comment ref="S1771" authorId="1" shapeId="0">
      <text>
        <r>
          <rPr>
            <b/>
            <sz val="9"/>
            <color indexed="81"/>
            <rFont val="Tahoma"/>
            <family val="2"/>
          </rPr>
          <t>REMEMBER: 6-Fbr Tethers are NOT available for RPX CABLE!</t>
        </r>
      </text>
    </comment>
    <comment ref="T1771" authorId="1" shapeId="0">
      <text>
        <r>
          <rPr>
            <b/>
            <sz val="9"/>
            <color indexed="81"/>
            <rFont val="Tahoma"/>
            <family val="2"/>
          </rPr>
          <t>REMEMBER: 6-Fbr Tethers are NOT available for AERIAL CABLE!</t>
        </r>
      </text>
    </comment>
    <comment ref="B177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text>
        <r>
          <rPr>
            <b/>
            <sz val="8"/>
            <color indexed="81"/>
            <rFont val="Tahoma"/>
            <family val="2"/>
          </rPr>
          <t>These are "manufacturing rules" and general warnings</t>
        </r>
        <r>
          <rPr>
            <sz val="8"/>
            <color indexed="81"/>
            <rFont val="Tahoma"/>
            <family val="2"/>
          </rPr>
          <t xml:space="preserve">
</t>
        </r>
      </text>
    </comment>
    <comment ref="B177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text>
        <r>
          <rPr>
            <b/>
            <sz val="8"/>
            <color indexed="81"/>
            <rFont val="Tahoma"/>
            <family val="2"/>
          </rPr>
          <t>This number is a sum of TOTAL PLANNED plus the ASSIGNED TO TETHERS</t>
        </r>
        <r>
          <rPr>
            <sz val="8"/>
            <color indexed="81"/>
            <rFont val="Tahoma"/>
            <family val="2"/>
          </rPr>
          <t xml:space="preserve">
</t>
        </r>
      </text>
    </comment>
    <comment ref="Z1777" authorId="0" shapeId="0">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text>
        <r>
          <rPr>
            <b/>
            <sz val="8"/>
            <color indexed="81"/>
            <rFont val="Tahoma"/>
            <family val="2"/>
          </rPr>
          <t>Counting from High count Backwards- this is Fiber Strand 133</t>
        </r>
      </text>
    </comment>
    <comment ref="AB1777" authorId="0" shapeId="0">
      <text>
        <r>
          <rPr>
            <b/>
            <sz val="8"/>
            <color indexed="81"/>
            <rFont val="Tahoma"/>
            <family val="2"/>
          </rPr>
          <t>Counting from High count Backwards- this is Fiber Strand 144</t>
        </r>
        <r>
          <rPr>
            <sz val="8"/>
            <color indexed="81"/>
            <rFont val="Tahoma"/>
            <family val="2"/>
          </rPr>
          <t xml:space="preserve">
</t>
        </r>
      </text>
    </comment>
    <comment ref="C1778" authorId="0" shapeId="0">
      <text>
        <r>
          <rPr>
            <b/>
            <sz val="8"/>
            <color indexed="81"/>
            <rFont val="Tahoma"/>
            <family val="2"/>
          </rPr>
          <t xml:space="preserve">Select if this tether will be used to feed a CFST or a lateral cable. </t>
        </r>
      </text>
    </comment>
    <comment ref="D1778" authorId="0" shapeId="0">
      <text>
        <r>
          <rPr>
            <b/>
            <sz val="8"/>
            <color indexed="81"/>
            <rFont val="Tahoma"/>
            <family val="2"/>
          </rPr>
          <t>Note the Terminal Address to keep your locations straight</t>
        </r>
        <r>
          <rPr>
            <sz val="8"/>
            <color indexed="81"/>
            <rFont val="Tahoma"/>
            <family val="2"/>
          </rPr>
          <t xml:space="preserve">
</t>
        </r>
      </text>
    </comment>
    <comment ref="E1778" authorId="0" shapeId="0">
      <text>
        <r>
          <rPr>
            <b/>
            <sz val="9"/>
            <color indexed="81"/>
            <rFont val="Calibri"/>
            <family val="2"/>
            <scheme val="minor"/>
          </rPr>
          <t>Pick the Tether Size for the location</t>
        </r>
        <r>
          <rPr>
            <sz val="8"/>
            <color indexed="81"/>
            <rFont val="Tahoma"/>
            <family val="2"/>
          </rPr>
          <t xml:space="preserve">
</t>
        </r>
      </text>
    </comment>
    <comment ref="F1778" authorId="2" shapeId="0">
      <text>
        <r>
          <rPr>
            <b/>
            <sz val="9"/>
            <color indexed="81"/>
            <rFont val="Tahoma"/>
            <family val="2"/>
          </rPr>
          <t>Identify TCF or FST location.
Leave blank if tether is NOT for a TCF or FST!</t>
        </r>
      </text>
    </comment>
    <comment ref="H1778" authorId="0" shapeId="0">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text>
        <r>
          <rPr>
            <b/>
            <sz val="8"/>
            <color indexed="81"/>
            <rFont val="Tahoma"/>
            <family val="2"/>
          </rPr>
          <t>If any of these numbers are negative, check your PON count and Cable size</t>
        </r>
      </text>
    </comment>
    <comment ref="J177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text>
        <r>
          <rPr>
            <b/>
            <sz val="9"/>
            <color indexed="81"/>
            <rFont val="Tahoma"/>
            <family val="2"/>
          </rPr>
          <t>Leave blank if using 10' Terminal Tail
Enter Tail length if greater than 10'</t>
        </r>
      </text>
    </comment>
    <comment ref="M1778" authorId="0" shapeId="0">
      <text>
        <r>
          <rPr>
            <b/>
            <sz val="8"/>
            <color indexed="81"/>
            <rFont val="Tahoma"/>
            <family val="2"/>
          </rPr>
          <t>Make design notes such as slack coils, realingment loops,  or location notes</t>
        </r>
      </text>
    </comment>
    <comment ref="Z17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text>
        <r>
          <rPr>
            <b/>
            <sz val="8"/>
            <color indexed="81"/>
            <rFont val="Tahoma"/>
            <family val="2"/>
          </rPr>
          <t xml:space="preserve">Counting from High count Backwards- this is Fiber Strand 145
</t>
        </r>
      </text>
    </comment>
    <comment ref="AB1778" authorId="0" shapeId="0">
      <text>
        <r>
          <rPr>
            <b/>
            <sz val="8"/>
            <color indexed="81"/>
            <rFont val="Tahoma"/>
            <family val="2"/>
          </rPr>
          <t>Counting from High count Backwards- this is Fiber Strand 156</t>
        </r>
      </text>
    </comment>
    <comment ref="J1780" authorId="1" shapeId="0">
      <text>
        <r>
          <rPr>
            <b/>
            <sz val="9"/>
            <color indexed="81"/>
            <rFont val="Tahoma"/>
            <family val="2"/>
          </rPr>
          <t>If this highlights as an error, consider upsizing the Tether size for better ribbon utilization</t>
        </r>
      </text>
    </comment>
    <comment ref="J1781" authorId="1" shapeId="0">
      <text>
        <r>
          <rPr>
            <b/>
            <sz val="9"/>
            <color indexed="81"/>
            <rFont val="Tahoma"/>
            <family val="2"/>
          </rPr>
          <t>If this highlights as an error, consider upsizing the Tether size for better ribbon utilization</t>
        </r>
      </text>
    </comment>
    <comment ref="J1782" authorId="1" shapeId="0">
      <text>
        <r>
          <rPr>
            <b/>
            <sz val="9"/>
            <color indexed="81"/>
            <rFont val="Tahoma"/>
            <family val="2"/>
          </rPr>
          <t>If this highlights as an error, consider upsizing the Tether size for better ribbon utilization</t>
        </r>
      </text>
    </comment>
    <comment ref="J1783" authorId="1" shapeId="0">
      <text>
        <r>
          <rPr>
            <b/>
            <sz val="9"/>
            <color indexed="81"/>
            <rFont val="Tahoma"/>
            <family val="2"/>
          </rPr>
          <t>If this highlights as an error, consider upsizing the Tether size for better ribbon utilization</t>
        </r>
      </text>
    </comment>
    <comment ref="J1784" authorId="1" shapeId="0">
      <text>
        <r>
          <rPr>
            <b/>
            <sz val="9"/>
            <color indexed="81"/>
            <rFont val="Tahoma"/>
            <family val="2"/>
          </rPr>
          <t>If this highlights as an error, consider upsizing the Tether size for better ribbon utilization</t>
        </r>
      </text>
    </comment>
    <comment ref="J1785" authorId="1" shapeId="0">
      <text>
        <r>
          <rPr>
            <b/>
            <sz val="9"/>
            <color indexed="81"/>
            <rFont val="Tahoma"/>
            <family val="2"/>
          </rPr>
          <t>If this highlights as an error, consider upsizing the Tether size for better ribbon utilization</t>
        </r>
      </text>
    </comment>
    <comment ref="J1786" authorId="1" shapeId="0">
      <text>
        <r>
          <rPr>
            <b/>
            <sz val="9"/>
            <color indexed="81"/>
            <rFont val="Tahoma"/>
            <family val="2"/>
          </rPr>
          <t>If this highlights as an error, consider upsizing the Tether size for better ribbon utilization</t>
        </r>
      </text>
    </comment>
    <comment ref="J1787" authorId="1" shapeId="0">
      <text>
        <r>
          <rPr>
            <b/>
            <sz val="9"/>
            <color indexed="81"/>
            <rFont val="Tahoma"/>
            <family val="2"/>
          </rPr>
          <t>If this highlights as an error, consider upsizing the Tether size for better ribbon utilization</t>
        </r>
      </text>
    </comment>
    <comment ref="J1788" authorId="1" shapeId="0">
      <text>
        <r>
          <rPr>
            <b/>
            <sz val="9"/>
            <color indexed="81"/>
            <rFont val="Tahoma"/>
            <family val="2"/>
          </rPr>
          <t>If this highlights as an error, consider upsizing the Tether size for better ribbon utilization</t>
        </r>
      </text>
    </comment>
    <comment ref="J1789" authorId="1" shapeId="0">
      <text>
        <r>
          <rPr>
            <b/>
            <sz val="9"/>
            <color indexed="81"/>
            <rFont val="Tahoma"/>
            <family val="2"/>
          </rPr>
          <t>If this highlights as an error, consider upsizing the Tether size for better ribbon utilization</t>
        </r>
      </text>
    </comment>
    <comment ref="J1790" authorId="1" shapeId="0">
      <text>
        <r>
          <rPr>
            <b/>
            <sz val="9"/>
            <color indexed="81"/>
            <rFont val="Tahoma"/>
            <family val="2"/>
          </rPr>
          <t>If this highlights as an error, consider upsizing the Tether size for better ribbon utilization</t>
        </r>
      </text>
    </comment>
    <comment ref="J1791" authorId="1" shapeId="0">
      <text>
        <r>
          <rPr>
            <b/>
            <sz val="9"/>
            <color indexed="81"/>
            <rFont val="Tahoma"/>
            <family val="2"/>
          </rPr>
          <t>If this highlights as an error, consider upsizing the Tether size for better ribbon utilization</t>
        </r>
      </text>
    </comment>
    <comment ref="J1792" authorId="1" shapeId="0">
      <text>
        <r>
          <rPr>
            <b/>
            <sz val="9"/>
            <color indexed="81"/>
            <rFont val="Tahoma"/>
            <family val="2"/>
          </rPr>
          <t>If this highlights as an error, consider upsizing the Tether size for better ribbon utilization</t>
        </r>
      </text>
    </comment>
    <comment ref="J1793" authorId="1" shapeId="0">
      <text>
        <r>
          <rPr>
            <b/>
            <sz val="9"/>
            <color indexed="81"/>
            <rFont val="Tahoma"/>
            <family val="2"/>
          </rPr>
          <t>If this highlights as an error, consider upsizing the Tether size for better ribbon utilization</t>
        </r>
      </text>
    </comment>
    <comment ref="J1794" authorId="1" shapeId="0">
      <text>
        <r>
          <rPr>
            <b/>
            <sz val="9"/>
            <color indexed="81"/>
            <rFont val="Tahoma"/>
            <family val="2"/>
          </rPr>
          <t>If this highlights as an error, consider upsizing the Tether size for better ribbon utilization</t>
        </r>
      </text>
    </comment>
    <comment ref="J1795" authorId="1" shapeId="0">
      <text>
        <r>
          <rPr>
            <b/>
            <sz val="9"/>
            <color indexed="81"/>
            <rFont val="Tahoma"/>
            <family val="2"/>
          </rPr>
          <t>If this highlights as an error, consider upsizing the Tether size for better ribbon utilization</t>
        </r>
      </text>
    </comment>
    <comment ref="J1796" authorId="1" shapeId="0">
      <text>
        <r>
          <rPr>
            <b/>
            <sz val="9"/>
            <color indexed="81"/>
            <rFont val="Tahoma"/>
            <family val="2"/>
          </rPr>
          <t>If this highlights as an error, consider upsizing the Tether size for better ribbon utilization</t>
        </r>
      </text>
    </comment>
    <comment ref="J1797" authorId="1" shapeId="0">
      <text>
        <r>
          <rPr>
            <b/>
            <sz val="9"/>
            <color indexed="81"/>
            <rFont val="Tahoma"/>
            <family val="2"/>
          </rPr>
          <t>If this highlights as an error, consider upsizing the Tether size for better ribbon utilization</t>
        </r>
      </text>
    </comment>
    <comment ref="C1798" authorId="1" shapeId="0">
      <text>
        <r>
          <rPr>
            <b/>
            <sz val="9"/>
            <color indexed="81"/>
            <rFont val="Tahoma"/>
            <family val="2"/>
          </rPr>
          <t>DBL REV requires TWO rows!
TPL REV requires THREE rows!
QD REV requires FOUR rows!</t>
        </r>
      </text>
    </comment>
    <comment ref="J1798" authorId="1" shapeId="0">
      <text>
        <r>
          <rPr>
            <b/>
            <sz val="9"/>
            <color indexed="81"/>
            <rFont val="Tahoma"/>
            <family val="2"/>
          </rPr>
          <t>If this highlights as an error, consider upsizing the Tether size for better ribbon utilization</t>
        </r>
      </text>
    </comment>
    <comment ref="C1799" authorId="1" shapeId="0">
      <text>
        <r>
          <rPr>
            <b/>
            <sz val="9"/>
            <color indexed="81"/>
            <rFont val="Tahoma"/>
            <family val="2"/>
          </rPr>
          <t>DBL REV requires TWO rows!
TPL REV requires THREE rows!
QD REV requires FOUR rows!</t>
        </r>
      </text>
    </comment>
    <comment ref="J1799" authorId="1" shapeId="0">
      <text>
        <r>
          <rPr>
            <b/>
            <sz val="9"/>
            <color indexed="81"/>
            <rFont val="Tahoma"/>
            <family val="2"/>
          </rPr>
          <t>If this highlights as an error, consider upsizing the Tether size for better ribbon utilization</t>
        </r>
      </text>
    </comment>
    <comment ref="C1800" authorId="1" shapeId="0">
      <text>
        <r>
          <rPr>
            <b/>
            <sz val="9"/>
            <color indexed="81"/>
            <rFont val="Tahoma"/>
            <family val="2"/>
          </rPr>
          <t>DBL REV requires TWO rows!
TPL REV requires THREE rows!
QD REV requires FOUR rows!</t>
        </r>
      </text>
    </comment>
    <comment ref="J1800" authorId="1" shapeId="0">
      <text>
        <r>
          <rPr>
            <b/>
            <sz val="9"/>
            <color indexed="81"/>
            <rFont val="Tahoma"/>
            <family val="2"/>
          </rPr>
          <t>If this highlights as an error, consider upsizing the Tether size for better ribbon utilization</t>
        </r>
      </text>
    </comment>
    <comment ref="C1801" authorId="1" shapeId="0">
      <text>
        <r>
          <rPr>
            <b/>
            <sz val="9"/>
            <color indexed="81"/>
            <rFont val="Tahoma"/>
            <family val="2"/>
          </rPr>
          <t>DBL REV requires TWO rows!
TPL REV requires THREE rows!
QD REV requires FOUR rows!</t>
        </r>
      </text>
    </comment>
    <comment ref="J1801" authorId="1" shapeId="0">
      <text>
        <r>
          <rPr>
            <b/>
            <sz val="9"/>
            <color indexed="81"/>
            <rFont val="Tahoma"/>
            <family val="2"/>
          </rPr>
          <t>If this highlights as an error, consider upsizing the Tether size for better ribbon utilization</t>
        </r>
      </text>
    </comment>
    <comment ref="C1802" authorId="1" shapeId="0">
      <text>
        <r>
          <rPr>
            <b/>
            <sz val="9"/>
            <color indexed="81"/>
            <rFont val="Tahoma"/>
            <family val="2"/>
          </rPr>
          <t>DBL REV requires TWO rows!
TPL REV requires THREE rows!
QD REV requires FOUR rows!</t>
        </r>
      </text>
    </comment>
    <comment ref="J1802" authorId="1" shapeId="0">
      <text>
        <r>
          <rPr>
            <b/>
            <sz val="9"/>
            <color indexed="81"/>
            <rFont val="Tahoma"/>
            <family val="2"/>
          </rPr>
          <t>If this highlights as an error, consider upsizing the Tether size for better ribbon utilization</t>
        </r>
      </text>
    </comment>
    <comment ref="C1803" authorId="1" shapeId="0">
      <text>
        <r>
          <rPr>
            <b/>
            <sz val="9"/>
            <color indexed="81"/>
            <rFont val="Tahoma"/>
            <family val="2"/>
          </rPr>
          <t>DBL REV requires TWO rows!
TPL REV requires THREE rows!
QD REV requires FOUR rows!</t>
        </r>
      </text>
    </comment>
    <comment ref="J1803" authorId="1" shapeId="0">
      <text>
        <r>
          <rPr>
            <b/>
            <sz val="9"/>
            <color indexed="81"/>
            <rFont val="Tahoma"/>
            <family val="2"/>
          </rPr>
          <t>If this highlights as an error, consider upsizing the Tether size for better ribbon utilization</t>
        </r>
      </text>
    </comment>
    <comment ref="C1804" authorId="1" shapeId="0">
      <text>
        <r>
          <rPr>
            <b/>
            <sz val="9"/>
            <color indexed="81"/>
            <rFont val="Tahoma"/>
            <family val="2"/>
          </rPr>
          <t>DBL REV requires TWO rows!
TPL REV requires THREE rows!
QD REV requires FOUR rows!</t>
        </r>
      </text>
    </comment>
    <comment ref="J1804" authorId="1" shapeId="0">
      <text>
        <r>
          <rPr>
            <b/>
            <sz val="9"/>
            <color indexed="81"/>
            <rFont val="Tahoma"/>
            <family val="2"/>
          </rPr>
          <t>If this highlights as an error, consider upsizing the Tether size for better ribbon utilization</t>
        </r>
      </text>
    </comment>
    <comment ref="B181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text>
        <r>
          <rPr>
            <b/>
            <sz val="8"/>
            <color indexed="81"/>
            <rFont val="Tahoma"/>
            <family val="2"/>
          </rPr>
          <t>This will be added to Planning Load Block A for TOTAL</t>
        </r>
        <r>
          <rPr>
            <sz val="8"/>
            <color indexed="81"/>
            <rFont val="Tahoma"/>
            <family val="2"/>
          </rPr>
          <t xml:space="preserve">
</t>
        </r>
      </text>
    </comment>
    <comment ref="J1810" authorId="0" shapeId="0">
      <text>
        <r>
          <rPr>
            <b/>
            <sz val="8"/>
            <color indexed="81"/>
            <rFont val="Tahoma"/>
            <family val="2"/>
          </rPr>
          <t>This is the PON OUT count that is not assigned in this cable reel.</t>
        </r>
        <r>
          <rPr>
            <sz val="8"/>
            <color indexed="81"/>
            <rFont val="Tahoma"/>
            <family val="2"/>
          </rPr>
          <t xml:space="preserve">
</t>
        </r>
      </text>
    </comment>
    <comment ref="P1810" authorId="1" shapeId="0">
      <text>
        <r>
          <rPr>
            <b/>
            <sz val="9"/>
            <color indexed="81"/>
            <rFont val="Tahoma"/>
            <family val="2"/>
          </rPr>
          <t>REMEMBER: 2-Fbr Tethers are NOT available for RPX CABLE!</t>
        </r>
      </text>
    </comment>
    <comment ref="Q1810" authorId="1" shapeId="0">
      <text>
        <r>
          <rPr>
            <b/>
            <sz val="9"/>
            <color indexed="81"/>
            <rFont val="Tahoma"/>
            <family val="2"/>
          </rPr>
          <t>REMEMBER: 2-Fbr Tethers are NOT available for RPX CABLE!</t>
        </r>
      </text>
    </comment>
    <comment ref="S1810" authorId="1" shapeId="0">
      <text>
        <r>
          <rPr>
            <b/>
            <sz val="9"/>
            <color indexed="81"/>
            <rFont val="Tahoma"/>
            <family val="2"/>
          </rPr>
          <t>REMEMBER: 2-Fbr Tethers are NOT available for RPX CABLE!</t>
        </r>
      </text>
    </comment>
    <comment ref="T1810" authorId="1" shapeId="0">
      <text>
        <r>
          <rPr>
            <b/>
            <sz val="9"/>
            <color indexed="81"/>
            <rFont val="Tahoma"/>
            <family val="2"/>
          </rPr>
          <t>REMEMBER: 2-Fbr Tethers are NOT available for RPX CABLE!</t>
        </r>
      </text>
    </comment>
    <comment ref="B181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text>
        <r>
          <rPr>
            <b/>
            <sz val="8"/>
            <color indexed="81"/>
            <rFont val="Tahoma"/>
            <family val="2"/>
          </rPr>
          <t>Make sure you add this number to "TAT FIBERS ASSIGNED" for the total required in the Load Block on the prints.</t>
        </r>
      </text>
    </comment>
    <comment ref="G1811" authorId="0" shapeId="0">
      <text>
        <r>
          <rPr>
            <b/>
            <sz val="8"/>
            <color indexed="81"/>
            <rFont val="Tahoma"/>
            <family val="2"/>
          </rPr>
          <t>Includes "DEAD" Count (No PON count assigned)</t>
        </r>
      </text>
    </comment>
    <comment ref="I181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text>
        <r>
          <rPr>
            <b/>
            <sz val="9"/>
            <color indexed="81"/>
            <rFont val="Tahoma"/>
            <family val="2"/>
          </rPr>
          <t>REMEMBER: 6-Fbr Tethers are NOT available for RPX CABLE!</t>
        </r>
      </text>
    </comment>
    <comment ref="Q1812" authorId="1" shapeId="0">
      <text>
        <r>
          <rPr>
            <b/>
            <sz val="9"/>
            <color indexed="81"/>
            <rFont val="Tahoma"/>
            <family val="2"/>
          </rPr>
          <t>REMEMBER: 6-Fbr Tethers are NOT available for RPX CABLE!</t>
        </r>
      </text>
    </comment>
    <comment ref="S1812" authorId="1" shapeId="0">
      <text>
        <r>
          <rPr>
            <b/>
            <sz val="9"/>
            <color indexed="81"/>
            <rFont val="Tahoma"/>
            <family val="2"/>
          </rPr>
          <t>REMEMBER: 6-Fbr Tethers are NOT available for RPX CABLE!</t>
        </r>
      </text>
    </comment>
    <comment ref="T1812" authorId="1" shapeId="0">
      <text>
        <r>
          <rPr>
            <b/>
            <sz val="9"/>
            <color indexed="81"/>
            <rFont val="Tahoma"/>
            <family val="2"/>
          </rPr>
          <t>REMEMBER: 6-Fbr Tethers are NOT available for AERIAL CABLE!</t>
        </r>
      </text>
    </comment>
    <comment ref="B181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text>
        <r>
          <rPr>
            <b/>
            <sz val="8"/>
            <color indexed="81"/>
            <rFont val="Tahoma"/>
            <family val="2"/>
          </rPr>
          <t>These are "manufacturing rules" and general warnings</t>
        </r>
        <r>
          <rPr>
            <sz val="8"/>
            <color indexed="81"/>
            <rFont val="Tahoma"/>
            <family val="2"/>
          </rPr>
          <t xml:space="preserve">
</t>
        </r>
      </text>
    </comment>
    <comment ref="B181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text>
        <r>
          <rPr>
            <b/>
            <sz val="8"/>
            <color indexed="81"/>
            <rFont val="Tahoma"/>
            <family val="2"/>
          </rPr>
          <t>This number is a sum of TOTAL PLANNED plus the ASSIGNED TO TETHERS</t>
        </r>
        <r>
          <rPr>
            <sz val="8"/>
            <color indexed="81"/>
            <rFont val="Tahoma"/>
            <family val="2"/>
          </rPr>
          <t xml:space="preserve">
</t>
        </r>
      </text>
    </comment>
    <comment ref="Z1818" authorId="0" shapeId="0">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text>
        <r>
          <rPr>
            <b/>
            <sz val="8"/>
            <color indexed="81"/>
            <rFont val="Tahoma"/>
            <family val="2"/>
          </rPr>
          <t>Counting from High count Backwards- this is Fiber Strand 133</t>
        </r>
      </text>
    </comment>
    <comment ref="AB1818" authorId="0" shapeId="0">
      <text>
        <r>
          <rPr>
            <b/>
            <sz val="8"/>
            <color indexed="81"/>
            <rFont val="Tahoma"/>
            <family val="2"/>
          </rPr>
          <t>Counting from High count Backwards- this is Fiber Strand 144</t>
        </r>
        <r>
          <rPr>
            <sz val="8"/>
            <color indexed="81"/>
            <rFont val="Tahoma"/>
            <family val="2"/>
          </rPr>
          <t xml:space="preserve">
</t>
        </r>
      </text>
    </comment>
    <comment ref="C1819" authorId="0" shapeId="0">
      <text>
        <r>
          <rPr>
            <b/>
            <sz val="8"/>
            <color indexed="81"/>
            <rFont val="Tahoma"/>
            <family val="2"/>
          </rPr>
          <t xml:space="preserve">Select if this tether will be used to feed a CFST or a lateral cable. </t>
        </r>
      </text>
    </comment>
    <comment ref="D1819" authorId="0" shapeId="0">
      <text>
        <r>
          <rPr>
            <b/>
            <sz val="8"/>
            <color indexed="81"/>
            <rFont val="Tahoma"/>
            <family val="2"/>
          </rPr>
          <t>Note the Terminal Address to keep your locations straight</t>
        </r>
        <r>
          <rPr>
            <sz val="8"/>
            <color indexed="81"/>
            <rFont val="Tahoma"/>
            <family val="2"/>
          </rPr>
          <t xml:space="preserve">
</t>
        </r>
      </text>
    </comment>
    <comment ref="E1819" authorId="0" shapeId="0">
      <text>
        <r>
          <rPr>
            <b/>
            <sz val="9"/>
            <color indexed="81"/>
            <rFont val="Calibri"/>
            <family val="2"/>
            <scheme val="minor"/>
          </rPr>
          <t>Pick the Tether Size for the location</t>
        </r>
        <r>
          <rPr>
            <sz val="8"/>
            <color indexed="81"/>
            <rFont val="Tahoma"/>
            <family val="2"/>
          </rPr>
          <t xml:space="preserve">
</t>
        </r>
      </text>
    </comment>
    <comment ref="F1819" authorId="2" shapeId="0">
      <text>
        <r>
          <rPr>
            <b/>
            <sz val="9"/>
            <color indexed="81"/>
            <rFont val="Tahoma"/>
            <family val="2"/>
          </rPr>
          <t>Identify TCF or FST location.
Leave blank if tether is NOT for a TCF or FST!</t>
        </r>
      </text>
    </comment>
    <comment ref="H1819" authorId="0" shapeId="0">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text>
        <r>
          <rPr>
            <b/>
            <sz val="8"/>
            <color indexed="81"/>
            <rFont val="Tahoma"/>
            <family val="2"/>
          </rPr>
          <t>If any of these numbers are negative, check your PON count and Cable size</t>
        </r>
      </text>
    </comment>
    <comment ref="J181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text>
        <r>
          <rPr>
            <b/>
            <sz val="9"/>
            <color indexed="81"/>
            <rFont val="Tahoma"/>
            <family val="2"/>
          </rPr>
          <t>Leave blank if using 10' Terminal Tail
Enter Tail length if greater than 10'</t>
        </r>
      </text>
    </comment>
    <comment ref="M1819" authorId="0" shapeId="0">
      <text>
        <r>
          <rPr>
            <b/>
            <sz val="8"/>
            <color indexed="81"/>
            <rFont val="Tahoma"/>
            <family val="2"/>
          </rPr>
          <t>Make design notes such as slack coils, realingment loops,  or location notes</t>
        </r>
      </text>
    </comment>
    <comment ref="Z1819" authorId="0" shapeId="0">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text>
        <r>
          <rPr>
            <b/>
            <sz val="8"/>
            <color indexed="81"/>
            <rFont val="Tahoma"/>
            <family val="2"/>
          </rPr>
          <t xml:space="preserve">Counting from High count Backwards- this is Fiber Strand 145
</t>
        </r>
      </text>
    </comment>
    <comment ref="AB1819" authorId="0" shapeId="0">
      <text>
        <r>
          <rPr>
            <b/>
            <sz val="8"/>
            <color indexed="81"/>
            <rFont val="Tahoma"/>
            <family val="2"/>
          </rPr>
          <t>Counting from High count Backwards- this is Fiber Strand 156</t>
        </r>
      </text>
    </comment>
    <comment ref="J1821" authorId="1" shapeId="0">
      <text>
        <r>
          <rPr>
            <b/>
            <sz val="9"/>
            <color indexed="81"/>
            <rFont val="Tahoma"/>
            <family val="2"/>
          </rPr>
          <t>If this highlights as an error, consider upsizing the Tether size for better ribbon utilization</t>
        </r>
      </text>
    </comment>
    <comment ref="J1822" authorId="1" shapeId="0">
      <text>
        <r>
          <rPr>
            <b/>
            <sz val="9"/>
            <color indexed="81"/>
            <rFont val="Tahoma"/>
            <family val="2"/>
          </rPr>
          <t>If this highlights as an error, consider upsizing the Tether size for better ribbon utilization</t>
        </r>
      </text>
    </comment>
    <comment ref="J1823" authorId="1" shapeId="0">
      <text>
        <r>
          <rPr>
            <b/>
            <sz val="9"/>
            <color indexed="81"/>
            <rFont val="Tahoma"/>
            <family val="2"/>
          </rPr>
          <t>If this highlights as an error, consider upsizing the Tether size for better ribbon utilization</t>
        </r>
      </text>
    </comment>
    <comment ref="J1824" authorId="1" shapeId="0">
      <text>
        <r>
          <rPr>
            <b/>
            <sz val="9"/>
            <color indexed="81"/>
            <rFont val="Tahoma"/>
            <family val="2"/>
          </rPr>
          <t>If this highlights as an error, consider upsizing the Tether size for better ribbon utilization</t>
        </r>
      </text>
    </comment>
    <comment ref="J1825" authorId="1" shapeId="0">
      <text>
        <r>
          <rPr>
            <b/>
            <sz val="9"/>
            <color indexed="81"/>
            <rFont val="Tahoma"/>
            <family val="2"/>
          </rPr>
          <t>If this highlights as an error, consider upsizing the Tether size for better ribbon utilization</t>
        </r>
      </text>
    </comment>
    <comment ref="J1826" authorId="1" shapeId="0">
      <text>
        <r>
          <rPr>
            <b/>
            <sz val="9"/>
            <color indexed="81"/>
            <rFont val="Tahoma"/>
            <family val="2"/>
          </rPr>
          <t>If this highlights as an error, consider upsizing the Tether size for better ribbon utilization</t>
        </r>
      </text>
    </comment>
    <comment ref="J1827" authorId="1" shapeId="0">
      <text>
        <r>
          <rPr>
            <b/>
            <sz val="9"/>
            <color indexed="81"/>
            <rFont val="Tahoma"/>
            <family val="2"/>
          </rPr>
          <t>If this highlights as an error, consider upsizing the Tether size for better ribbon utilization</t>
        </r>
      </text>
    </comment>
    <comment ref="J1828" authorId="1" shapeId="0">
      <text>
        <r>
          <rPr>
            <b/>
            <sz val="9"/>
            <color indexed="81"/>
            <rFont val="Tahoma"/>
            <family val="2"/>
          </rPr>
          <t>If this highlights as an error, consider upsizing the Tether size for better ribbon utilization</t>
        </r>
      </text>
    </comment>
    <comment ref="J1829" authorId="1" shapeId="0">
      <text>
        <r>
          <rPr>
            <b/>
            <sz val="9"/>
            <color indexed="81"/>
            <rFont val="Tahoma"/>
            <family val="2"/>
          </rPr>
          <t>If this highlights as an error, consider upsizing the Tether size for better ribbon utilization</t>
        </r>
      </text>
    </comment>
    <comment ref="J1830" authorId="1" shapeId="0">
      <text>
        <r>
          <rPr>
            <b/>
            <sz val="9"/>
            <color indexed="81"/>
            <rFont val="Tahoma"/>
            <family val="2"/>
          </rPr>
          <t>If this highlights as an error, consider upsizing the Tether size for better ribbon utilization</t>
        </r>
      </text>
    </comment>
    <comment ref="J1831" authorId="1" shapeId="0">
      <text>
        <r>
          <rPr>
            <b/>
            <sz val="9"/>
            <color indexed="81"/>
            <rFont val="Tahoma"/>
            <family val="2"/>
          </rPr>
          <t>If this highlights as an error, consider upsizing the Tether size for better ribbon utilization</t>
        </r>
      </text>
    </comment>
    <comment ref="J1832" authorId="1" shapeId="0">
      <text>
        <r>
          <rPr>
            <b/>
            <sz val="9"/>
            <color indexed="81"/>
            <rFont val="Tahoma"/>
            <family val="2"/>
          </rPr>
          <t>If this highlights as an error, consider upsizing the Tether size for better ribbon utilization</t>
        </r>
      </text>
    </comment>
    <comment ref="J1833" authorId="1" shapeId="0">
      <text>
        <r>
          <rPr>
            <b/>
            <sz val="9"/>
            <color indexed="81"/>
            <rFont val="Tahoma"/>
            <family val="2"/>
          </rPr>
          <t>If this highlights as an error, consider upsizing the Tether size for better ribbon utilization</t>
        </r>
      </text>
    </comment>
    <comment ref="J1834" authorId="1" shapeId="0">
      <text>
        <r>
          <rPr>
            <b/>
            <sz val="9"/>
            <color indexed="81"/>
            <rFont val="Tahoma"/>
            <family val="2"/>
          </rPr>
          <t>If this highlights as an error, consider upsizing the Tether size for better ribbon utilization</t>
        </r>
      </text>
    </comment>
    <comment ref="J1835" authorId="1" shapeId="0">
      <text>
        <r>
          <rPr>
            <b/>
            <sz val="9"/>
            <color indexed="81"/>
            <rFont val="Tahoma"/>
            <family val="2"/>
          </rPr>
          <t>If this highlights as an error, consider upsizing the Tether size for better ribbon utilization</t>
        </r>
      </text>
    </comment>
    <comment ref="J1836" authorId="1" shapeId="0">
      <text>
        <r>
          <rPr>
            <b/>
            <sz val="9"/>
            <color indexed="81"/>
            <rFont val="Tahoma"/>
            <family val="2"/>
          </rPr>
          <t>If this highlights as an error, consider upsizing the Tether size for better ribbon utilization</t>
        </r>
      </text>
    </comment>
    <comment ref="J1837" authorId="1" shapeId="0">
      <text>
        <r>
          <rPr>
            <b/>
            <sz val="9"/>
            <color indexed="81"/>
            <rFont val="Tahoma"/>
            <family val="2"/>
          </rPr>
          <t>If this highlights as an error, consider upsizing the Tether size for better ribbon utilization</t>
        </r>
      </text>
    </comment>
    <comment ref="J1838" authorId="1" shapeId="0">
      <text>
        <r>
          <rPr>
            <b/>
            <sz val="9"/>
            <color indexed="81"/>
            <rFont val="Tahoma"/>
            <family val="2"/>
          </rPr>
          <t>If this highlights as an error, consider upsizing the Tether size for better ribbon utilization</t>
        </r>
      </text>
    </comment>
    <comment ref="C1839" authorId="1" shapeId="0">
      <text>
        <r>
          <rPr>
            <b/>
            <sz val="9"/>
            <color indexed="81"/>
            <rFont val="Tahoma"/>
            <family val="2"/>
          </rPr>
          <t>DBL REV requires TWO rows!
TPL REV requires THREE rows!
QD REV requires FOUR rows!</t>
        </r>
      </text>
    </comment>
    <comment ref="J1839" authorId="1" shapeId="0">
      <text>
        <r>
          <rPr>
            <b/>
            <sz val="9"/>
            <color indexed="81"/>
            <rFont val="Tahoma"/>
            <family val="2"/>
          </rPr>
          <t>If this highlights as an error, consider upsizing the Tether size for better ribbon utilization</t>
        </r>
      </text>
    </comment>
    <comment ref="C1840" authorId="1" shapeId="0">
      <text>
        <r>
          <rPr>
            <b/>
            <sz val="9"/>
            <color indexed="81"/>
            <rFont val="Tahoma"/>
            <family val="2"/>
          </rPr>
          <t>DBL REV requires TWO rows!
TPL REV requires THREE rows!
QD REV requires FOUR rows!</t>
        </r>
      </text>
    </comment>
    <comment ref="J1840" authorId="1" shapeId="0">
      <text>
        <r>
          <rPr>
            <b/>
            <sz val="9"/>
            <color indexed="81"/>
            <rFont val="Tahoma"/>
            <family val="2"/>
          </rPr>
          <t>If this highlights as an error, consider upsizing the Tether size for better ribbon utilization</t>
        </r>
      </text>
    </comment>
    <comment ref="C1841" authorId="1" shapeId="0">
      <text>
        <r>
          <rPr>
            <b/>
            <sz val="9"/>
            <color indexed="81"/>
            <rFont val="Tahoma"/>
            <family val="2"/>
          </rPr>
          <t>DBL REV requires TWO rows!
TPL REV requires THREE rows!
QD REV requires FOUR rows!</t>
        </r>
      </text>
    </comment>
    <comment ref="J1841" authorId="1" shapeId="0">
      <text>
        <r>
          <rPr>
            <b/>
            <sz val="9"/>
            <color indexed="81"/>
            <rFont val="Tahoma"/>
            <family val="2"/>
          </rPr>
          <t>If this highlights as an error, consider upsizing the Tether size for better ribbon utilization</t>
        </r>
      </text>
    </comment>
    <comment ref="C1842" authorId="1" shapeId="0">
      <text>
        <r>
          <rPr>
            <b/>
            <sz val="9"/>
            <color indexed="81"/>
            <rFont val="Tahoma"/>
            <family val="2"/>
          </rPr>
          <t>DBL REV requires TWO rows!
TPL REV requires THREE rows!
QD REV requires FOUR rows!</t>
        </r>
      </text>
    </comment>
    <comment ref="J1842" authorId="1" shapeId="0">
      <text>
        <r>
          <rPr>
            <b/>
            <sz val="9"/>
            <color indexed="81"/>
            <rFont val="Tahoma"/>
            <family val="2"/>
          </rPr>
          <t>If this highlights as an error, consider upsizing the Tether size for better ribbon utilization</t>
        </r>
      </text>
    </comment>
    <comment ref="C1843" authorId="1" shapeId="0">
      <text>
        <r>
          <rPr>
            <b/>
            <sz val="9"/>
            <color indexed="81"/>
            <rFont val="Tahoma"/>
            <family val="2"/>
          </rPr>
          <t>DBL REV requires TWO rows!
TPL REV requires THREE rows!
QD REV requires FOUR rows!</t>
        </r>
      </text>
    </comment>
    <comment ref="J1843" authorId="1" shapeId="0">
      <text>
        <r>
          <rPr>
            <b/>
            <sz val="9"/>
            <color indexed="81"/>
            <rFont val="Tahoma"/>
            <family val="2"/>
          </rPr>
          <t>If this highlights as an error, consider upsizing the Tether size for better ribbon utilization</t>
        </r>
      </text>
    </comment>
    <comment ref="C1844" authorId="1" shapeId="0">
      <text>
        <r>
          <rPr>
            <b/>
            <sz val="9"/>
            <color indexed="81"/>
            <rFont val="Tahoma"/>
            <family val="2"/>
          </rPr>
          <t>DBL REV requires TWO rows!
TPL REV requires THREE rows!
QD REV requires FOUR rows!</t>
        </r>
      </text>
    </comment>
    <comment ref="J1844" authorId="1" shapeId="0">
      <text>
        <r>
          <rPr>
            <b/>
            <sz val="9"/>
            <color indexed="81"/>
            <rFont val="Tahoma"/>
            <family val="2"/>
          </rPr>
          <t>If this highlights as an error, consider upsizing the Tether size for better ribbon utilization</t>
        </r>
      </text>
    </comment>
    <comment ref="C1845" authorId="1" shapeId="0">
      <text>
        <r>
          <rPr>
            <b/>
            <sz val="9"/>
            <color indexed="81"/>
            <rFont val="Tahoma"/>
            <family val="2"/>
          </rPr>
          <t>DBL REV requires TWO rows!
TPL REV requires THREE rows!
QD REV requires FOUR rows!</t>
        </r>
      </text>
    </comment>
    <comment ref="J1845" authorId="1" shapeId="0">
      <text>
        <r>
          <rPr>
            <b/>
            <sz val="9"/>
            <color indexed="81"/>
            <rFont val="Tahoma"/>
            <family val="2"/>
          </rPr>
          <t>If this highlights as an error, consider upsizing the Tether size for better ribbon utilization</t>
        </r>
      </text>
    </comment>
    <comment ref="B185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text>
        <r>
          <rPr>
            <b/>
            <sz val="8"/>
            <color indexed="81"/>
            <rFont val="Tahoma"/>
            <family val="2"/>
          </rPr>
          <t>This will be added to Planning Load Block A for TOTAL</t>
        </r>
        <r>
          <rPr>
            <sz val="8"/>
            <color indexed="81"/>
            <rFont val="Tahoma"/>
            <family val="2"/>
          </rPr>
          <t xml:space="preserve">
</t>
        </r>
      </text>
    </comment>
    <comment ref="J1851" authorId="0" shapeId="0">
      <text>
        <r>
          <rPr>
            <b/>
            <sz val="8"/>
            <color indexed="81"/>
            <rFont val="Tahoma"/>
            <family val="2"/>
          </rPr>
          <t>This is the PON OUT count that is not assigned in this cable reel.</t>
        </r>
        <r>
          <rPr>
            <sz val="8"/>
            <color indexed="81"/>
            <rFont val="Tahoma"/>
            <family val="2"/>
          </rPr>
          <t xml:space="preserve">
</t>
        </r>
      </text>
    </comment>
    <comment ref="P1851" authorId="1" shapeId="0">
      <text>
        <r>
          <rPr>
            <b/>
            <sz val="9"/>
            <color indexed="81"/>
            <rFont val="Tahoma"/>
            <family val="2"/>
          </rPr>
          <t>REMEMBER: 2-Fbr Tethers are NOT available for RPX CABLE!</t>
        </r>
      </text>
    </comment>
    <comment ref="Q1851" authorId="1" shapeId="0">
      <text>
        <r>
          <rPr>
            <b/>
            <sz val="9"/>
            <color indexed="81"/>
            <rFont val="Tahoma"/>
            <family val="2"/>
          </rPr>
          <t>REMEMBER: 2-Fbr Tethers are NOT available for RPX CABLE!</t>
        </r>
      </text>
    </comment>
    <comment ref="S1851" authorId="1" shapeId="0">
      <text>
        <r>
          <rPr>
            <b/>
            <sz val="9"/>
            <color indexed="81"/>
            <rFont val="Tahoma"/>
            <family val="2"/>
          </rPr>
          <t>REMEMBER: 2-Fbr Tethers are NOT available for RPX CABLE!</t>
        </r>
      </text>
    </comment>
    <comment ref="T1851" authorId="1" shapeId="0">
      <text>
        <r>
          <rPr>
            <b/>
            <sz val="9"/>
            <color indexed="81"/>
            <rFont val="Tahoma"/>
            <family val="2"/>
          </rPr>
          <t>REMEMBER: 2-Fbr Tethers are NOT available for RPX CABLE!</t>
        </r>
      </text>
    </comment>
    <comment ref="B185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text>
        <r>
          <rPr>
            <b/>
            <sz val="8"/>
            <color indexed="81"/>
            <rFont val="Tahoma"/>
            <family val="2"/>
          </rPr>
          <t>Make sure you add this number to "TAT FIBERS ASSIGNED" for the total required in the Load Block on the prints.</t>
        </r>
      </text>
    </comment>
    <comment ref="G1852" authorId="0" shapeId="0">
      <text>
        <r>
          <rPr>
            <b/>
            <sz val="8"/>
            <color indexed="81"/>
            <rFont val="Tahoma"/>
            <family val="2"/>
          </rPr>
          <t>Includes "DEAD" Count (No PON count assigned)</t>
        </r>
      </text>
    </comment>
    <comment ref="I185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text>
        <r>
          <rPr>
            <b/>
            <sz val="9"/>
            <color indexed="81"/>
            <rFont val="Tahoma"/>
            <family val="2"/>
          </rPr>
          <t>REMEMBER: 6-Fbr Tethers are NOT available for RPX CABLE!</t>
        </r>
      </text>
    </comment>
    <comment ref="Q1853" authorId="1" shapeId="0">
      <text>
        <r>
          <rPr>
            <b/>
            <sz val="9"/>
            <color indexed="81"/>
            <rFont val="Tahoma"/>
            <family val="2"/>
          </rPr>
          <t>REMEMBER: 6-Fbr Tethers are NOT available for RPX CABLE!</t>
        </r>
      </text>
    </comment>
    <comment ref="S1853" authorId="1" shapeId="0">
      <text>
        <r>
          <rPr>
            <b/>
            <sz val="9"/>
            <color indexed="81"/>
            <rFont val="Tahoma"/>
            <family val="2"/>
          </rPr>
          <t>REMEMBER: 6-Fbr Tethers are NOT available for RPX CABLE!</t>
        </r>
      </text>
    </comment>
    <comment ref="T1853" authorId="1" shapeId="0">
      <text>
        <r>
          <rPr>
            <b/>
            <sz val="9"/>
            <color indexed="81"/>
            <rFont val="Tahoma"/>
            <family val="2"/>
          </rPr>
          <t>REMEMBER: 6-Fbr Tethers are NOT available for AERIAL CABLE!</t>
        </r>
      </text>
    </comment>
    <comment ref="B185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text>
        <r>
          <rPr>
            <b/>
            <sz val="8"/>
            <color indexed="81"/>
            <rFont val="Tahoma"/>
            <family val="2"/>
          </rPr>
          <t>These are "manufacturing rules" and general warnings</t>
        </r>
        <r>
          <rPr>
            <sz val="8"/>
            <color indexed="81"/>
            <rFont val="Tahoma"/>
            <family val="2"/>
          </rPr>
          <t xml:space="preserve">
</t>
        </r>
      </text>
    </comment>
    <comment ref="B185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text>
        <r>
          <rPr>
            <b/>
            <sz val="8"/>
            <color indexed="81"/>
            <rFont val="Tahoma"/>
            <family val="2"/>
          </rPr>
          <t>This number is a sum of TOTAL PLANNED plus the ASSIGNED TO TETHERS</t>
        </r>
        <r>
          <rPr>
            <sz val="8"/>
            <color indexed="81"/>
            <rFont val="Tahoma"/>
            <family val="2"/>
          </rPr>
          <t xml:space="preserve">
</t>
        </r>
      </text>
    </comment>
    <comment ref="Z1859" authorId="0" shapeId="0">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text>
        <r>
          <rPr>
            <b/>
            <sz val="8"/>
            <color indexed="81"/>
            <rFont val="Tahoma"/>
            <family val="2"/>
          </rPr>
          <t>Counting from High count Backwards- this is Fiber Strand 133</t>
        </r>
      </text>
    </comment>
    <comment ref="AB1859" authorId="0" shapeId="0">
      <text>
        <r>
          <rPr>
            <b/>
            <sz val="8"/>
            <color indexed="81"/>
            <rFont val="Tahoma"/>
            <family val="2"/>
          </rPr>
          <t>Counting from High count Backwards- this is Fiber Strand 144</t>
        </r>
        <r>
          <rPr>
            <sz val="8"/>
            <color indexed="81"/>
            <rFont val="Tahoma"/>
            <family val="2"/>
          </rPr>
          <t xml:space="preserve">
</t>
        </r>
      </text>
    </comment>
    <comment ref="C1860" authorId="0" shapeId="0">
      <text>
        <r>
          <rPr>
            <b/>
            <sz val="8"/>
            <color indexed="81"/>
            <rFont val="Tahoma"/>
            <family val="2"/>
          </rPr>
          <t xml:space="preserve">Select if this tether will be used to feed a CFST or a lateral cable. </t>
        </r>
      </text>
    </comment>
    <comment ref="D1860" authorId="0" shapeId="0">
      <text>
        <r>
          <rPr>
            <b/>
            <sz val="8"/>
            <color indexed="81"/>
            <rFont val="Tahoma"/>
            <family val="2"/>
          </rPr>
          <t>Note the Terminal Address to keep your locations straight</t>
        </r>
        <r>
          <rPr>
            <sz val="8"/>
            <color indexed="81"/>
            <rFont val="Tahoma"/>
            <family val="2"/>
          </rPr>
          <t xml:space="preserve">
</t>
        </r>
      </text>
    </comment>
    <comment ref="E1860" authorId="0" shapeId="0">
      <text>
        <r>
          <rPr>
            <b/>
            <sz val="9"/>
            <color indexed="81"/>
            <rFont val="Calibri"/>
            <family val="2"/>
            <scheme val="minor"/>
          </rPr>
          <t>Pick the Tether Size for the location</t>
        </r>
        <r>
          <rPr>
            <sz val="8"/>
            <color indexed="81"/>
            <rFont val="Tahoma"/>
            <family val="2"/>
          </rPr>
          <t xml:space="preserve">
</t>
        </r>
      </text>
    </comment>
    <comment ref="F1860" authorId="2" shapeId="0">
      <text>
        <r>
          <rPr>
            <b/>
            <sz val="9"/>
            <color indexed="81"/>
            <rFont val="Tahoma"/>
            <family val="2"/>
          </rPr>
          <t>Identify TCF or FST location.
Leave blank if tether is NOT for a TCF or FST!</t>
        </r>
      </text>
    </comment>
    <comment ref="H1860" authorId="0" shapeId="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text>
        <r>
          <rPr>
            <b/>
            <sz val="8"/>
            <color indexed="81"/>
            <rFont val="Tahoma"/>
            <family val="2"/>
          </rPr>
          <t>If any of these numbers are negative, check your PON count and Cable size</t>
        </r>
      </text>
    </comment>
    <comment ref="J186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text>
        <r>
          <rPr>
            <b/>
            <sz val="9"/>
            <color indexed="81"/>
            <rFont val="Tahoma"/>
            <family val="2"/>
          </rPr>
          <t>Leave blank if using 10' Terminal Tail
Enter Tail length if greater than 10'</t>
        </r>
      </text>
    </comment>
    <comment ref="M1860" authorId="0" shapeId="0">
      <text>
        <r>
          <rPr>
            <b/>
            <sz val="8"/>
            <color indexed="81"/>
            <rFont val="Tahoma"/>
            <family val="2"/>
          </rPr>
          <t>Make design notes such as slack coils, realingment loops,  or location notes</t>
        </r>
      </text>
    </comment>
    <comment ref="Z1860" authorId="0" shapeId="0">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text>
        <r>
          <rPr>
            <b/>
            <sz val="8"/>
            <color indexed="81"/>
            <rFont val="Tahoma"/>
            <family val="2"/>
          </rPr>
          <t xml:space="preserve">Counting from High count Backwards- this is Fiber Strand 145
</t>
        </r>
      </text>
    </comment>
    <comment ref="AB1860" authorId="0" shapeId="0">
      <text>
        <r>
          <rPr>
            <b/>
            <sz val="8"/>
            <color indexed="81"/>
            <rFont val="Tahoma"/>
            <family val="2"/>
          </rPr>
          <t>Counting from High count Backwards- this is Fiber Strand 156</t>
        </r>
      </text>
    </comment>
    <comment ref="J1862" authorId="1" shapeId="0">
      <text>
        <r>
          <rPr>
            <b/>
            <sz val="9"/>
            <color indexed="81"/>
            <rFont val="Tahoma"/>
            <family val="2"/>
          </rPr>
          <t>If this highlights as an error, consider upsizing the Tether size for better ribbon utilization</t>
        </r>
      </text>
    </comment>
    <comment ref="J1863" authorId="1" shapeId="0">
      <text>
        <r>
          <rPr>
            <b/>
            <sz val="9"/>
            <color indexed="81"/>
            <rFont val="Tahoma"/>
            <family val="2"/>
          </rPr>
          <t>If this highlights as an error, consider upsizing the Tether size for better ribbon utilization</t>
        </r>
      </text>
    </comment>
    <comment ref="J1864" authorId="1" shapeId="0">
      <text>
        <r>
          <rPr>
            <b/>
            <sz val="9"/>
            <color indexed="81"/>
            <rFont val="Tahoma"/>
            <family val="2"/>
          </rPr>
          <t>If this highlights as an error, consider upsizing the Tether size for better ribbon utilization</t>
        </r>
      </text>
    </comment>
    <comment ref="J1865" authorId="1" shapeId="0">
      <text>
        <r>
          <rPr>
            <b/>
            <sz val="9"/>
            <color indexed="81"/>
            <rFont val="Tahoma"/>
            <family val="2"/>
          </rPr>
          <t>If this highlights as an error, consider upsizing the Tether size for better ribbon utilization</t>
        </r>
      </text>
    </comment>
    <comment ref="J1866" authorId="1" shapeId="0">
      <text>
        <r>
          <rPr>
            <b/>
            <sz val="9"/>
            <color indexed="81"/>
            <rFont val="Tahoma"/>
            <family val="2"/>
          </rPr>
          <t>If this highlights as an error, consider upsizing the Tether size for better ribbon utilization</t>
        </r>
      </text>
    </comment>
    <comment ref="J1867" authorId="1" shapeId="0">
      <text>
        <r>
          <rPr>
            <b/>
            <sz val="9"/>
            <color indexed="81"/>
            <rFont val="Tahoma"/>
            <family val="2"/>
          </rPr>
          <t>If this highlights as an error, consider upsizing the Tether size for better ribbon utilization</t>
        </r>
      </text>
    </comment>
    <comment ref="J1868" authorId="1" shapeId="0">
      <text>
        <r>
          <rPr>
            <b/>
            <sz val="9"/>
            <color indexed="81"/>
            <rFont val="Tahoma"/>
            <family val="2"/>
          </rPr>
          <t>If this highlights as an error, consider upsizing the Tether size for better ribbon utilization</t>
        </r>
      </text>
    </comment>
    <comment ref="J1869" authorId="1" shapeId="0">
      <text>
        <r>
          <rPr>
            <b/>
            <sz val="9"/>
            <color indexed="81"/>
            <rFont val="Tahoma"/>
            <family val="2"/>
          </rPr>
          <t>If this highlights as an error, consider upsizing the Tether size for better ribbon utilization</t>
        </r>
      </text>
    </comment>
    <comment ref="J1870" authorId="1" shapeId="0">
      <text>
        <r>
          <rPr>
            <b/>
            <sz val="9"/>
            <color indexed="81"/>
            <rFont val="Tahoma"/>
            <family val="2"/>
          </rPr>
          <t>If this highlights as an error, consider upsizing the Tether size for better ribbon utilization</t>
        </r>
      </text>
    </comment>
    <comment ref="J1871" authorId="1" shapeId="0">
      <text>
        <r>
          <rPr>
            <b/>
            <sz val="9"/>
            <color indexed="81"/>
            <rFont val="Tahoma"/>
            <family val="2"/>
          </rPr>
          <t>If this highlights as an error, consider upsizing the Tether size for better ribbon utilization</t>
        </r>
      </text>
    </comment>
    <comment ref="J1872" authorId="1" shapeId="0">
      <text>
        <r>
          <rPr>
            <b/>
            <sz val="9"/>
            <color indexed="81"/>
            <rFont val="Tahoma"/>
            <family val="2"/>
          </rPr>
          <t>If this highlights as an error, consider upsizing the Tether size for better ribbon utilization</t>
        </r>
      </text>
    </comment>
    <comment ref="J1873" authorId="1" shapeId="0">
      <text>
        <r>
          <rPr>
            <b/>
            <sz val="9"/>
            <color indexed="81"/>
            <rFont val="Tahoma"/>
            <family val="2"/>
          </rPr>
          <t>If this highlights as an error, consider upsizing the Tether size for better ribbon utilization</t>
        </r>
      </text>
    </comment>
    <comment ref="J1874" authorId="1" shapeId="0">
      <text>
        <r>
          <rPr>
            <b/>
            <sz val="9"/>
            <color indexed="81"/>
            <rFont val="Tahoma"/>
            <family val="2"/>
          </rPr>
          <t>If this highlights as an error, consider upsizing the Tether size for better ribbon utilization</t>
        </r>
      </text>
    </comment>
    <comment ref="J1875" authorId="1" shapeId="0">
      <text>
        <r>
          <rPr>
            <b/>
            <sz val="9"/>
            <color indexed="81"/>
            <rFont val="Tahoma"/>
            <family val="2"/>
          </rPr>
          <t>If this highlights as an error, consider upsizing the Tether size for better ribbon utilization</t>
        </r>
      </text>
    </comment>
    <comment ref="J1876" authorId="1" shapeId="0">
      <text>
        <r>
          <rPr>
            <b/>
            <sz val="9"/>
            <color indexed="81"/>
            <rFont val="Tahoma"/>
            <family val="2"/>
          </rPr>
          <t>If this highlights as an error, consider upsizing the Tether size for better ribbon utilization</t>
        </r>
      </text>
    </comment>
    <comment ref="J1877" authorId="1" shapeId="0">
      <text>
        <r>
          <rPr>
            <b/>
            <sz val="9"/>
            <color indexed="81"/>
            <rFont val="Tahoma"/>
            <family val="2"/>
          </rPr>
          <t>If this highlights as an error, consider upsizing the Tether size for better ribbon utilization</t>
        </r>
      </text>
    </comment>
    <comment ref="J1878" authorId="1" shapeId="0">
      <text>
        <r>
          <rPr>
            <b/>
            <sz val="9"/>
            <color indexed="81"/>
            <rFont val="Tahoma"/>
            <family val="2"/>
          </rPr>
          <t>If this highlights as an error, consider upsizing the Tether size for better ribbon utilization</t>
        </r>
      </text>
    </comment>
    <comment ref="J1879" authorId="1" shapeId="0">
      <text>
        <r>
          <rPr>
            <b/>
            <sz val="9"/>
            <color indexed="81"/>
            <rFont val="Tahoma"/>
            <family val="2"/>
          </rPr>
          <t>If this highlights as an error, consider upsizing the Tether size for better ribbon utilization</t>
        </r>
      </text>
    </comment>
    <comment ref="C1880" authorId="1" shapeId="0">
      <text>
        <r>
          <rPr>
            <b/>
            <sz val="9"/>
            <color indexed="81"/>
            <rFont val="Tahoma"/>
            <family val="2"/>
          </rPr>
          <t>DBL REV requires TWO rows!
TPL REV requires THREE rows!
QD REV requires FOUR rows!</t>
        </r>
      </text>
    </comment>
    <comment ref="J1880" authorId="1" shapeId="0">
      <text>
        <r>
          <rPr>
            <b/>
            <sz val="9"/>
            <color indexed="81"/>
            <rFont val="Tahoma"/>
            <family val="2"/>
          </rPr>
          <t>If this highlights as an error, consider upsizing the Tether size for better ribbon utilization</t>
        </r>
      </text>
    </comment>
    <comment ref="C1881" authorId="1" shapeId="0">
      <text>
        <r>
          <rPr>
            <b/>
            <sz val="9"/>
            <color indexed="81"/>
            <rFont val="Tahoma"/>
            <family val="2"/>
          </rPr>
          <t>DBL REV requires TWO rows!
TPL REV requires THREE rows!
QD REV requires FOUR rows!</t>
        </r>
      </text>
    </comment>
    <comment ref="J1881" authorId="1" shapeId="0">
      <text>
        <r>
          <rPr>
            <b/>
            <sz val="9"/>
            <color indexed="81"/>
            <rFont val="Tahoma"/>
            <family val="2"/>
          </rPr>
          <t>If this highlights as an error, consider upsizing the Tether size for better ribbon utilization</t>
        </r>
      </text>
    </comment>
    <comment ref="C1882" authorId="1" shapeId="0">
      <text>
        <r>
          <rPr>
            <b/>
            <sz val="9"/>
            <color indexed="81"/>
            <rFont val="Tahoma"/>
            <family val="2"/>
          </rPr>
          <t>DBL REV requires TWO rows!
TPL REV requires THREE rows!
QD REV requires FOUR rows!</t>
        </r>
      </text>
    </comment>
    <comment ref="J1882" authorId="1" shapeId="0">
      <text>
        <r>
          <rPr>
            <b/>
            <sz val="9"/>
            <color indexed="81"/>
            <rFont val="Tahoma"/>
            <family val="2"/>
          </rPr>
          <t>If this highlights as an error, consider upsizing the Tether size for better ribbon utilization</t>
        </r>
      </text>
    </comment>
    <comment ref="C1883" authorId="1" shapeId="0">
      <text>
        <r>
          <rPr>
            <b/>
            <sz val="9"/>
            <color indexed="81"/>
            <rFont val="Tahoma"/>
            <family val="2"/>
          </rPr>
          <t>DBL REV requires TWO rows!
TPL REV requires THREE rows!
QD REV requires FOUR rows!</t>
        </r>
      </text>
    </comment>
    <comment ref="J1883" authorId="1" shapeId="0">
      <text>
        <r>
          <rPr>
            <b/>
            <sz val="9"/>
            <color indexed="81"/>
            <rFont val="Tahoma"/>
            <family val="2"/>
          </rPr>
          <t>If this highlights as an error, consider upsizing the Tether size for better ribbon utilization</t>
        </r>
      </text>
    </comment>
    <comment ref="C1884" authorId="1" shapeId="0">
      <text>
        <r>
          <rPr>
            <b/>
            <sz val="9"/>
            <color indexed="81"/>
            <rFont val="Tahoma"/>
            <family val="2"/>
          </rPr>
          <t>DBL REV requires TWO rows!
TPL REV requires THREE rows!
QD REV requires FOUR rows!</t>
        </r>
      </text>
    </comment>
    <comment ref="J1884" authorId="1" shapeId="0">
      <text>
        <r>
          <rPr>
            <b/>
            <sz val="9"/>
            <color indexed="81"/>
            <rFont val="Tahoma"/>
            <family val="2"/>
          </rPr>
          <t>If this highlights as an error, consider upsizing the Tether size for better ribbon utilization</t>
        </r>
      </text>
    </comment>
    <comment ref="C1885" authorId="1" shapeId="0">
      <text>
        <r>
          <rPr>
            <b/>
            <sz val="9"/>
            <color indexed="81"/>
            <rFont val="Tahoma"/>
            <family val="2"/>
          </rPr>
          <t>DBL REV requires TWO rows!
TPL REV requires THREE rows!
QD REV requires FOUR rows!</t>
        </r>
      </text>
    </comment>
    <comment ref="J1885" authorId="1" shapeId="0">
      <text>
        <r>
          <rPr>
            <b/>
            <sz val="9"/>
            <color indexed="81"/>
            <rFont val="Tahoma"/>
            <family val="2"/>
          </rPr>
          <t>If this highlights as an error, consider upsizing the Tether size for better ribbon utilization</t>
        </r>
      </text>
    </comment>
    <comment ref="C1886" authorId="1" shapeId="0">
      <text>
        <r>
          <rPr>
            <b/>
            <sz val="9"/>
            <color indexed="81"/>
            <rFont val="Tahoma"/>
            <family val="2"/>
          </rPr>
          <t>DBL REV requires TWO rows!
TPL REV requires THREE rows!
QD REV requires FOUR rows!</t>
        </r>
      </text>
    </comment>
    <comment ref="J1886" authorId="1" shapeId="0">
      <text>
        <r>
          <rPr>
            <b/>
            <sz val="9"/>
            <color indexed="81"/>
            <rFont val="Tahoma"/>
            <family val="2"/>
          </rPr>
          <t>If this highlights as an error, consider upsizing the Tether size for better ribbon utilization</t>
        </r>
      </text>
    </comment>
    <comment ref="B189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text>
        <r>
          <rPr>
            <b/>
            <sz val="8"/>
            <color indexed="81"/>
            <rFont val="Tahoma"/>
            <family val="2"/>
          </rPr>
          <t>This will be added to Planning Load Block A for TOTAL</t>
        </r>
        <r>
          <rPr>
            <sz val="8"/>
            <color indexed="81"/>
            <rFont val="Tahoma"/>
            <family val="2"/>
          </rPr>
          <t xml:space="preserve">
</t>
        </r>
      </text>
    </comment>
    <comment ref="J1892" authorId="0" shapeId="0">
      <text>
        <r>
          <rPr>
            <b/>
            <sz val="8"/>
            <color indexed="81"/>
            <rFont val="Tahoma"/>
            <family val="2"/>
          </rPr>
          <t>This is the PON OUT count that is not assigned in this cable reel.</t>
        </r>
        <r>
          <rPr>
            <sz val="8"/>
            <color indexed="81"/>
            <rFont val="Tahoma"/>
            <family val="2"/>
          </rPr>
          <t xml:space="preserve">
</t>
        </r>
      </text>
    </comment>
    <comment ref="P1892" authorId="1" shapeId="0">
      <text>
        <r>
          <rPr>
            <b/>
            <sz val="9"/>
            <color indexed="81"/>
            <rFont val="Tahoma"/>
            <family val="2"/>
          </rPr>
          <t>REMEMBER: 2-Fbr Tethers are NOT available for RPX CABLE!</t>
        </r>
      </text>
    </comment>
    <comment ref="Q1892" authorId="1" shapeId="0">
      <text>
        <r>
          <rPr>
            <b/>
            <sz val="9"/>
            <color indexed="81"/>
            <rFont val="Tahoma"/>
            <family val="2"/>
          </rPr>
          <t>REMEMBER: 2-Fbr Tethers are NOT available for RPX CABLE!</t>
        </r>
      </text>
    </comment>
    <comment ref="S1892" authorId="1" shapeId="0">
      <text>
        <r>
          <rPr>
            <b/>
            <sz val="9"/>
            <color indexed="81"/>
            <rFont val="Tahoma"/>
            <family val="2"/>
          </rPr>
          <t>REMEMBER: 2-Fbr Tethers are NOT available for RPX CABLE!</t>
        </r>
      </text>
    </comment>
    <comment ref="T1892" authorId="1" shapeId="0">
      <text>
        <r>
          <rPr>
            <b/>
            <sz val="9"/>
            <color indexed="81"/>
            <rFont val="Tahoma"/>
            <family val="2"/>
          </rPr>
          <t>REMEMBER: 2-Fbr Tethers are NOT available for RPX CABLE!</t>
        </r>
      </text>
    </comment>
    <comment ref="B189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text>
        <r>
          <rPr>
            <b/>
            <sz val="8"/>
            <color indexed="81"/>
            <rFont val="Tahoma"/>
            <family val="2"/>
          </rPr>
          <t>Make sure you add this number to "TAT FIBERS ASSIGNED" for the total required in the Load Block on the prints.</t>
        </r>
      </text>
    </comment>
    <comment ref="G1893" authorId="0" shapeId="0">
      <text>
        <r>
          <rPr>
            <b/>
            <sz val="8"/>
            <color indexed="81"/>
            <rFont val="Tahoma"/>
            <family val="2"/>
          </rPr>
          <t>Includes "DEAD" Count (No PON count assigned)</t>
        </r>
      </text>
    </comment>
    <comment ref="I189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text>
        <r>
          <rPr>
            <b/>
            <sz val="9"/>
            <color indexed="81"/>
            <rFont val="Tahoma"/>
            <family val="2"/>
          </rPr>
          <t>REMEMBER: 6-Fbr Tethers are NOT available for RPX CABLE!</t>
        </r>
      </text>
    </comment>
    <comment ref="Q1894" authorId="1" shapeId="0">
      <text>
        <r>
          <rPr>
            <b/>
            <sz val="9"/>
            <color indexed="81"/>
            <rFont val="Tahoma"/>
            <family val="2"/>
          </rPr>
          <t>REMEMBER: 6-Fbr Tethers are NOT available for RPX CABLE!</t>
        </r>
      </text>
    </comment>
    <comment ref="S1894" authorId="1" shapeId="0">
      <text>
        <r>
          <rPr>
            <b/>
            <sz val="9"/>
            <color indexed="81"/>
            <rFont val="Tahoma"/>
            <family val="2"/>
          </rPr>
          <t>REMEMBER: 6-Fbr Tethers are NOT available for RPX CABLE!</t>
        </r>
      </text>
    </comment>
    <comment ref="T1894" authorId="1" shapeId="0">
      <text>
        <r>
          <rPr>
            <b/>
            <sz val="9"/>
            <color indexed="81"/>
            <rFont val="Tahoma"/>
            <family val="2"/>
          </rPr>
          <t>REMEMBER: 6-Fbr Tethers are NOT available for AERIAL CABLE!</t>
        </r>
      </text>
    </comment>
    <comment ref="B189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text>
        <r>
          <rPr>
            <b/>
            <sz val="8"/>
            <color indexed="81"/>
            <rFont val="Tahoma"/>
            <family val="2"/>
          </rPr>
          <t>These are "manufacturing rules" and general warnings</t>
        </r>
        <r>
          <rPr>
            <sz val="8"/>
            <color indexed="81"/>
            <rFont val="Tahoma"/>
            <family val="2"/>
          </rPr>
          <t xml:space="preserve">
</t>
        </r>
      </text>
    </comment>
    <comment ref="B189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text>
        <r>
          <rPr>
            <b/>
            <sz val="8"/>
            <color indexed="81"/>
            <rFont val="Tahoma"/>
            <family val="2"/>
          </rPr>
          <t>This number is a sum of TOTAL PLANNED plus the ASSIGNED TO TETHERS</t>
        </r>
        <r>
          <rPr>
            <sz val="8"/>
            <color indexed="81"/>
            <rFont val="Tahoma"/>
            <family val="2"/>
          </rPr>
          <t xml:space="preserve">
</t>
        </r>
      </text>
    </comment>
    <comment ref="Z1900" authorId="0" shapeId="0">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text>
        <r>
          <rPr>
            <b/>
            <sz val="8"/>
            <color indexed="81"/>
            <rFont val="Tahoma"/>
            <family val="2"/>
          </rPr>
          <t>Counting from High count Backwards- this is Fiber Strand 133</t>
        </r>
      </text>
    </comment>
    <comment ref="AB1900" authorId="0" shapeId="0">
      <text>
        <r>
          <rPr>
            <b/>
            <sz val="8"/>
            <color indexed="81"/>
            <rFont val="Tahoma"/>
            <family val="2"/>
          </rPr>
          <t>Counting from High count Backwards- this is Fiber Strand 144</t>
        </r>
        <r>
          <rPr>
            <sz val="8"/>
            <color indexed="81"/>
            <rFont val="Tahoma"/>
            <family val="2"/>
          </rPr>
          <t xml:space="preserve">
</t>
        </r>
      </text>
    </comment>
    <comment ref="C1901" authorId="0" shapeId="0">
      <text>
        <r>
          <rPr>
            <b/>
            <sz val="8"/>
            <color indexed="81"/>
            <rFont val="Tahoma"/>
            <family val="2"/>
          </rPr>
          <t xml:space="preserve">Select if this tether will be used to feed a CFST or a lateral cable. </t>
        </r>
      </text>
    </comment>
    <comment ref="D1901" authorId="0" shapeId="0">
      <text>
        <r>
          <rPr>
            <b/>
            <sz val="8"/>
            <color indexed="81"/>
            <rFont val="Tahoma"/>
            <family val="2"/>
          </rPr>
          <t>Note the Terminal Address to keep your locations straight</t>
        </r>
        <r>
          <rPr>
            <sz val="8"/>
            <color indexed="81"/>
            <rFont val="Tahoma"/>
            <family val="2"/>
          </rPr>
          <t xml:space="preserve">
</t>
        </r>
      </text>
    </comment>
    <comment ref="E1901" authorId="0" shapeId="0">
      <text>
        <r>
          <rPr>
            <b/>
            <sz val="9"/>
            <color indexed="81"/>
            <rFont val="Calibri"/>
            <family val="2"/>
            <scheme val="minor"/>
          </rPr>
          <t>Pick the Tether Size for the location</t>
        </r>
        <r>
          <rPr>
            <sz val="8"/>
            <color indexed="81"/>
            <rFont val="Tahoma"/>
            <family val="2"/>
          </rPr>
          <t xml:space="preserve">
</t>
        </r>
      </text>
    </comment>
    <comment ref="F1901" authorId="2" shapeId="0">
      <text>
        <r>
          <rPr>
            <b/>
            <sz val="9"/>
            <color indexed="81"/>
            <rFont val="Tahoma"/>
            <family val="2"/>
          </rPr>
          <t>Identify TCF or FST location.
Leave blank if tether is NOT for a TCF or FST!</t>
        </r>
      </text>
    </comment>
    <comment ref="H1901" authorId="0" shapeId="0">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text>
        <r>
          <rPr>
            <b/>
            <sz val="8"/>
            <color indexed="81"/>
            <rFont val="Tahoma"/>
            <family val="2"/>
          </rPr>
          <t>If any of these numbers are negative, check your PON count and Cable size</t>
        </r>
      </text>
    </comment>
    <comment ref="J190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text>
        <r>
          <rPr>
            <b/>
            <sz val="9"/>
            <color indexed="81"/>
            <rFont val="Tahoma"/>
            <family val="2"/>
          </rPr>
          <t>Leave blank if using 10' Terminal Tail
Enter Tail length if greater than 10'</t>
        </r>
      </text>
    </comment>
    <comment ref="M1901" authorId="0" shapeId="0">
      <text>
        <r>
          <rPr>
            <b/>
            <sz val="8"/>
            <color indexed="81"/>
            <rFont val="Tahoma"/>
            <family val="2"/>
          </rPr>
          <t>Make design notes such as slack coils, realingment loops,  or location notes</t>
        </r>
      </text>
    </comment>
    <comment ref="Z1901" authorId="0" shapeId="0">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text>
        <r>
          <rPr>
            <b/>
            <sz val="8"/>
            <color indexed="81"/>
            <rFont val="Tahoma"/>
            <family val="2"/>
          </rPr>
          <t xml:space="preserve">Counting from High count Backwards- this is Fiber Strand 145
</t>
        </r>
      </text>
    </comment>
    <comment ref="AB1901" authorId="0" shapeId="0">
      <text>
        <r>
          <rPr>
            <b/>
            <sz val="8"/>
            <color indexed="81"/>
            <rFont val="Tahoma"/>
            <family val="2"/>
          </rPr>
          <t>Counting from High count Backwards- this is Fiber Strand 156</t>
        </r>
      </text>
    </comment>
    <comment ref="J1903" authorId="1" shapeId="0">
      <text>
        <r>
          <rPr>
            <b/>
            <sz val="9"/>
            <color indexed="81"/>
            <rFont val="Tahoma"/>
            <family val="2"/>
          </rPr>
          <t>If this highlights as an error, consider upsizing the Tether size for better ribbon utilization</t>
        </r>
      </text>
    </comment>
    <comment ref="J1904" authorId="1" shapeId="0">
      <text>
        <r>
          <rPr>
            <b/>
            <sz val="9"/>
            <color indexed="81"/>
            <rFont val="Tahoma"/>
            <family val="2"/>
          </rPr>
          <t>If this highlights as an error, consider upsizing the Tether size for better ribbon utilization</t>
        </r>
      </text>
    </comment>
    <comment ref="J1905" authorId="1" shapeId="0">
      <text>
        <r>
          <rPr>
            <b/>
            <sz val="9"/>
            <color indexed="81"/>
            <rFont val="Tahoma"/>
            <family val="2"/>
          </rPr>
          <t>If this highlights as an error, consider upsizing the Tether size for better ribbon utilization</t>
        </r>
      </text>
    </comment>
    <comment ref="J1906" authorId="1" shapeId="0">
      <text>
        <r>
          <rPr>
            <b/>
            <sz val="9"/>
            <color indexed="81"/>
            <rFont val="Tahoma"/>
            <family val="2"/>
          </rPr>
          <t>If this highlights as an error, consider upsizing the Tether size for better ribbon utilization</t>
        </r>
      </text>
    </comment>
    <comment ref="J1907" authorId="1" shapeId="0">
      <text>
        <r>
          <rPr>
            <b/>
            <sz val="9"/>
            <color indexed="81"/>
            <rFont val="Tahoma"/>
            <family val="2"/>
          </rPr>
          <t>If this highlights as an error, consider upsizing the Tether size for better ribbon utilization</t>
        </r>
      </text>
    </comment>
    <comment ref="J1908" authorId="1" shapeId="0">
      <text>
        <r>
          <rPr>
            <b/>
            <sz val="9"/>
            <color indexed="81"/>
            <rFont val="Tahoma"/>
            <family val="2"/>
          </rPr>
          <t>If this highlights as an error, consider upsizing the Tether size for better ribbon utilization</t>
        </r>
      </text>
    </comment>
    <comment ref="J1909" authorId="1" shapeId="0">
      <text>
        <r>
          <rPr>
            <b/>
            <sz val="9"/>
            <color indexed="81"/>
            <rFont val="Tahoma"/>
            <family val="2"/>
          </rPr>
          <t>If this highlights as an error, consider upsizing the Tether size for better ribbon utilization</t>
        </r>
      </text>
    </comment>
    <comment ref="J1910" authorId="1" shapeId="0">
      <text>
        <r>
          <rPr>
            <b/>
            <sz val="9"/>
            <color indexed="81"/>
            <rFont val="Tahoma"/>
            <family val="2"/>
          </rPr>
          <t>If this highlights as an error, consider upsizing the Tether size for better ribbon utilization</t>
        </r>
      </text>
    </comment>
    <comment ref="J1911" authorId="1" shapeId="0">
      <text>
        <r>
          <rPr>
            <b/>
            <sz val="9"/>
            <color indexed="81"/>
            <rFont val="Tahoma"/>
            <family val="2"/>
          </rPr>
          <t>If this highlights as an error, consider upsizing the Tether size for better ribbon utilization</t>
        </r>
      </text>
    </comment>
    <comment ref="J1912" authorId="1" shapeId="0">
      <text>
        <r>
          <rPr>
            <b/>
            <sz val="9"/>
            <color indexed="81"/>
            <rFont val="Tahoma"/>
            <family val="2"/>
          </rPr>
          <t>If this highlights as an error, consider upsizing the Tether size for better ribbon utilization</t>
        </r>
      </text>
    </comment>
    <comment ref="J1913" authorId="1" shapeId="0">
      <text>
        <r>
          <rPr>
            <b/>
            <sz val="9"/>
            <color indexed="81"/>
            <rFont val="Tahoma"/>
            <family val="2"/>
          </rPr>
          <t>If this highlights as an error, consider upsizing the Tether size for better ribbon utilization</t>
        </r>
      </text>
    </comment>
    <comment ref="J1914" authorId="1" shapeId="0">
      <text>
        <r>
          <rPr>
            <b/>
            <sz val="9"/>
            <color indexed="81"/>
            <rFont val="Tahoma"/>
            <family val="2"/>
          </rPr>
          <t>If this highlights as an error, consider upsizing the Tether size for better ribbon utilization</t>
        </r>
      </text>
    </comment>
    <comment ref="J1915" authorId="1" shapeId="0">
      <text>
        <r>
          <rPr>
            <b/>
            <sz val="9"/>
            <color indexed="81"/>
            <rFont val="Tahoma"/>
            <family val="2"/>
          </rPr>
          <t>If this highlights as an error, consider upsizing the Tether size for better ribbon utilization</t>
        </r>
      </text>
    </comment>
    <comment ref="J1916" authorId="1" shapeId="0">
      <text>
        <r>
          <rPr>
            <b/>
            <sz val="9"/>
            <color indexed="81"/>
            <rFont val="Tahoma"/>
            <family val="2"/>
          </rPr>
          <t>If this highlights as an error, consider upsizing the Tether size for better ribbon utilization</t>
        </r>
      </text>
    </comment>
    <comment ref="J1917" authorId="1" shapeId="0">
      <text>
        <r>
          <rPr>
            <b/>
            <sz val="9"/>
            <color indexed="81"/>
            <rFont val="Tahoma"/>
            <family val="2"/>
          </rPr>
          <t>If this highlights as an error, consider upsizing the Tether size for better ribbon utilization</t>
        </r>
      </text>
    </comment>
    <comment ref="J1918" authorId="1" shapeId="0">
      <text>
        <r>
          <rPr>
            <b/>
            <sz val="9"/>
            <color indexed="81"/>
            <rFont val="Tahoma"/>
            <family val="2"/>
          </rPr>
          <t>If this highlights as an error, consider upsizing the Tether size for better ribbon utilization</t>
        </r>
      </text>
    </comment>
    <comment ref="J1919" authorId="1" shapeId="0">
      <text>
        <r>
          <rPr>
            <b/>
            <sz val="9"/>
            <color indexed="81"/>
            <rFont val="Tahoma"/>
            <family val="2"/>
          </rPr>
          <t>If this highlights as an error, consider upsizing the Tether size for better ribbon utilization</t>
        </r>
      </text>
    </comment>
    <comment ref="J1920" authorId="1" shapeId="0">
      <text>
        <r>
          <rPr>
            <b/>
            <sz val="9"/>
            <color indexed="81"/>
            <rFont val="Tahoma"/>
            <family val="2"/>
          </rPr>
          <t>If this highlights as an error, consider upsizing the Tether size for better ribbon utilization</t>
        </r>
      </text>
    </comment>
    <comment ref="C1921" authorId="1" shapeId="0">
      <text>
        <r>
          <rPr>
            <b/>
            <sz val="9"/>
            <color indexed="81"/>
            <rFont val="Tahoma"/>
            <family val="2"/>
          </rPr>
          <t>DBL REV requires TWO rows!
TPL REV requires THREE rows!
QD REV requires FOUR rows!</t>
        </r>
      </text>
    </comment>
    <comment ref="J1921" authorId="1" shapeId="0">
      <text>
        <r>
          <rPr>
            <b/>
            <sz val="9"/>
            <color indexed="81"/>
            <rFont val="Tahoma"/>
            <family val="2"/>
          </rPr>
          <t>If this highlights as an error, consider upsizing the Tether size for better ribbon utilization</t>
        </r>
      </text>
    </comment>
    <comment ref="C1922" authorId="1" shapeId="0">
      <text>
        <r>
          <rPr>
            <b/>
            <sz val="9"/>
            <color indexed="81"/>
            <rFont val="Tahoma"/>
            <family val="2"/>
          </rPr>
          <t>DBL REV requires TWO rows!
TPL REV requires THREE rows!
QD REV requires FOUR rows!</t>
        </r>
      </text>
    </comment>
    <comment ref="J1922" authorId="1" shapeId="0">
      <text>
        <r>
          <rPr>
            <b/>
            <sz val="9"/>
            <color indexed="81"/>
            <rFont val="Tahoma"/>
            <family val="2"/>
          </rPr>
          <t>If this highlights as an error, consider upsizing the Tether size for better ribbon utilization</t>
        </r>
      </text>
    </comment>
    <comment ref="C1923" authorId="1" shapeId="0">
      <text>
        <r>
          <rPr>
            <b/>
            <sz val="9"/>
            <color indexed="81"/>
            <rFont val="Tahoma"/>
            <family val="2"/>
          </rPr>
          <t>DBL REV requires TWO rows!
TPL REV requires THREE rows!
QD REV requires FOUR rows!</t>
        </r>
      </text>
    </comment>
    <comment ref="J1923" authorId="1" shapeId="0">
      <text>
        <r>
          <rPr>
            <b/>
            <sz val="9"/>
            <color indexed="81"/>
            <rFont val="Tahoma"/>
            <family val="2"/>
          </rPr>
          <t>If this highlights as an error, consider upsizing the Tether size for better ribbon utilization</t>
        </r>
      </text>
    </comment>
    <comment ref="C1924" authorId="1" shapeId="0">
      <text>
        <r>
          <rPr>
            <b/>
            <sz val="9"/>
            <color indexed="81"/>
            <rFont val="Tahoma"/>
            <family val="2"/>
          </rPr>
          <t>DBL REV requires TWO rows!
TPL REV requires THREE rows!
QD REV requires FOUR rows!</t>
        </r>
      </text>
    </comment>
    <comment ref="J1924" authorId="1" shapeId="0">
      <text>
        <r>
          <rPr>
            <b/>
            <sz val="9"/>
            <color indexed="81"/>
            <rFont val="Tahoma"/>
            <family val="2"/>
          </rPr>
          <t>If this highlights as an error, consider upsizing the Tether size for better ribbon utilization</t>
        </r>
      </text>
    </comment>
    <comment ref="C1925" authorId="1" shapeId="0">
      <text>
        <r>
          <rPr>
            <b/>
            <sz val="9"/>
            <color indexed="81"/>
            <rFont val="Tahoma"/>
            <family val="2"/>
          </rPr>
          <t>DBL REV requires TWO rows!
TPL REV requires THREE rows!
QD REV requires FOUR rows!</t>
        </r>
      </text>
    </comment>
    <comment ref="J1925" authorId="1" shapeId="0">
      <text>
        <r>
          <rPr>
            <b/>
            <sz val="9"/>
            <color indexed="81"/>
            <rFont val="Tahoma"/>
            <family val="2"/>
          </rPr>
          <t>If this highlights as an error, consider upsizing the Tether size for better ribbon utilization</t>
        </r>
      </text>
    </comment>
    <comment ref="C1926" authorId="1" shapeId="0">
      <text>
        <r>
          <rPr>
            <b/>
            <sz val="9"/>
            <color indexed="81"/>
            <rFont val="Tahoma"/>
            <family val="2"/>
          </rPr>
          <t>DBL REV requires TWO rows!
TPL REV requires THREE rows!
QD REV requires FOUR rows!</t>
        </r>
      </text>
    </comment>
    <comment ref="J1926" authorId="1" shapeId="0">
      <text>
        <r>
          <rPr>
            <b/>
            <sz val="9"/>
            <color indexed="81"/>
            <rFont val="Tahoma"/>
            <family val="2"/>
          </rPr>
          <t>If this highlights as an error, consider upsizing the Tether size for better ribbon utilization</t>
        </r>
      </text>
    </comment>
    <comment ref="C1927" authorId="1" shapeId="0">
      <text>
        <r>
          <rPr>
            <b/>
            <sz val="9"/>
            <color indexed="81"/>
            <rFont val="Tahoma"/>
            <family val="2"/>
          </rPr>
          <t>DBL REV requires TWO rows!
TPL REV requires THREE rows!
QD REV requires FOUR rows!</t>
        </r>
      </text>
    </comment>
    <comment ref="J1927" authorId="1" shapeId="0">
      <text>
        <r>
          <rPr>
            <b/>
            <sz val="9"/>
            <color indexed="81"/>
            <rFont val="Tahoma"/>
            <family val="2"/>
          </rPr>
          <t>If this highlights as an error, consider upsizing the Tether size for better ribbon utilization</t>
        </r>
      </text>
    </comment>
    <comment ref="B193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text>
        <r>
          <rPr>
            <b/>
            <sz val="8"/>
            <color indexed="81"/>
            <rFont val="Tahoma"/>
            <family val="2"/>
          </rPr>
          <t>This will be added to Planning Load Block A for TOTAL</t>
        </r>
        <r>
          <rPr>
            <sz val="8"/>
            <color indexed="81"/>
            <rFont val="Tahoma"/>
            <family val="2"/>
          </rPr>
          <t xml:space="preserve">
</t>
        </r>
      </text>
    </comment>
    <comment ref="J1933" authorId="0" shapeId="0">
      <text>
        <r>
          <rPr>
            <b/>
            <sz val="8"/>
            <color indexed="81"/>
            <rFont val="Tahoma"/>
            <family val="2"/>
          </rPr>
          <t>This is the PON OUT count that is not assigned in this cable reel.</t>
        </r>
        <r>
          <rPr>
            <sz val="8"/>
            <color indexed="81"/>
            <rFont val="Tahoma"/>
            <family val="2"/>
          </rPr>
          <t xml:space="preserve">
</t>
        </r>
      </text>
    </comment>
    <comment ref="P1933" authorId="1" shapeId="0">
      <text>
        <r>
          <rPr>
            <b/>
            <sz val="9"/>
            <color indexed="81"/>
            <rFont val="Tahoma"/>
            <family val="2"/>
          </rPr>
          <t>REMEMBER: 2-Fbr Tethers are NOT available for RPX CABLE!</t>
        </r>
      </text>
    </comment>
    <comment ref="Q1933" authorId="1" shapeId="0">
      <text>
        <r>
          <rPr>
            <b/>
            <sz val="9"/>
            <color indexed="81"/>
            <rFont val="Tahoma"/>
            <family val="2"/>
          </rPr>
          <t>REMEMBER: 2-Fbr Tethers are NOT available for RPX CABLE!</t>
        </r>
      </text>
    </comment>
    <comment ref="S1933" authorId="1" shapeId="0">
      <text>
        <r>
          <rPr>
            <b/>
            <sz val="9"/>
            <color indexed="81"/>
            <rFont val="Tahoma"/>
            <family val="2"/>
          </rPr>
          <t>REMEMBER: 2-Fbr Tethers are NOT available for RPX CABLE!</t>
        </r>
      </text>
    </comment>
    <comment ref="T1933" authorId="1" shapeId="0">
      <text>
        <r>
          <rPr>
            <b/>
            <sz val="9"/>
            <color indexed="81"/>
            <rFont val="Tahoma"/>
            <family val="2"/>
          </rPr>
          <t>REMEMBER: 2-Fbr Tethers are NOT available for RPX CABLE!</t>
        </r>
      </text>
    </comment>
    <comment ref="B193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text>
        <r>
          <rPr>
            <b/>
            <sz val="8"/>
            <color indexed="81"/>
            <rFont val="Tahoma"/>
            <family val="2"/>
          </rPr>
          <t>Make sure you add this number to "TAT FIBERS ASSIGNED" for the total required in the Load Block on the prints.</t>
        </r>
      </text>
    </comment>
    <comment ref="G1934" authorId="0" shapeId="0">
      <text>
        <r>
          <rPr>
            <b/>
            <sz val="8"/>
            <color indexed="81"/>
            <rFont val="Tahoma"/>
            <family val="2"/>
          </rPr>
          <t>Includes "DEAD" Count (No PON count assigned)</t>
        </r>
      </text>
    </comment>
    <comment ref="I193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text>
        <r>
          <rPr>
            <b/>
            <sz val="9"/>
            <color indexed="81"/>
            <rFont val="Tahoma"/>
            <family val="2"/>
          </rPr>
          <t>REMEMBER: 6-Fbr Tethers are NOT available for RPX CABLE!</t>
        </r>
      </text>
    </comment>
    <comment ref="Q1935" authorId="1" shapeId="0">
      <text>
        <r>
          <rPr>
            <b/>
            <sz val="9"/>
            <color indexed="81"/>
            <rFont val="Tahoma"/>
            <family val="2"/>
          </rPr>
          <t>REMEMBER: 6-Fbr Tethers are NOT available for RPX CABLE!</t>
        </r>
      </text>
    </comment>
    <comment ref="S1935" authorId="1" shapeId="0">
      <text>
        <r>
          <rPr>
            <b/>
            <sz val="9"/>
            <color indexed="81"/>
            <rFont val="Tahoma"/>
            <family val="2"/>
          </rPr>
          <t>REMEMBER: 6-Fbr Tethers are NOT available for RPX CABLE!</t>
        </r>
      </text>
    </comment>
    <comment ref="T1935" authorId="1" shapeId="0">
      <text>
        <r>
          <rPr>
            <b/>
            <sz val="9"/>
            <color indexed="81"/>
            <rFont val="Tahoma"/>
            <family val="2"/>
          </rPr>
          <t>REMEMBER: 6-Fbr Tethers are NOT available for AERIAL CABLE!</t>
        </r>
      </text>
    </comment>
    <comment ref="B193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text>
        <r>
          <rPr>
            <b/>
            <sz val="8"/>
            <color indexed="81"/>
            <rFont val="Tahoma"/>
            <family val="2"/>
          </rPr>
          <t>These are "manufacturing rules" and general warnings</t>
        </r>
        <r>
          <rPr>
            <sz val="8"/>
            <color indexed="81"/>
            <rFont val="Tahoma"/>
            <family val="2"/>
          </rPr>
          <t xml:space="preserve">
</t>
        </r>
      </text>
    </comment>
    <comment ref="B193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text>
        <r>
          <rPr>
            <b/>
            <sz val="8"/>
            <color indexed="81"/>
            <rFont val="Tahoma"/>
            <family val="2"/>
          </rPr>
          <t>This number is a sum of TOTAL PLANNED plus the ASSIGNED TO TETHERS</t>
        </r>
        <r>
          <rPr>
            <sz val="8"/>
            <color indexed="81"/>
            <rFont val="Tahoma"/>
            <family val="2"/>
          </rPr>
          <t xml:space="preserve">
</t>
        </r>
      </text>
    </comment>
    <comment ref="Z1941" authorId="0" shapeId="0">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text>
        <r>
          <rPr>
            <b/>
            <sz val="8"/>
            <color indexed="81"/>
            <rFont val="Tahoma"/>
            <family val="2"/>
          </rPr>
          <t>Counting from High count Backwards- this is Fiber Strand 133</t>
        </r>
      </text>
    </comment>
    <comment ref="AB1941" authorId="0" shapeId="0">
      <text>
        <r>
          <rPr>
            <b/>
            <sz val="8"/>
            <color indexed="81"/>
            <rFont val="Tahoma"/>
            <family val="2"/>
          </rPr>
          <t>Counting from High count Backwards- this is Fiber Strand 144</t>
        </r>
        <r>
          <rPr>
            <sz val="8"/>
            <color indexed="81"/>
            <rFont val="Tahoma"/>
            <family val="2"/>
          </rPr>
          <t xml:space="preserve">
</t>
        </r>
      </text>
    </comment>
    <comment ref="C1942" authorId="0" shapeId="0">
      <text>
        <r>
          <rPr>
            <b/>
            <sz val="8"/>
            <color indexed="81"/>
            <rFont val="Tahoma"/>
            <family val="2"/>
          </rPr>
          <t xml:space="preserve">Select if this tether will be used to feed a CFST or a lateral cable. </t>
        </r>
      </text>
    </comment>
    <comment ref="D1942" authorId="0" shapeId="0">
      <text>
        <r>
          <rPr>
            <b/>
            <sz val="8"/>
            <color indexed="81"/>
            <rFont val="Tahoma"/>
            <family val="2"/>
          </rPr>
          <t>Note the Terminal Address to keep your locations straight</t>
        </r>
        <r>
          <rPr>
            <sz val="8"/>
            <color indexed="81"/>
            <rFont val="Tahoma"/>
            <family val="2"/>
          </rPr>
          <t xml:space="preserve">
</t>
        </r>
      </text>
    </comment>
    <comment ref="E1942" authorId="0" shapeId="0">
      <text>
        <r>
          <rPr>
            <b/>
            <sz val="9"/>
            <color indexed="81"/>
            <rFont val="Calibri"/>
            <family val="2"/>
            <scheme val="minor"/>
          </rPr>
          <t>Pick the Tether Size for the location</t>
        </r>
        <r>
          <rPr>
            <sz val="8"/>
            <color indexed="81"/>
            <rFont val="Tahoma"/>
            <family val="2"/>
          </rPr>
          <t xml:space="preserve">
</t>
        </r>
      </text>
    </comment>
    <comment ref="F1942" authorId="2" shapeId="0">
      <text>
        <r>
          <rPr>
            <b/>
            <sz val="9"/>
            <color indexed="81"/>
            <rFont val="Tahoma"/>
            <family val="2"/>
          </rPr>
          <t>Identify TCF or FST location.
Leave blank if tether is NOT for a TCF or FST!</t>
        </r>
      </text>
    </comment>
    <comment ref="H1942" authorId="0" shapeId="0">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text>
        <r>
          <rPr>
            <b/>
            <sz val="8"/>
            <color indexed="81"/>
            <rFont val="Tahoma"/>
            <family val="2"/>
          </rPr>
          <t>If any of these numbers are negative, check your PON count and Cable size</t>
        </r>
      </text>
    </comment>
    <comment ref="J194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text>
        <r>
          <rPr>
            <b/>
            <sz val="9"/>
            <color indexed="81"/>
            <rFont val="Tahoma"/>
            <family val="2"/>
          </rPr>
          <t>Leave blank if using 10' Terminal Tail
Enter Tail length if greater than 10'</t>
        </r>
      </text>
    </comment>
    <comment ref="M1942" authorId="0" shapeId="0">
      <text>
        <r>
          <rPr>
            <b/>
            <sz val="8"/>
            <color indexed="81"/>
            <rFont val="Tahoma"/>
            <family val="2"/>
          </rPr>
          <t>Make design notes such as slack coils, realingment loops,  or location notes</t>
        </r>
      </text>
    </comment>
    <comment ref="Z1942" authorId="0" shapeId="0">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text>
        <r>
          <rPr>
            <b/>
            <sz val="8"/>
            <color indexed="81"/>
            <rFont val="Tahoma"/>
            <family val="2"/>
          </rPr>
          <t xml:space="preserve">Counting from High count Backwards- this is Fiber Strand 145
</t>
        </r>
      </text>
    </comment>
    <comment ref="AB1942" authorId="0" shapeId="0">
      <text>
        <r>
          <rPr>
            <b/>
            <sz val="8"/>
            <color indexed="81"/>
            <rFont val="Tahoma"/>
            <family val="2"/>
          </rPr>
          <t>Counting from High count Backwards- this is Fiber Strand 156</t>
        </r>
      </text>
    </comment>
    <comment ref="J1944" authorId="1" shapeId="0">
      <text>
        <r>
          <rPr>
            <b/>
            <sz val="9"/>
            <color indexed="81"/>
            <rFont val="Tahoma"/>
            <family val="2"/>
          </rPr>
          <t>If this highlights as an error, consider upsizing the Tether size for better ribbon utilization</t>
        </r>
      </text>
    </comment>
    <comment ref="J1945" authorId="1" shapeId="0">
      <text>
        <r>
          <rPr>
            <b/>
            <sz val="9"/>
            <color indexed="81"/>
            <rFont val="Tahoma"/>
            <family val="2"/>
          </rPr>
          <t>If this highlights as an error, consider upsizing the Tether size for better ribbon utilization</t>
        </r>
      </text>
    </comment>
    <comment ref="J1946" authorId="1" shapeId="0">
      <text>
        <r>
          <rPr>
            <b/>
            <sz val="9"/>
            <color indexed="81"/>
            <rFont val="Tahoma"/>
            <family val="2"/>
          </rPr>
          <t>If this highlights as an error, consider upsizing the Tether size for better ribbon utilization</t>
        </r>
      </text>
    </comment>
    <comment ref="J1947" authorId="1" shapeId="0">
      <text>
        <r>
          <rPr>
            <b/>
            <sz val="9"/>
            <color indexed="81"/>
            <rFont val="Tahoma"/>
            <family val="2"/>
          </rPr>
          <t>If this highlights as an error, consider upsizing the Tether size for better ribbon utilization</t>
        </r>
      </text>
    </comment>
    <comment ref="J1948" authorId="1" shapeId="0">
      <text>
        <r>
          <rPr>
            <b/>
            <sz val="9"/>
            <color indexed="81"/>
            <rFont val="Tahoma"/>
            <family val="2"/>
          </rPr>
          <t>If this highlights as an error, consider upsizing the Tether size for better ribbon utilization</t>
        </r>
      </text>
    </comment>
    <comment ref="J1949" authorId="1" shapeId="0">
      <text>
        <r>
          <rPr>
            <b/>
            <sz val="9"/>
            <color indexed="81"/>
            <rFont val="Tahoma"/>
            <family val="2"/>
          </rPr>
          <t>If this highlights as an error, consider upsizing the Tether size for better ribbon utilization</t>
        </r>
      </text>
    </comment>
    <comment ref="J1950" authorId="1" shapeId="0">
      <text>
        <r>
          <rPr>
            <b/>
            <sz val="9"/>
            <color indexed="81"/>
            <rFont val="Tahoma"/>
            <family val="2"/>
          </rPr>
          <t>If this highlights as an error, consider upsizing the Tether size for better ribbon utilization</t>
        </r>
      </text>
    </comment>
    <comment ref="J1951" authorId="1" shapeId="0">
      <text>
        <r>
          <rPr>
            <b/>
            <sz val="9"/>
            <color indexed="81"/>
            <rFont val="Tahoma"/>
            <family val="2"/>
          </rPr>
          <t>If this highlights as an error, consider upsizing the Tether size for better ribbon utilization</t>
        </r>
      </text>
    </comment>
    <comment ref="J1952" authorId="1" shapeId="0">
      <text>
        <r>
          <rPr>
            <b/>
            <sz val="9"/>
            <color indexed="81"/>
            <rFont val="Tahoma"/>
            <family val="2"/>
          </rPr>
          <t>If this highlights as an error, consider upsizing the Tether size for better ribbon utilization</t>
        </r>
      </text>
    </comment>
    <comment ref="J1953" authorId="1" shapeId="0">
      <text>
        <r>
          <rPr>
            <b/>
            <sz val="9"/>
            <color indexed="81"/>
            <rFont val="Tahoma"/>
            <family val="2"/>
          </rPr>
          <t>If this highlights as an error, consider upsizing the Tether size for better ribbon utilization</t>
        </r>
      </text>
    </comment>
    <comment ref="J1954" authorId="1" shapeId="0">
      <text>
        <r>
          <rPr>
            <b/>
            <sz val="9"/>
            <color indexed="81"/>
            <rFont val="Tahoma"/>
            <family val="2"/>
          </rPr>
          <t>If this highlights as an error, consider upsizing the Tether size for better ribbon utilization</t>
        </r>
      </text>
    </comment>
    <comment ref="J1955" authorId="1" shapeId="0">
      <text>
        <r>
          <rPr>
            <b/>
            <sz val="9"/>
            <color indexed="81"/>
            <rFont val="Tahoma"/>
            <family val="2"/>
          </rPr>
          <t>If this highlights as an error, consider upsizing the Tether size for better ribbon utilization</t>
        </r>
      </text>
    </comment>
    <comment ref="J1956" authorId="1" shapeId="0">
      <text>
        <r>
          <rPr>
            <b/>
            <sz val="9"/>
            <color indexed="81"/>
            <rFont val="Tahoma"/>
            <family val="2"/>
          </rPr>
          <t>If this highlights as an error, consider upsizing the Tether size for better ribbon utilization</t>
        </r>
      </text>
    </comment>
    <comment ref="J1957" authorId="1" shapeId="0">
      <text>
        <r>
          <rPr>
            <b/>
            <sz val="9"/>
            <color indexed="81"/>
            <rFont val="Tahoma"/>
            <family val="2"/>
          </rPr>
          <t>If this highlights as an error, consider upsizing the Tether size for better ribbon utilization</t>
        </r>
      </text>
    </comment>
    <comment ref="J1958" authorId="1" shapeId="0">
      <text>
        <r>
          <rPr>
            <b/>
            <sz val="9"/>
            <color indexed="81"/>
            <rFont val="Tahoma"/>
            <family val="2"/>
          </rPr>
          <t>If this highlights as an error, consider upsizing the Tether size for better ribbon utilization</t>
        </r>
      </text>
    </comment>
    <comment ref="J1959" authorId="1" shapeId="0">
      <text>
        <r>
          <rPr>
            <b/>
            <sz val="9"/>
            <color indexed="81"/>
            <rFont val="Tahoma"/>
            <family val="2"/>
          </rPr>
          <t>If this highlights as an error, consider upsizing the Tether size for better ribbon utilization</t>
        </r>
      </text>
    </comment>
    <comment ref="J1960" authorId="1" shapeId="0">
      <text>
        <r>
          <rPr>
            <b/>
            <sz val="9"/>
            <color indexed="81"/>
            <rFont val="Tahoma"/>
            <family val="2"/>
          </rPr>
          <t>If this highlights as an error, consider upsizing the Tether size for better ribbon utilization</t>
        </r>
      </text>
    </comment>
    <comment ref="J1961" authorId="1" shapeId="0">
      <text>
        <r>
          <rPr>
            <b/>
            <sz val="9"/>
            <color indexed="81"/>
            <rFont val="Tahoma"/>
            <family val="2"/>
          </rPr>
          <t>If this highlights as an error, consider upsizing the Tether size for better ribbon utilization</t>
        </r>
      </text>
    </comment>
    <comment ref="C1962" authorId="1" shapeId="0">
      <text>
        <r>
          <rPr>
            <b/>
            <sz val="9"/>
            <color indexed="81"/>
            <rFont val="Tahoma"/>
            <family val="2"/>
          </rPr>
          <t>DBL REV requires TWO rows!
TPL REV requires THREE rows!
QD REV requires FOUR rows!</t>
        </r>
      </text>
    </comment>
    <comment ref="J1962" authorId="1" shapeId="0">
      <text>
        <r>
          <rPr>
            <b/>
            <sz val="9"/>
            <color indexed="81"/>
            <rFont val="Tahoma"/>
            <family val="2"/>
          </rPr>
          <t>If this highlights as an error, consider upsizing the Tether size for better ribbon utilization</t>
        </r>
      </text>
    </comment>
    <comment ref="C1963" authorId="1" shapeId="0">
      <text>
        <r>
          <rPr>
            <b/>
            <sz val="9"/>
            <color indexed="81"/>
            <rFont val="Tahoma"/>
            <family val="2"/>
          </rPr>
          <t>DBL REV requires TWO rows!
TPL REV requires THREE rows!
QD REV requires FOUR rows!</t>
        </r>
      </text>
    </comment>
    <comment ref="J1963" authorId="1" shapeId="0">
      <text>
        <r>
          <rPr>
            <b/>
            <sz val="9"/>
            <color indexed="81"/>
            <rFont val="Tahoma"/>
            <family val="2"/>
          </rPr>
          <t>If this highlights as an error, consider upsizing the Tether size for better ribbon utilization</t>
        </r>
      </text>
    </comment>
    <comment ref="C1964" authorId="1" shapeId="0">
      <text>
        <r>
          <rPr>
            <b/>
            <sz val="9"/>
            <color indexed="81"/>
            <rFont val="Tahoma"/>
            <family val="2"/>
          </rPr>
          <t>DBL REV requires TWO rows!
TPL REV requires THREE rows!
QD REV requires FOUR rows!</t>
        </r>
      </text>
    </comment>
    <comment ref="J1964" authorId="1" shapeId="0">
      <text>
        <r>
          <rPr>
            <b/>
            <sz val="9"/>
            <color indexed="81"/>
            <rFont val="Tahoma"/>
            <family val="2"/>
          </rPr>
          <t>If this highlights as an error, consider upsizing the Tether size for better ribbon utilization</t>
        </r>
      </text>
    </comment>
    <comment ref="C1965" authorId="1" shapeId="0">
      <text>
        <r>
          <rPr>
            <b/>
            <sz val="9"/>
            <color indexed="81"/>
            <rFont val="Tahoma"/>
            <family val="2"/>
          </rPr>
          <t>DBL REV requires TWO rows!
TPL REV requires THREE rows!
QD REV requires FOUR rows!</t>
        </r>
      </text>
    </comment>
    <comment ref="J1965" authorId="1" shapeId="0">
      <text>
        <r>
          <rPr>
            <b/>
            <sz val="9"/>
            <color indexed="81"/>
            <rFont val="Tahoma"/>
            <family val="2"/>
          </rPr>
          <t>If this highlights as an error, consider upsizing the Tether size for better ribbon utilization</t>
        </r>
      </text>
    </comment>
    <comment ref="C1966" authorId="1" shapeId="0">
      <text>
        <r>
          <rPr>
            <b/>
            <sz val="9"/>
            <color indexed="81"/>
            <rFont val="Tahoma"/>
            <family val="2"/>
          </rPr>
          <t>DBL REV requires TWO rows!
TPL REV requires THREE rows!
QD REV requires FOUR rows!</t>
        </r>
      </text>
    </comment>
    <comment ref="J1966" authorId="1" shapeId="0">
      <text>
        <r>
          <rPr>
            <b/>
            <sz val="9"/>
            <color indexed="81"/>
            <rFont val="Tahoma"/>
            <family val="2"/>
          </rPr>
          <t>If this highlights as an error, consider upsizing the Tether size for better ribbon utilization</t>
        </r>
      </text>
    </comment>
    <comment ref="C1967" authorId="1" shapeId="0">
      <text>
        <r>
          <rPr>
            <b/>
            <sz val="9"/>
            <color indexed="81"/>
            <rFont val="Tahoma"/>
            <family val="2"/>
          </rPr>
          <t>DBL REV requires TWO rows!
TPL REV requires THREE rows!
QD REV requires FOUR rows!</t>
        </r>
      </text>
    </comment>
    <comment ref="J1967" authorId="1" shapeId="0">
      <text>
        <r>
          <rPr>
            <b/>
            <sz val="9"/>
            <color indexed="81"/>
            <rFont val="Tahoma"/>
            <family val="2"/>
          </rPr>
          <t>If this highlights as an error, consider upsizing the Tether size for better ribbon utilization</t>
        </r>
      </text>
    </comment>
    <comment ref="C1968" authorId="1" shapeId="0">
      <text>
        <r>
          <rPr>
            <b/>
            <sz val="9"/>
            <color indexed="81"/>
            <rFont val="Tahoma"/>
            <family val="2"/>
          </rPr>
          <t>DBL REV requires TWO rows!
TPL REV requires THREE rows!
QD REV requires FOUR rows!</t>
        </r>
      </text>
    </comment>
    <comment ref="J1968" authorId="1" shapeId="0">
      <text>
        <r>
          <rPr>
            <b/>
            <sz val="9"/>
            <color indexed="81"/>
            <rFont val="Tahoma"/>
            <family val="2"/>
          </rPr>
          <t>If this highlights as an error, consider upsizing the Tether size for better ribbon utilization</t>
        </r>
      </text>
    </comment>
    <comment ref="B197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text>
        <r>
          <rPr>
            <b/>
            <sz val="8"/>
            <color indexed="81"/>
            <rFont val="Tahoma"/>
            <family val="2"/>
          </rPr>
          <t>This will be added to Planning Load Block A for TOTAL</t>
        </r>
        <r>
          <rPr>
            <sz val="8"/>
            <color indexed="81"/>
            <rFont val="Tahoma"/>
            <family val="2"/>
          </rPr>
          <t xml:space="preserve">
</t>
        </r>
      </text>
    </comment>
    <comment ref="J1974" authorId="0" shapeId="0">
      <text>
        <r>
          <rPr>
            <b/>
            <sz val="8"/>
            <color indexed="81"/>
            <rFont val="Tahoma"/>
            <family val="2"/>
          </rPr>
          <t>This is the PON OUT count that is not assigned in this cable reel.</t>
        </r>
        <r>
          <rPr>
            <sz val="8"/>
            <color indexed="81"/>
            <rFont val="Tahoma"/>
            <family val="2"/>
          </rPr>
          <t xml:space="preserve">
</t>
        </r>
      </text>
    </comment>
    <comment ref="P1974" authorId="1" shapeId="0">
      <text>
        <r>
          <rPr>
            <b/>
            <sz val="9"/>
            <color indexed="81"/>
            <rFont val="Tahoma"/>
            <family val="2"/>
          </rPr>
          <t>REMEMBER: 2-Fbr Tethers are NOT available for RPX CABLE!</t>
        </r>
      </text>
    </comment>
    <comment ref="Q1974" authorId="1" shapeId="0">
      <text>
        <r>
          <rPr>
            <b/>
            <sz val="9"/>
            <color indexed="81"/>
            <rFont val="Tahoma"/>
            <family val="2"/>
          </rPr>
          <t>REMEMBER: 2-Fbr Tethers are NOT available for RPX CABLE!</t>
        </r>
      </text>
    </comment>
    <comment ref="S1974" authorId="1" shapeId="0">
      <text>
        <r>
          <rPr>
            <b/>
            <sz val="9"/>
            <color indexed="81"/>
            <rFont val="Tahoma"/>
            <family val="2"/>
          </rPr>
          <t>REMEMBER: 2-Fbr Tethers are NOT available for RPX CABLE!</t>
        </r>
      </text>
    </comment>
    <comment ref="T1974" authorId="1" shapeId="0">
      <text>
        <r>
          <rPr>
            <b/>
            <sz val="9"/>
            <color indexed="81"/>
            <rFont val="Tahoma"/>
            <family val="2"/>
          </rPr>
          <t>REMEMBER: 2-Fbr Tethers are NOT available for RPX CABLE!</t>
        </r>
      </text>
    </comment>
    <comment ref="B197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text>
        <r>
          <rPr>
            <b/>
            <sz val="8"/>
            <color indexed="81"/>
            <rFont val="Tahoma"/>
            <family val="2"/>
          </rPr>
          <t>Make sure you add this number to "TAT FIBERS ASSIGNED" for the total required in the Load Block on the prints.</t>
        </r>
      </text>
    </comment>
    <comment ref="G1975" authorId="0" shapeId="0">
      <text>
        <r>
          <rPr>
            <b/>
            <sz val="8"/>
            <color indexed="81"/>
            <rFont val="Tahoma"/>
            <family val="2"/>
          </rPr>
          <t>Includes "DEAD" Count (No PON count assigned)</t>
        </r>
      </text>
    </comment>
    <comment ref="I197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text>
        <r>
          <rPr>
            <b/>
            <sz val="9"/>
            <color indexed="81"/>
            <rFont val="Tahoma"/>
            <family val="2"/>
          </rPr>
          <t>REMEMBER: 6-Fbr Tethers are NOT available for RPX CABLE!</t>
        </r>
      </text>
    </comment>
    <comment ref="Q1976" authorId="1" shapeId="0">
      <text>
        <r>
          <rPr>
            <b/>
            <sz val="9"/>
            <color indexed="81"/>
            <rFont val="Tahoma"/>
            <family val="2"/>
          </rPr>
          <t>REMEMBER: 6-Fbr Tethers are NOT available for RPX CABLE!</t>
        </r>
      </text>
    </comment>
    <comment ref="S1976" authorId="1" shapeId="0">
      <text>
        <r>
          <rPr>
            <b/>
            <sz val="9"/>
            <color indexed="81"/>
            <rFont val="Tahoma"/>
            <family val="2"/>
          </rPr>
          <t>REMEMBER: 6-Fbr Tethers are NOT available for RPX CABLE!</t>
        </r>
      </text>
    </comment>
    <comment ref="T1976" authorId="1" shapeId="0">
      <text>
        <r>
          <rPr>
            <b/>
            <sz val="9"/>
            <color indexed="81"/>
            <rFont val="Tahoma"/>
            <family val="2"/>
          </rPr>
          <t>REMEMBER: 6-Fbr Tethers are NOT available for AERIAL CABLE!</t>
        </r>
      </text>
    </comment>
    <comment ref="B197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text>
        <r>
          <rPr>
            <b/>
            <sz val="8"/>
            <color indexed="81"/>
            <rFont val="Tahoma"/>
            <family val="2"/>
          </rPr>
          <t>These are "manufacturing rules" and general warnings</t>
        </r>
        <r>
          <rPr>
            <sz val="8"/>
            <color indexed="81"/>
            <rFont val="Tahoma"/>
            <family val="2"/>
          </rPr>
          <t xml:space="preserve">
</t>
        </r>
      </text>
    </comment>
    <comment ref="B198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text>
        <r>
          <rPr>
            <b/>
            <sz val="8"/>
            <color indexed="81"/>
            <rFont val="Tahoma"/>
            <family val="2"/>
          </rPr>
          <t>This number is a sum of TOTAL PLANNED plus the ASSIGNED TO TETHERS</t>
        </r>
        <r>
          <rPr>
            <sz val="8"/>
            <color indexed="81"/>
            <rFont val="Tahoma"/>
            <family val="2"/>
          </rPr>
          <t xml:space="preserve">
</t>
        </r>
      </text>
    </comment>
    <comment ref="Z1982" authorId="0" shapeId="0">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text>
        <r>
          <rPr>
            <b/>
            <sz val="8"/>
            <color indexed="81"/>
            <rFont val="Tahoma"/>
            <family val="2"/>
          </rPr>
          <t>Counting from High count Backwards- this is Fiber Strand 133</t>
        </r>
      </text>
    </comment>
    <comment ref="AB1982" authorId="0" shapeId="0">
      <text>
        <r>
          <rPr>
            <b/>
            <sz val="8"/>
            <color indexed="81"/>
            <rFont val="Tahoma"/>
            <family val="2"/>
          </rPr>
          <t>Counting from High count Backwards- this is Fiber Strand 144</t>
        </r>
        <r>
          <rPr>
            <sz val="8"/>
            <color indexed="81"/>
            <rFont val="Tahoma"/>
            <family val="2"/>
          </rPr>
          <t xml:space="preserve">
</t>
        </r>
      </text>
    </comment>
    <comment ref="C1983" authorId="0" shapeId="0">
      <text>
        <r>
          <rPr>
            <b/>
            <sz val="8"/>
            <color indexed="81"/>
            <rFont val="Tahoma"/>
            <family val="2"/>
          </rPr>
          <t xml:space="preserve">Select if this tether will be used to feed a CFST or a lateral cable. </t>
        </r>
      </text>
    </comment>
    <comment ref="D1983" authorId="0" shapeId="0">
      <text>
        <r>
          <rPr>
            <b/>
            <sz val="8"/>
            <color indexed="81"/>
            <rFont val="Tahoma"/>
            <family val="2"/>
          </rPr>
          <t>Note the Terminal Address to keep your locations straight</t>
        </r>
        <r>
          <rPr>
            <sz val="8"/>
            <color indexed="81"/>
            <rFont val="Tahoma"/>
            <family val="2"/>
          </rPr>
          <t xml:space="preserve">
</t>
        </r>
      </text>
    </comment>
    <comment ref="E1983" authorId="0" shapeId="0">
      <text>
        <r>
          <rPr>
            <b/>
            <sz val="9"/>
            <color indexed="81"/>
            <rFont val="Calibri"/>
            <family val="2"/>
            <scheme val="minor"/>
          </rPr>
          <t>Pick the Tether Size for the location</t>
        </r>
        <r>
          <rPr>
            <sz val="8"/>
            <color indexed="81"/>
            <rFont val="Tahoma"/>
            <family val="2"/>
          </rPr>
          <t xml:space="preserve">
</t>
        </r>
      </text>
    </comment>
    <comment ref="F1983" authorId="2" shapeId="0">
      <text>
        <r>
          <rPr>
            <b/>
            <sz val="9"/>
            <color indexed="81"/>
            <rFont val="Tahoma"/>
            <family val="2"/>
          </rPr>
          <t>Identify TCF or FST location.
Leave blank if tether is NOT for a TCF or FST!</t>
        </r>
      </text>
    </comment>
    <comment ref="H1983" authorId="0" shapeId="0">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text>
        <r>
          <rPr>
            <b/>
            <sz val="8"/>
            <color indexed="81"/>
            <rFont val="Tahoma"/>
            <family val="2"/>
          </rPr>
          <t>If any of these numbers are negative, check your PON count and Cable size</t>
        </r>
      </text>
    </comment>
    <comment ref="J198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text>
        <r>
          <rPr>
            <b/>
            <sz val="9"/>
            <color indexed="81"/>
            <rFont val="Tahoma"/>
            <family val="2"/>
          </rPr>
          <t>Leave blank if using 10' Terminal Tail
Enter Tail length if greater than 10'</t>
        </r>
      </text>
    </comment>
    <comment ref="M1983" authorId="0" shapeId="0">
      <text>
        <r>
          <rPr>
            <b/>
            <sz val="8"/>
            <color indexed="81"/>
            <rFont val="Tahoma"/>
            <family val="2"/>
          </rPr>
          <t>Make design notes such as slack coils, realingment loops,  or location notes</t>
        </r>
      </text>
    </comment>
    <comment ref="Z1983" authorId="0" shapeId="0">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text>
        <r>
          <rPr>
            <b/>
            <sz val="8"/>
            <color indexed="81"/>
            <rFont val="Tahoma"/>
            <family val="2"/>
          </rPr>
          <t xml:space="preserve">Counting from High count Backwards- this is Fiber Strand 145
</t>
        </r>
      </text>
    </comment>
    <comment ref="AB1983" authorId="0" shapeId="0">
      <text>
        <r>
          <rPr>
            <b/>
            <sz val="8"/>
            <color indexed="81"/>
            <rFont val="Tahoma"/>
            <family val="2"/>
          </rPr>
          <t>Counting from High count Backwards- this is Fiber Strand 156</t>
        </r>
      </text>
    </comment>
    <comment ref="J1985" authorId="1" shapeId="0">
      <text>
        <r>
          <rPr>
            <b/>
            <sz val="9"/>
            <color indexed="81"/>
            <rFont val="Tahoma"/>
            <family val="2"/>
          </rPr>
          <t>If this highlights as an error, consider upsizing the Tether size for better ribbon utilization</t>
        </r>
      </text>
    </comment>
    <comment ref="J1986" authorId="1" shapeId="0">
      <text>
        <r>
          <rPr>
            <b/>
            <sz val="9"/>
            <color indexed="81"/>
            <rFont val="Tahoma"/>
            <family val="2"/>
          </rPr>
          <t>If this highlights as an error, consider upsizing the Tether size for better ribbon utilization</t>
        </r>
      </text>
    </comment>
    <comment ref="J1987" authorId="1" shapeId="0">
      <text>
        <r>
          <rPr>
            <b/>
            <sz val="9"/>
            <color indexed="81"/>
            <rFont val="Tahoma"/>
            <family val="2"/>
          </rPr>
          <t>If this highlights as an error, consider upsizing the Tether size for better ribbon utilization</t>
        </r>
      </text>
    </comment>
    <comment ref="J1988" authorId="1" shapeId="0">
      <text>
        <r>
          <rPr>
            <b/>
            <sz val="9"/>
            <color indexed="81"/>
            <rFont val="Tahoma"/>
            <family val="2"/>
          </rPr>
          <t>If this highlights as an error, consider upsizing the Tether size for better ribbon utilization</t>
        </r>
      </text>
    </comment>
    <comment ref="J1989" authorId="1" shapeId="0">
      <text>
        <r>
          <rPr>
            <b/>
            <sz val="9"/>
            <color indexed="81"/>
            <rFont val="Tahoma"/>
            <family val="2"/>
          </rPr>
          <t>If this highlights as an error, consider upsizing the Tether size for better ribbon utilization</t>
        </r>
      </text>
    </comment>
    <comment ref="J1990" authorId="1" shapeId="0">
      <text>
        <r>
          <rPr>
            <b/>
            <sz val="9"/>
            <color indexed="81"/>
            <rFont val="Tahoma"/>
            <family val="2"/>
          </rPr>
          <t>If this highlights as an error, consider upsizing the Tether size for better ribbon utilization</t>
        </r>
      </text>
    </comment>
    <comment ref="J1991" authorId="1" shapeId="0">
      <text>
        <r>
          <rPr>
            <b/>
            <sz val="9"/>
            <color indexed="81"/>
            <rFont val="Tahoma"/>
            <family val="2"/>
          </rPr>
          <t>If this highlights as an error, consider upsizing the Tether size for better ribbon utilization</t>
        </r>
      </text>
    </comment>
    <comment ref="J1992" authorId="1" shapeId="0">
      <text>
        <r>
          <rPr>
            <b/>
            <sz val="9"/>
            <color indexed="81"/>
            <rFont val="Tahoma"/>
            <family val="2"/>
          </rPr>
          <t>If this highlights as an error, consider upsizing the Tether size for better ribbon utilization</t>
        </r>
      </text>
    </comment>
    <comment ref="J1993" authorId="1" shapeId="0">
      <text>
        <r>
          <rPr>
            <b/>
            <sz val="9"/>
            <color indexed="81"/>
            <rFont val="Tahoma"/>
            <family val="2"/>
          </rPr>
          <t>If this highlights as an error, consider upsizing the Tether size for better ribbon utilization</t>
        </r>
      </text>
    </comment>
    <comment ref="J1994" authorId="1" shapeId="0">
      <text>
        <r>
          <rPr>
            <b/>
            <sz val="9"/>
            <color indexed="81"/>
            <rFont val="Tahoma"/>
            <family val="2"/>
          </rPr>
          <t>If this highlights as an error, consider upsizing the Tether size for better ribbon utilization</t>
        </r>
      </text>
    </comment>
    <comment ref="J1995" authorId="1" shapeId="0">
      <text>
        <r>
          <rPr>
            <b/>
            <sz val="9"/>
            <color indexed="81"/>
            <rFont val="Tahoma"/>
            <family val="2"/>
          </rPr>
          <t>If this highlights as an error, consider upsizing the Tether size for better ribbon utilization</t>
        </r>
      </text>
    </comment>
    <comment ref="J1996" authorId="1" shapeId="0">
      <text>
        <r>
          <rPr>
            <b/>
            <sz val="9"/>
            <color indexed="81"/>
            <rFont val="Tahoma"/>
            <family val="2"/>
          </rPr>
          <t>If this highlights as an error, consider upsizing the Tether size for better ribbon utilization</t>
        </r>
      </text>
    </comment>
    <comment ref="J1997" authorId="1" shapeId="0">
      <text>
        <r>
          <rPr>
            <b/>
            <sz val="9"/>
            <color indexed="81"/>
            <rFont val="Tahoma"/>
            <family val="2"/>
          </rPr>
          <t>If this highlights as an error, consider upsizing the Tether size for better ribbon utilization</t>
        </r>
      </text>
    </comment>
    <comment ref="J1998" authorId="1" shapeId="0">
      <text>
        <r>
          <rPr>
            <b/>
            <sz val="9"/>
            <color indexed="81"/>
            <rFont val="Tahoma"/>
            <family val="2"/>
          </rPr>
          <t>If this highlights as an error, consider upsizing the Tether size for better ribbon utilization</t>
        </r>
      </text>
    </comment>
    <comment ref="J1999" authorId="1" shapeId="0">
      <text>
        <r>
          <rPr>
            <b/>
            <sz val="9"/>
            <color indexed="81"/>
            <rFont val="Tahoma"/>
            <family val="2"/>
          </rPr>
          <t>If this highlights as an error, consider upsizing the Tether size for better ribbon utilization</t>
        </r>
      </text>
    </comment>
    <comment ref="J2000" authorId="1" shapeId="0">
      <text>
        <r>
          <rPr>
            <b/>
            <sz val="9"/>
            <color indexed="81"/>
            <rFont val="Tahoma"/>
            <family val="2"/>
          </rPr>
          <t>If this highlights as an error, consider upsizing the Tether size for better ribbon utilization</t>
        </r>
      </text>
    </comment>
    <comment ref="J2001" authorId="1" shapeId="0">
      <text>
        <r>
          <rPr>
            <b/>
            <sz val="9"/>
            <color indexed="81"/>
            <rFont val="Tahoma"/>
            <family val="2"/>
          </rPr>
          <t>If this highlights as an error, consider upsizing the Tether size for better ribbon utilization</t>
        </r>
      </text>
    </comment>
    <comment ref="J2002" authorId="1" shapeId="0">
      <text>
        <r>
          <rPr>
            <b/>
            <sz val="9"/>
            <color indexed="81"/>
            <rFont val="Tahoma"/>
            <family val="2"/>
          </rPr>
          <t>If this highlights as an error, consider upsizing the Tether size for better ribbon utilization</t>
        </r>
      </text>
    </comment>
    <comment ref="C2003" authorId="1" shapeId="0">
      <text>
        <r>
          <rPr>
            <b/>
            <sz val="9"/>
            <color indexed="81"/>
            <rFont val="Tahoma"/>
            <family val="2"/>
          </rPr>
          <t>DBL REV requires TWO rows!
TPL REV requires THREE rows!
QD REV requires FOUR rows!</t>
        </r>
      </text>
    </comment>
    <comment ref="J2003" authorId="1" shapeId="0">
      <text>
        <r>
          <rPr>
            <b/>
            <sz val="9"/>
            <color indexed="81"/>
            <rFont val="Tahoma"/>
            <family val="2"/>
          </rPr>
          <t>If this highlights as an error, consider upsizing the Tether size for better ribbon utilization</t>
        </r>
      </text>
    </comment>
    <comment ref="C2004" authorId="1" shapeId="0">
      <text>
        <r>
          <rPr>
            <b/>
            <sz val="9"/>
            <color indexed="81"/>
            <rFont val="Tahoma"/>
            <family val="2"/>
          </rPr>
          <t>DBL REV requires TWO rows!
TPL REV requires THREE rows!
QD REV requires FOUR rows!</t>
        </r>
      </text>
    </comment>
    <comment ref="J2004" authorId="1" shapeId="0">
      <text>
        <r>
          <rPr>
            <b/>
            <sz val="9"/>
            <color indexed="81"/>
            <rFont val="Tahoma"/>
            <family val="2"/>
          </rPr>
          <t>If this highlights as an error, consider upsizing the Tether size for better ribbon utilization</t>
        </r>
      </text>
    </comment>
    <comment ref="C2005" authorId="1" shapeId="0">
      <text>
        <r>
          <rPr>
            <b/>
            <sz val="9"/>
            <color indexed="81"/>
            <rFont val="Tahoma"/>
            <family val="2"/>
          </rPr>
          <t>DBL REV requires TWO rows!
TPL REV requires THREE rows!
QD REV requires FOUR rows!</t>
        </r>
      </text>
    </comment>
    <comment ref="J2005" authorId="1" shapeId="0">
      <text>
        <r>
          <rPr>
            <b/>
            <sz val="9"/>
            <color indexed="81"/>
            <rFont val="Tahoma"/>
            <family val="2"/>
          </rPr>
          <t>If this highlights as an error, consider upsizing the Tether size for better ribbon utilization</t>
        </r>
      </text>
    </comment>
    <comment ref="C2006" authorId="1" shapeId="0">
      <text>
        <r>
          <rPr>
            <b/>
            <sz val="9"/>
            <color indexed="81"/>
            <rFont val="Tahoma"/>
            <family val="2"/>
          </rPr>
          <t>DBL REV requires TWO rows!
TPL REV requires THREE rows!
QD REV requires FOUR rows!</t>
        </r>
      </text>
    </comment>
    <comment ref="J2006" authorId="1" shapeId="0">
      <text>
        <r>
          <rPr>
            <b/>
            <sz val="9"/>
            <color indexed="81"/>
            <rFont val="Tahoma"/>
            <family val="2"/>
          </rPr>
          <t>If this highlights as an error, consider upsizing the Tether size for better ribbon utilization</t>
        </r>
      </text>
    </comment>
    <comment ref="C2007" authorId="1" shapeId="0">
      <text>
        <r>
          <rPr>
            <b/>
            <sz val="9"/>
            <color indexed="81"/>
            <rFont val="Tahoma"/>
            <family val="2"/>
          </rPr>
          <t>DBL REV requires TWO rows!
TPL REV requires THREE rows!
QD REV requires FOUR rows!</t>
        </r>
      </text>
    </comment>
    <comment ref="J2007" authorId="1" shapeId="0">
      <text>
        <r>
          <rPr>
            <b/>
            <sz val="9"/>
            <color indexed="81"/>
            <rFont val="Tahoma"/>
            <family val="2"/>
          </rPr>
          <t>If this highlights as an error, consider upsizing the Tether size for better ribbon utilization</t>
        </r>
      </text>
    </comment>
    <comment ref="C2008" authorId="1" shapeId="0">
      <text>
        <r>
          <rPr>
            <b/>
            <sz val="9"/>
            <color indexed="81"/>
            <rFont val="Tahoma"/>
            <family val="2"/>
          </rPr>
          <t>DBL REV requires TWO rows!
TPL REV requires THREE rows!
QD REV requires FOUR rows!</t>
        </r>
      </text>
    </comment>
    <comment ref="J2008" authorId="1" shapeId="0">
      <text>
        <r>
          <rPr>
            <b/>
            <sz val="9"/>
            <color indexed="81"/>
            <rFont val="Tahoma"/>
            <family val="2"/>
          </rPr>
          <t>If this highlights as an error, consider upsizing the Tether size for better ribbon utilization</t>
        </r>
      </text>
    </comment>
    <comment ref="C2009" authorId="1" shapeId="0">
      <text>
        <r>
          <rPr>
            <b/>
            <sz val="9"/>
            <color indexed="81"/>
            <rFont val="Tahoma"/>
            <family val="2"/>
          </rPr>
          <t>DBL REV requires TWO rows!
TPL REV requires THREE rows!
QD REV requires FOUR rows!</t>
        </r>
      </text>
    </comment>
    <comment ref="J2009" authorId="1" shapeId="0">
      <text>
        <r>
          <rPr>
            <b/>
            <sz val="9"/>
            <color indexed="81"/>
            <rFont val="Tahoma"/>
            <family val="2"/>
          </rPr>
          <t>If this highlights as an error, consider upsizing the Tether size for better ribbon utilization</t>
        </r>
      </text>
    </comment>
    <comment ref="B201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text>
        <r>
          <rPr>
            <b/>
            <sz val="8"/>
            <color indexed="81"/>
            <rFont val="Tahoma"/>
            <family val="2"/>
          </rPr>
          <t>This will be added to Planning Load Block A for TOTAL</t>
        </r>
        <r>
          <rPr>
            <sz val="8"/>
            <color indexed="81"/>
            <rFont val="Tahoma"/>
            <family val="2"/>
          </rPr>
          <t xml:space="preserve">
</t>
        </r>
      </text>
    </comment>
    <comment ref="J2015" authorId="0" shapeId="0">
      <text>
        <r>
          <rPr>
            <b/>
            <sz val="8"/>
            <color indexed="81"/>
            <rFont val="Tahoma"/>
            <family val="2"/>
          </rPr>
          <t>This is the PON OUT count that is not assigned in this cable reel.</t>
        </r>
        <r>
          <rPr>
            <sz val="8"/>
            <color indexed="81"/>
            <rFont val="Tahoma"/>
            <family val="2"/>
          </rPr>
          <t xml:space="preserve">
</t>
        </r>
      </text>
    </comment>
    <comment ref="P2015" authorId="1" shapeId="0">
      <text>
        <r>
          <rPr>
            <b/>
            <sz val="9"/>
            <color indexed="81"/>
            <rFont val="Tahoma"/>
            <family val="2"/>
          </rPr>
          <t>REMEMBER: 2-Fbr Tethers are NOT available for RPX CABLE!</t>
        </r>
      </text>
    </comment>
    <comment ref="Q2015" authorId="1" shapeId="0">
      <text>
        <r>
          <rPr>
            <b/>
            <sz val="9"/>
            <color indexed="81"/>
            <rFont val="Tahoma"/>
            <family val="2"/>
          </rPr>
          <t>REMEMBER: 2-Fbr Tethers are NOT available for RPX CABLE!</t>
        </r>
      </text>
    </comment>
    <comment ref="S2015" authorId="1" shapeId="0">
      <text>
        <r>
          <rPr>
            <b/>
            <sz val="9"/>
            <color indexed="81"/>
            <rFont val="Tahoma"/>
            <family val="2"/>
          </rPr>
          <t>REMEMBER: 2-Fbr Tethers are NOT available for RPX CABLE!</t>
        </r>
      </text>
    </comment>
    <comment ref="T2015" authorId="1" shapeId="0">
      <text>
        <r>
          <rPr>
            <b/>
            <sz val="9"/>
            <color indexed="81"/>
            <rFont val="Tahoma"/>
            <family val="2"/>
          </rPr>
          <t>REMEMBER: 2-Fbr Tethers are NOT available for RPX CABLE!</t>
        </r>
      </text>
    </comment>
    <comment ref="B201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text>
        <r>
          <rPr>
            <b/>
            <sz val="8"/>
            <color indexed="81"/>
            <rFont val="Tahoma"/>
            <family val="2"/>
          </rPr>
          <t>Make sure you add this number to "TAT FIBERS ASSIGNED" for the total required in the Load Block on the prints.</t>
        </r>
      </text>
    </comment>
    <comment ref="G2016" authorId="0" shapeId="0">
      <text>
        <r>
          <rPr>
            <b/>
            <sz val="8"/>
            <color indexed="81"/>
            <rFont val="Tahoma"/>
            <family val="2"/>
          </rPr>
          <t>Includes "DEAD" Count (No PON count assigned)</t>
        </r>
      </text>
    </comment>
    <comment ref="I201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text>
        <r>
          <rPr>
            <b/>
            <sz val="9"/>
            <color indexed="81"/>
            <rFont val="Tahoma"/>
            <family val="2"/>
          </rPr>
          <t>REMEMBER: 6-Fbr Tethers are NOT available for RPX CABLE!</t>
        </r>
      </text>
    </comment>
    <comment ref="Q2017" authorId="1" shapeId="0">
      <text>
        <r>
          <rPr>
            <b/>
            <sz val="9"/>
            <color indexed="81"/>
            <rFont val="Tahoma"/>
            <family val="2"/>
          </rPr>
          <t>REMEMBER: 6-Fbr Tethers are NOT available for RPX CABLE!</t>
        </r>
      </text>
    </comment>
    <comment ref="S2017" authorId="1" shapeId="0">
      <text>
        <r>
          <rPr>
            <b/>
            <sz val="9"/>
            <color indexed="81"/>
            <rFont val="Tahoma"/>
            <family val="2"/>
          </rPr>
          <t>REMEMBER: 6-Fbr Tethers are NOT available for RPX CABLE!</t>
        </r>
      </text>
    </comment>
    <comment ref="T2017" authorId="1" shapeId="0">
      <text>
        <r>
          <rPr>
            <b/>
            <sz val="9"/>
            <color indexed="81"/>
            <rFont val="Tahoma"/>
            <family val="2"/>
          </rPr>
          <t>REMEMBER: 6-Fbr Tethers are NOT available for AERIAL CABLE!</t>
        </r>
      </text>
    </comment>
    <comment ref="B201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text>
        <r>
          <rPr>
            <b/>
            <sz val="8"/>
            <color indexed="81"/>
            <rFont val="Tahoma"/>
            <family val="2"/>
          </rPr>
          <t>These are "manufacturing rules" and general warnings</t>
        </r>
        <r>
          <rPr>
            <sz val="8"/>
            <color indexed="81"/>
            <rFont val="Tahoma"/>
            <family val="2"/>
          </rPr>
          <t xml:space="preserve">
</t>
        </r>
      </text>
    </comment>
    <comment ref="B202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text>
        <r>
          <rPr>
            <b/>
            <sz val="8"/>
            <color indexed="81"/>
            <rFont val="Tahoma"/>
            <family val="2"/>
          </rPr>
          <t>This number is a sum of TOTAL PLANNED plus the ASSIGNED TO TETHERS</t>
        </r>
        <r>
          <rPr>
            <sz val="8"/>
            <color indexed="81"/>
            <rFont val="Tahoma"/>
            <family val="2"/>
          </rPr>
          <t xml:space="preserve">
</t>
        </r>
      </text>
    </comment>
    <comment ref="Z2023" authorId="0" shapeId="0">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text>
        <r>
          <rPr>
            <b/>
            <sz val="8"/>
            <color indexed="81"/>
            <rFont val="Tahoma"/>
            <family val="2"/>
          </rPr>
          <t>Counting from High count Backwards- this is Fiber Strand 133</t>
        </r>
      </text>
    </comment>
    <comment ref="AB2023" authorId="0" shapeId="0">
      <text>
        <r>
          <rPr>
            <b/>
            <sz val="8"/>
            <color indexed="81"/>
            <rFont val="Tahoma"/>
            <family val="2"/>
          </rPr>
          <t>Counting from High count Backwards- this is Fiber Strand 144</t>
        </r>
        <r>
          <rPr>
            <sz val="8"/>
            <color indexed="81"/>
            <rFont val="Tahoma"/>
            <family val="2"/>
          </rPr>
          <t xml:space="preserve">
</t>
        </r>
      </text>
    </comment>
    <comment ref="C2024" authorId="0" shapeId="0">
      <text>
        <r>
          <rPr>
            <b/>
            <sz val="8"/>
            <color indexed="81"/>
            <rFont val="Tahoma"/>
            <family val="2"/>
          </rPr>
          <t xml:space="preserve">Select if this tether will be used to feed a CFST or a lateral cable. </t>
        </r>
      </text>
    </comment>
    <comment ref="D2024" authorId="0" shapeId="0">
      <text>
        <r>
          <rPr>
            <b/>
            <sz val="8"/>
            <color indexed="81"/>
            <rFont val="Tahoma"/>
            <family val="2"/>
          </rPr>
          <t>Note the Terminal Address to keep your locations straight</t>
        </r>
        <r>
          <rPr>
            <sz val="8"/>
            <color indexed="81"/>
            <rFont val="Tahoma"/>
            <family val="2"/>
          </rPr>
          <t xml:space="preserve">
</t>
        </r>
      </text>
    </comment>
    <comment ref="E2024" authorId="0" shapeId="0">
      <text>
        <r>
          <rPr>
            <b/>
            <sz val="9"/>
            <color indexed="81"/>
            <rFont val="Calibri"/>
            <family val="2"/>
            <scheme val="minor"/>
          </rPr>
          <t>Pick the Tether Size for the location</t>
        </r>
        <r>
          <rPr>
            <sz val="8"/>
            <color indexed="81"/>
            <rFont val="Tahoma"/>
            <family val="2"/>
          </rPr>
          <t xml:space="preserve">
</t>
        </r>
      </text>
    </comment>
    <comment ref="F2024" authorId="2" shapeId="0">
      <text>
        <r>
          <rPr>
            <b/>
            <sz val="9"/>
            <color indexed="81"/>
            <rFont val="Tahoma"/>
            <family val="2"/>
          </rPr>
          <t>Identify TCF or FST location.
Leave blank if tether is NOT for a TCF or FST!</t>
        </r>
      </text>
    </comment>
    <comment ref="H2024" authorId="0" shapeId="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text>
        <r>
          <rPr>
            <b/>
            <sz val="8"/>
            <color indexed="81"/>
            <rFont val="Tahoma"/>
            <family val="2"/>
          </rPr>
          <t>If any of these numbers are negative, check your PON count and Cable size</t>
        </r>
      </text>
    </comment>
    <comment ref="J202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text>
        <r>
          <rPr>
            <b/>
            <sz val="9"/>
            <color indexed="81"/>
            <rFont val="Tahoma"/>
            <family val="2"/>
          </rPr>
          <t>Leave blank if using 10' Terminal Tail
Enter Tail length if greater than 10'</t>
        </r>
      </text>
    </comment>
    <comment ref="M2024" authorId="0" shapeId="0">
      <text>
        <r>
          <rPr>
            <b/>
            <sz val="8"/>
            <color indexed="81"/>
            <rFont val="Tahoma"/>
            <family val="2"/>
          </rPr>
          <t>Make design notes such as slack coils, realingment loops,  or location notes</t>
        </r>
      </text>
    </comment>
    <comment ref="Z2024" authorId="0" shapeId="0">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text>
        <r>
          <rPr>
            <b/>
            <sz val="8"/>
            <color indexed="81"/>
            <rFont val="Tahoma"/>
            <family val="2"/>
          </rPr>
          <t xml:space="preserve">Counting from High count Backwards- this is Fiber Strand 145
</t>
        </r>
      </text>
    </comment>
    <comment ref="AB2024" authorId="0" shapeId="0">
      <text>
        <r>
          <rPr>
            <b/>
            <sz val="8"/>
            <color indexed="81"/>
            <rFont val="Tahoma"/>
            <family val="2"/>
          </rPr>
          <t>Counting from High count Backwards- this is Fiber Strand 156</t>
        </r>
      </text>
    </comment>
    <comment ref="J2026" authorId="1" shapeId="0">
      <text>
        <r>
          <rPr>
            <b/>
            <sz val="9"/>
            <color indexed="81"/>
            <rFont val="Tahoma"/>
            <family val="2"/>
          </rPr>
          <t>If this highlights as an error, consider upsizing the Tether size for better ribbon utilization</t>
        </r>
      </text>
    </comment>
    <comment ref="J2027" authorId="1" shapeId="0">
      <text>
        <r>
          <rPr>
            <b/>
            <sz val="9"/>
            <color indexed="81"/>
            <rFont val="Tahoma"/>
            <family val="2"/>
          </rPr>
          <t>If this highlights as an error, consider upsizing the Tether size for better ribbon utilization</t>
        </r>
      </text>
    </comment>
    <comment ref="J2028" authorId="1" shapeId="0">
      <text>
        <r>
          <rPr>
            <b/>
            <sz val="9"/>
            <color indexed="81"/>
            <rFont val="Tahoma"/>
            <family val="2"/>
          </rPr>
          <t>If this highlights as an error, consider upsizing the Tether size for better ribbon utilization</t>
        </r>
      </text>
    </comment>
    <comment ref="J2029" authorId="1" shapeId="0">
      <text>
        <r>
          <rPr>
            <b/>
            <sz val="9"/>
            <color indexed="81"/>
            <rFont val="Tahoma"/>
            <family val="2"/>
          </rPr>
          <t>If this highlights as an error, consider upsizing the Tether size for better ribbon utilization</t>
        </r>
      </text>
    </comment>
    <comment ref="J2030" authorId="1" shapeId="0">
      <text>
        <r>
          <rPr>
            <b/>
            <sz val="9"/>
            <color indexed="81"/>
            <rFont val="Tahoma"/>
            <family val="2"/>
          </rPr>
          <t>If this highlights as an error, consider upsizing the Tether size for better ribbon utilization</t>
        </r>
      </text>
    </comment>
    <comment ref="J2031" authorId="1" shapeId="0">
      <text>
        <r>
          <rPr>
            <b/>
            <sz val="9"/>
            <color indexed="81"/>
            <rFont val="Tahoma"/>
            <family val="2"/>
          </rPr>
          <t>If this highlights as an error, consider upsizing the Tether size for better ribbon utilization</t>
        </r>
      </text>
    </comment>
    <comment ref="J2032" authorId="1" shapeId="0">
      <text>
        <r>
          <rPr>
            <b/>
            <sz val="9"/>
            <color indexed="81"/>
            <rFont val="Tahoma"/>
            <family val="2"/>
          </rPr>
          <t>If this highlights as an error, consider upsizing the Tether size for better ribbon utilization</t>
        </r>
      </text>
    </comment>
    <comment ref="J2033" authorId="1" shapeId="0">
      <text>
        <r>
          <rPr>
            <b/>
            <sz val="9"/>
            <color indexed="81"/>
            <rFont val="Tahoma"/>
            <family val="2"/>
          </rPr>
          <t>If this highlights as an error, consider upsizing the Tether size for better ribbon utilization</t>
        </r>
      </text>
    </comment>
    <comment ref="J2034" authorId="1" shapeId="0">
      <text>
        <r>
          <rPr>
            <b/>
            <sz val="9"/>
            <color indexed="81"/>
            <rFont val="Tahoma"/>
            <family val="2"/>
          </rPr>
          <t>If this highlights as an error, consider upsizing the Tether size for better ribbon utilization</t>
        </r>
      </text>
    </comment>
    <comment ref="J2035" authorId="1" shapeId="0">
      <text>
        <r>
          <rPr>
            <b/>
            <sz val="9"/>
            <color indexed="81"/>
            <rFont val="Tahoma"/>
            <family val="2"/>
          </rPr>
          <t>If this highlights as an error, consider upsizing the Tether size for better ribbon utilization</t>
        </r>
      </text>
    </comment>
    <comment ref="J2036" authorId="1" shapeId="0">
      <text>
        <r>
          <rPr>
            <b/>
            <sz val="9"/>
            <color indexed="81"/>
            <rFont val="Tahoma"/>
            <family val="2"/>
          </rPr>
          <t>If this highlights as an error, consider upsizing the Tether size for better ribbon utilization</t>
        </r>
      </text>
    </comment>
    <comment ref="J2037" authorId="1" shapeId="0">
      <text>
        <r>
          <rPr>
            <b/>
            <sz val="9"/>
            <color indexed="81"/>
            <rFont val="Tahoma"/>
            <family val="2"/>
          </rPr>
          <t>If this highlights as an error, consider upsizing the Tether size for better ribbon utilization</t>
        </r>
      </text>
    </comment>
    <comment ref="J2038" authorId="1" shapeId="0">
      <text>
        <r>
          <rPr>
            <b/>
            <sz val="9"/>
            <color indexed="81"/>
            <rFont val="Tahoma"/>
            <family val="2"/>
          </rPr>
          <t>If this highlights as an error, consider upsizing the Tether size for better ribbon utilization</t>
        </r>
      </text>
    </comment>
    <comment ref="J2039" authorId="1" shapeId="0">
      <text>
        <r>
          <rPr>
            <b/>
            <sz val="9"/>
            <color indexed="81"/>
            <rFont val="Tahoma"/>
            <family val="2"/>
          </rPr>
          <t>If this highlights as an error, consider upsizing the Tether size for better ribbon utilization</t>
        </r>
      </text>
    </comment>
    <comment ref="J2040" authorId="1" shapeId="0">
      <text>
        <r>
          <rPr>
            <b/>
            <sz val="9"/>
            <color indexed="81"/>
            <rFont val="Tahoma"/>
            <family val="2"/>
          </rPr>
          <t>If this highlights as an error, consider upsizing the Tether size for better ribbon utilization</t>
        </r>
      </text>
    </comment>
    <comment ref="J2041" authorId="1" shapeId="0">
      <text>
        <r>
          <rPr>
            <b/>
            <sz val="9"/>
            <color indexed="81"/>
            <rFont val="Tahoma"/>
            <family val="2"/>
          </rPr>
          <t>If this highlights as an error, consider upsizing the Tether size for better ribbon utilization</t>
        </r>
      </text>
    </comment>
    <comment ref="J2042" authorId="1" shapeId="0">
      <text>
        <r>
          <rPr>
            <b/>
            <sz val="9"/>
            <color indexed="81"/>
            <rFont val="Tahoma"/>
            <family val="2"/>
          </rPr>
          <t>If this highlights as an error, consider upsizing the Tether size for better ribbon utilization</t>
        </r>
      </text>
    </comment>
    <comment ref="J2043" authorId="1" shapeId="0">
      <text>
        <r>
          <rPr>
            <b/>
            <sz val="9"/>
            <color indexed="81"/>
            <rFont val="Tahoma"/>
            <family val="2"/>
          </rPr>
          <t>If this highlights as an error, consider upsizing the Tether size for better ribbon utilization</t>
        </r>
      </text>
    </comment>
    <comment ref="C2044" authorId="1" shapeId="0">
      <text>
        <r>
          <rPr>
            <b/>
            <sz val="9"/>
            <color indexed="81"/>
            <rFont val="Tahoma"/>
            <family val="2"/>
          </rPr>
          <t>DBL REV requires TWO rows!
TPL REV requires THREE rows!
QD REV requires FOUR rows!</t>
        </r>
      </text>
    </comment>
    <comment ref="J2044" authorId="1" shapeId="0">
      <text>
        <r>
          <rPr>
            <b/>
            <sz val="9"/>
            <color indexed="81"/>
            <rFont val="Tahoma"/>
            <family val="2"/>
          </rPr>
          <t>If this highlights as an error, consider upsizing the Tether size for better ribbon utilization</t>
        </r>
      </text>
    </comment>
    <comment ref="C2045" authorId="1" shapeId="0">
      <text>
        <r>
          <rPr>
            <b/>
            <sz val="9"/>
            <color indexed="81"/>
            <rFont val="Tahoma"/>
            <family val="2"/>
          </rPr>
          <t>DBL REV requires TWO rows!
TPL REV requires THREE rows!
QD REV requires FOUR rows!</t>
        </r>
      </text>
    </comment>
    <comment ref="J2045" authorId="1" shapeId="0">
      <text>
        <r>
          <rPr>
            <b/>
            <sz val="9"/>
            <color indexed="81"/>
            <rFont val="Tahoma"/>
            <family val="2"/>
          </rPr>
          <t>If this highlights as an error, consider upsizing the Tether size for better ribbon utilization</t>
        </r>
      </text>
    </comment>
    <comment ref="C2046" authorId="1" shapeId="0">
      <text>
        <r>
          <rPr>
            <b/>
            <sz val="9"/>
            <color indexed="81"/>
            <rFont val="Tahoma"/>
            <family val="2"/>
          </rPr>
          <t>DBL REV requires TWO rows!
TPL REV requires THREE rows!
QD REV requires FOUR rows!</t>
        </r>
      </text>
    </comment>
    <comment ref="J2046" authorId="1" shapeId="0">
      <text>
        <r>
          <rPr>
            <b/>
            <sz val="9"/>
            <color indexed="81"/>
            <rFont val="Tahoma"/>
            <family val="2"/>
          </rPr>
          <t>If this highlights as an error, consider upsizing the Tether size for better ribbon utilization</t>
        </r>
      </text>
    </comment>
    <comment ref="C2047" authorId="1" shapeId="0">
      <text>
        <r>
          <rPr>
            <b/>
            <sz val="9"/>
            <color indexed="81"/>
            <rFont val="Tahoma"/>
            <family val="2"/>
          </rPr>
          <t>DBL REV requires TWO rows!
TPL REV requires THREE rows!
QD REV requires FOUR rows!</t>
        </r>
      </text>
    </comment>
    <comment ref="J2047" authorId="1" shapeId="0">
      <text>
        <r>
          <rPr>
            <b/>
            <sz val="9"/>
            <color indexed="81"/>
            <rFont val="Tahoma"/>
            <family val="2"/>
          </rPr>
          <t>If this highlights as an error, consider upsizing the Tether size for better ribbon utilization</t>
        </r>
      </text>
    </comment>
    <comment ref="C2048" authorId="1" shapeId="0">
      <text>
        <r>
          <rPr>
            <b/>
            <sz val="9"/>
            <color indexed="81"/>
            <rFont val="Tahoma"/>
            <family val="2"/>
          </rPr>
          <t>DBL REV requires TWO rows!
TPL REV requires THREE rows!
QD REV requires FOUR rows!</t>
        </r>
      </text>
    </comment>
    <comment ref="J2048" authorId="1" shapeId="0">
      <text>
        <r>
          <rPr>
            <b/>
            <sz val="9"/>
            <color indexed="81"/>
            <rFont val="Tahoma"/>
            <family val="2"/>
          </rPr>
          <t>If this highlights as an error, consider upsizing the Tether size for better ribbon utilization</t>
        </r>
      </text>
    </comment>
    <comment ref="C2049" authorId="1" shapeId="0">
      <text>
        <r>
          <rPr>
            <b/>
            <sz val="9"/>
            <color indexed="81"/>
            <rFont val="Tahoma"/>
            <family val="2"/>
          </rPr>
          <t>DBL REV requires TWO rows!
TPL REV requires THREE rows!
QD REV requires FOUR rows!</t>
        </r>
      </text>
    </comment>
    <comment ref="J2049" authorId="1" shapeId="0">
      <text>
        <r>
          <rPr>
            <b/>
            <sz val="9"/>
            <color indexed="81"/>
            <rFont val="Tahoma"/>
            <family val="2"/>
          </rPr>
          <t>If this highlights as an error, consider upsizing the Tether size for better ribbon utilization</t>
        </r>
      </text>
    </comment>
    <comment ref="C2050" authorId="1" shapeId="0">
      <text>
        <r>
          <rPr>
            <b/>
            <sz val="9"/>
            <color indexed="81"/>
            <rFont val="Tahoma"/>
            <family val="2"/>
          </rPr>
          <t>DBL REV requires TWO rows!
TPL REV requires THREE rows!
QD REV requires FOUR rows!</t>
        </r>
      </text>
    </comment>
    <comment ref="J2050" authorId="1" shapeId="0">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authors>
    <author>LEWIS, CHARLES E</author>
    <author>ELLER, SCOTT</author>
  </authors>
  <commentList>
    <comment ref="B10"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text>
        <r>
          <rPr>
            <b/>
            <sz val="9"/>
            <color indexed="81"/>
            <rFont val="Tahoma"/>
            <family val="2"/>
          </rPr>
          <t>Manually enter the quantity of Tier 22 10"X15" HH required.
Remember to adjust the quantity of Greenway rated HH if necessary.</t>
        </r>
      </text>
    </comment>
    <comment ref="B12" authorId="0" shapeId="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text>
        <r>
          <rPr>
            <b/>
            <sz val="9"/>
            <color indexed="81"/>
            <rFont val="Tahoma"/>
            <family val="2"/>
          </rPr>
          <t xml:space="preserve">Manually enter number of 30X48 Tier 15 handholes required.
Adjust the quantity of other size handholes as needed
</t>
        </r>
      </text>
    </comment>
    <comment ref="B16" authorId="0" shapeId="0">
      <text>
        <r>
          <rPr>
            <b/>
            <sz val="9"/>
            <color indexed="81"/>
            <rFont val="Tahoma"/>
            <family val="2"/>
          </rPr>
          <t>Manually enter number of 30X48 Tier 22 handholes required.
Adjust the quantity of other size handholes as needed</t>
        </r>
      </text>
    </comment>
    <comment ref="B70" authorId="0" shapeId="0">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text>
        <r>
          <rPr>
            <b/>
            <sz val="9"/>
            <color indexed="81"/>
            <rFont val="Tahoma"/>
            <family val="2"/>
          </rPr>
          <t>ONLY use for F1 jobs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<sst xmlns="http://schemas.openxmlformats.org/spreadsheetml/2006/main" count="7930" uniqueCount="810">
  <si>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</si>
  <si>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</si>
  <si>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</si>
  <si>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</si>
  <si>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</si>
  <si>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</si>
  <si>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</si>
  <si>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</si>
  <si>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</si>
  <si>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</si>
  <si>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</si>
  <si>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</si>
  <si>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</si>
  <si>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</si>
  <si>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</si>
  <si>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</si>
  <si>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</si>
  <si>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</si>
  <si>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</si>
  <si>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</si>
  <si>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</si>
  <si>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</si>
  <si>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</si>
  <si>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</si>
  <si>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</si>
  <si>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</si>
  <si>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</si>
  <si>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</si>
  <si>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</si>
  <si>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</si>
  <si>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</si>
  <si>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</si>
  <si>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</si>
  <si>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</si>
  <si>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</si>
  <si>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</si>
  <si>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</si>
  <si>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</si>
  <si>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</si>
  <si>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</si>
  <si>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</si>
  <si>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</si>
  <si>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</si>
  <si>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</si>
  <si>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</si>
  <si>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</si>
  <si>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</si>
  <si>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</si>
  <si>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</si>
  <si>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</si>
  <si>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</si>
  <si>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</si>
  <si>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</si>
  <si>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</si>
  <si>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</si>
  <si>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</si>
  <si>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</si>
  <si>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</si>
  <si>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</si>
  <si>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</si>
  <si>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</si>
  <si>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</si>
  <si>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</si>
  <si>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</si>
  <si>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</si>
  <si>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</si>
  <si>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</si>
  <si>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</si>
  <si>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</si>
  <si>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</si>
  <si>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</si>
  <si>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</si>
  <si>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</si>
  <si>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</si>
  <si>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</si>
  <si>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</si>
  <si>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</si>
  <si>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</si>
  <si>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</si>
  <si>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</si>
  <si>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</si>
  <si>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</si>
  <si>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</si>
  <si>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</si>
  <si>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</si>
  <si>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</si>
  <si>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</si>
  <si>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</si>
  <si>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</si>
  <si>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</si>
  <si>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</si>
  <si>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</si>
  <si>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</si>
  <si>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</si>
  <si>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</si>
  <si>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</si>
  <si>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</si>
  <si>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</si>
  <si>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</si>
  <si>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</si>
  <si>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</si>
  <si>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</si>
  <si>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</si>
  <si>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</si>
  <si>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</si>
  <si>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</si>
  <si>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</si>
  <si>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</si>
  <si>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</si>
  <si>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</si>
  <si>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</si>
  <si>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</si>
  <si>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</si>
  <si>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</si>
  <si>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</si>
  <si>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</si>
  <si>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</si>
  <si>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</si>
  <si>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</si>
  <si>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</si>
  <si>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</si>
  <si>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</si>
  <si>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</si>
  <si>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</si>
  <si>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</si>
  <si>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</si>
  <si>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</si>
  <si>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</si>
  <si>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</si>
  <si>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</si>
  <si>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</si>
  <si>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</si>
  <si>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</si>
  <si>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</si>
  <si>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</si>
  <si>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</si>
  <si>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</si>
  <si>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</si>
  <si>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</si>
  <si>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</si>
  <si>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</si>
  <si>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</si>
  <si>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</si>
  <si>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</si>
  <si>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</si>
  <si>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</si>
  <si>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</si>
  <si>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</si>
  <si>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</si>
  <si>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</si>
  <si>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</si>
  <si>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</si>
  <si>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</si>
  <si>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</si>
  <si>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</si>
  <si>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</si>
  <si>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</si>
  <si>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</si>
  <si>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</si>
  <si>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</si>
  <si>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</si>
  <si>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</si>
  <si>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</si>
  <si>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</si>
  <si>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</si>
  <si>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</si>
  <si>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</si>
  <si>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</si>
  <si>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</si>
  <si>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</si>
  <si>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</si>
  <si>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</si>
  <si>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</si>
  <si>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</si>
  <si>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</si>
  <si>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</si>
  <si>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N</t>
  </si>
  <si>
    <t>Y</t>
  </si>
  <si>
    <t>CO End Reverse Tether?</t>
  </si>
  <si>
    <t>Field End Field Splice?</t>
  </si>
  <si>
    <t>SS/RPX/EUC/RPX-T</t>
  </si>
  <si>
    <t>EUC</t>
  </si>
  <si>
    <t>RPX</t>
  </si>
  <si>
    <t>Buried P-P Footage</t>
  </si>
  <si>
    <t>Buried Loop/Dip</t>
  </si>
  <si>
    <t>Aerial Span</t>
  </si>
  <si>
    <t>Aerial Loop</t>
  </si>
  <si>
    <t xml:space="preserve">  </t>
  </si>
  <si>
    <t>Job Number:</t>
  </si>
  <si>
    <t>A02PPZD</t>
  </si>
  <si>
    <t>Taper Code:</t>
  </si>
  <si>
    <t>3404PA</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</si>
  <si>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</si>
  <si>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</si>
  <si>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</si>
  <si>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</si>
  <si>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</si>
  <si>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</si>
  <si>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</si>
  <si>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</si>
  <si>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</si>
  <si>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</si>
  <si>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</si>
  <si>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</si>
  <si>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</si>
  <si>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</si>
  <si>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</si>
  <si>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</si>
  <si>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</si>
  <si>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</si>
  <si>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</si>
  <si>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</si>
  <si>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OPP 981 WAFER RD</t>
  </si>
  <si>
    <t>PON Fiber Name:</t>
  </si>
  <si>
    <t>PON3404PA</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</si>
  <si>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</si>
  <si>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</si>
  <si>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</si>
  <si>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</si>
  <si>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</si>
  <si>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</si>
  <si>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</si>
  <si>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</si>
  <si>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</si>
  <si>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</si>
  <si>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</si>
  <si>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</si>
  <si>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</si>
  <si>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</si>
  <si>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</si>
  <si>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</si>
  <si>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</si>
  <si>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</si>
  <si>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</si>
  <si>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</si>
  <si>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</si>
  <si>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</si>
  <si>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</si>
  <si>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</si>
  <si>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</si>
  <si>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</si>
  <si>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</si>
  <si>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</si>
  <si>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</si>
  <si>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</si>
  <si>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</si>
  <si>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</si>
  <si>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</si>
  <si>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</si>
  <si>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</si>
  <si>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</si>
  <si>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</si>
  <si>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</si>
  <si>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</si>
  <si>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</si>
  <si>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</si>
  <si>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</si>
  <si>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</si>
  <si>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</si>
  <si>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</si>
  <si>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</si>
  <si>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</si>
  <si>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</si>
  <si>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</si>
  <si>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</si>
  <si>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</si>
  <si>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</si>
  <si>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</si>
  <si>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</si>
  <si>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</si>
  <si>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</si>
  <si>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</si>
  <si>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</si>
  <si>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</si>
  <si>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</si>
  <si>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</si>
  <si>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</si>
  <si>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</si>
  <si>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</si>
  <si>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</si>
  <si>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</si>
  <si>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</si>
  <si>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</si>
  <si>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</si>
  <si>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Field SPL</t>
  </si>
  <si>
    <t xml:space="preserve">Count= </t>
  </si>
  <si>
    <t>--</t>
  </si>
  <si>
    <t>REEL 9</t>
  </si>
  <si>
    <t>Tether  # 2 From CO End</t>
  </si>
  <si>
    <t>REEL 10</t>
  </si>
  <si>
    <t>Tether  # 3 From CO End</t>
  </si>
  <si>
    <t>REEL 2</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</si>
  <si>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</si>
  <si>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</si>
  <si>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</si>
  <si>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</si>
  <si>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</si>
  <si>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</si>
  <si>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</si>
  <si>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</si>
  <si>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</si>
  <si>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</si>
  <si>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</si>
  <si>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</si>
  <si>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</si>
  <si>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</si>
  <si>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</si>
  <si>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</si>
  <si>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</si>
  <si>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</si>
  <si>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</si>
  <si>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</si>
  <si>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</si>
  <si>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</si>
  <si>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</si>
  <si>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</si>
  <si>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REEL  8</t>
  </si>
  <si>
    <t>REEL 3</t>
  </si>
  <si>
    <t>Go to Cable Reel #3</t>
  </si>
  <si>
    <t>Go to previous Cable Reel</t>
  </si>
  <si>
    <t>Go to Top</t>
  </si>
  <si>
    <t>CABLE REEL #3</t>
  </si>
  <si>
    <t>FST</t>
  </si>
  <si>
    <t>F 1230-1 WAFER RD</t>
  </si>
  <si>
    <t>HH</t>
  </si>
  <si>
    <t>F 1246-1 WAFER RD</t>
  </si>
  <si>
    <t>F 1260-1 WAFER RD</t>
  </si>
  <si>
    <t>REEL 14</t>
  </si>
  <si>
    <t>Go to Cable Reel #4</t>
  </si>
  <si>
    <t>CABLE REEL #4</t>
  </si>
  <si>
    <t>DBL REV</t>
  </si>
  <si>
    <t>REEL 5</t>
  </si>
  <si>
    <t>Go to Cable Reel #5</t>
  </si>
  <si>
    <t>CABLE REEL #5</t>
  </si>
  <si>
    <t>REEL 15</t>
  </si>
  <si>
    <t>Go to Cable Reel #6</t>
  </si>
  <si>
    <t>CABLE REEL #6</t>
  </si>
  <si>
    <t>Go to Cable Reel #7</t>
  </si>
  <si>
    <t>CABLE REEL #7</t>
  </si>
  <si>
    <t>Pole</t>
  </si>
  <si>
    <t>Go to Cable Reel #8</t>
  </si>
  <si>
    <t>CABLE REEL #8</t>
  </si>
  <si>
    <t>R 4594-1 PINE CREST DR</t>
  </si>
  <si>
    <t>R 4586-1 PINE CREST DR</t>
  </si>
  <si>
    <t>R 4578-1 PINE CREST DR</t>
  </si>
  <si>
    <t>R 4570-1 PINE CREST DR</t>
  </si>
  <si>
    <t>R 4562-1 PINE CREST DR</t>
  </si>
  <si>
    <t>R 4554-1 PINE CREST DR</t>
  </si>
  <si>
    <t>R 4546-1 PINE CREST DR</t>
  </si>
  <si>
    <t>R 4534-1 PINE CREST DR</t>
  </si>
  <si>
    <t>Go to Cable Reel #9</t>
  </si>
  <si>
    <t>CABLE REEL #9</t>
  </si>
  <si>
    <t>F 1190-1 WAFER RD</t>
  </si>
  <si>
    <t>F 1194-1 WAFER RD</t>
  </si>
  <si>
    <t>R 4595-1 PINE CREST DR</t>
  </si>
  <si>
    <t>R 1193-1 ASPEN DR</t>
  </si>
  <si>
    <t>R 1192-1 ASPEN DR</t>
  </si>
  <si>
    <t>R 1190-1 OAK DR</t>
  </si>
  <si>
    <t>R 1195-1 BIRCH DR</t>
  </si>
  <si>
    <t>R 1194-1 BIRCH DR</t>
  </si>
  <si>
    <t>R 4518-1 PINE CREST DR</t>
  </si>
  <si>
    <t>Go to Cable Reel #10</t>
  </si>
  <si>
    <t>CABLE REEL #10</t>
  </si>
  <si>
    <t>R 702-1 CINDY LN</t>
  </si>
  <si>
    <t>R 706-1 CINDY LN</t>
  </si>
  <si>
    <t>R 714-1 CINDY LN</t>
  </si>
  <si>
    <t>R 722-1 CINDY LN</t>
  </si>
  <si>
    <t>R 730-1 CINDY LN</t>
  </si>
  <si>
    <t>R 738-1 CINDY LN</t>
  </si>
  <si>
    <t>R 744-1 WOODLAND CIR</t>
  </si>
  <si>
    <t>R 750-1 WOODLAND CIR</t>
  </si>
  <si>
    <t>Go to Cable Reel #11</t>
  </si>
  <si>
    <t>CABLE REEL #11</t>
  </si>
  <si>
    <t>OPP 991-1 WAFER RD</t>
  </si>
  <si>
    <t>R 703-1 CINDY LN</t>
  </si>
  <si>
    <t>R 705-1 CINDY LN</t>
  </si>
  <si>
    <t>R 709-1 CINDY LN</t>
  </si>
  <si>
    <t>R 713-1 CINDY LN</t>
  </si>
  <si>
    <t>R 717-1 CINDY LN</t>
  </si>
  <si>
    <t>R 721-1 CINDY LN</t>
  </si>
  <si>
    <t>R 725-1 CINDY LN</t>
  </si>
  <si>
    <t>R 729-1 CINDY LN</t>
  </si>
  <si>
    <t>Go to Cable Reel #12</t>
  </si>
  <si>
    <t>CABLE REEL #12</t>
  </si>
  <si>
    <t>OPP 981-1 WAFER RD</t>
  </si>
  <si>
    <t>R 792-1 RANDY LN</t>
  </si>
  <si>
    <t>R 784-1 RANDY LN</t>
  </si>
  <si>
    <t>R 776-1 RANDY LN</t>
  </si>
  <si>
    <t>R 768-1 RANDY LN</t>
  </si>
  <si>
    <t>R 760-1 RANDY LN</t>
  </si>
  <si>
    <t>Go to Cable Reel #13</t>
  </si>
  <si>
    <t>CABLE REEL #13</t>
  </si>
  <si>
    <t>OPP 969-1 WAFER RD</t>
  </si>
  <si>
    <t>OPP 955-1 WAFER RD</t>
  </si>
  <si>
    <t>Go to Cable Reel #14</t>
  </si>
  <si>
    <t>CABLE REEL #14</t>
  </si>
  <si>
    <t>F 1278-1 WAFER RD</t>
  </si>
  <si>
    <t>F 1284-1 WAFER RD</t>
  </si>
  <si>
    <t>REEL 7</t>
  </si>
  <si>
    <t>REEL 4</t>
  </si>
  <si>
    <t>Go to Cable Reel #15</t>
  </si>
  <si>
    <t>CABLE REEL #15</t>
  </si>
  <si>
    <t>REV T</t>
  </si>
  <si>
    <t>REEL 6</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</si>
  <si>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</si>
  <si>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</si>
  <si>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</si>
  <si>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</si>
  <si>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</si>
  <si>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</si>
  <si>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</si>
  <si>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</si>
  <si>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</si>
  <si>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</si>
  <si>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</si>
  <si>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</si>
  <si>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</si>
  <si>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</si>
  <si>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</si>
  <si>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</si>
  <si>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</si>
  <si>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</si>
  <si>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</si>
  <si>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</si>
  <si>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</si>
  <si>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</si>
  <si>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</si>
  <si>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</si>
  <si>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</si>
  <si>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</si>
  <si>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</si>
  <si>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</si>
  <si>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</si>
  <si>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</si>
  <si>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</si>
  <si>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</si>
  <si>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</si>
  <si>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</si>
  <si>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</si>
  <si>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</si>
  <si>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</si>
  <si>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</si>
  <si>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</si>
  <si>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</si>
  <si>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</si>
  <si>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</si>
  <si>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</si>
  <si>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</si>
  <si>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</si>
  <si>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</si>
  <si>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</si>
  <si>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</si>
  <si>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</si>
  <si>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</si>
  <si>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</si>
  <si>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</si>
  <si>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</si>
  <si>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</si>
  <si>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</si>
  <si>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</si>
  <si>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</si>
  <si>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</si>
  <si>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</si>
  <si>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</si>
  <si>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</si>
  <si>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</si>
  <si>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</si>
  <si>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</si>
  <si>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</si>
  <si>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</si>
  <si>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</si>
  <si>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</si>
  <si>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</si>
  <si>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</si>
  <si>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</si>
  <si>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8</t>
  </si>
  <si>
    <t>REEL 11</t>
  </si>
  <si>
    <t>REEL 12</t>
  </si>
  <si>
    <t>REEL 13</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</si>
  <si>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</si>
  <si>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</si>
  <si>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</si>
  <si>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</si>
  <si>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</si>
  <si>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</si>
  <si>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</si>
  <si>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</si>
  <si>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</si>
  <si>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</si>
  <si>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</si>
  <si>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</si>
  <si>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</si>
  <si>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</si>
  <si>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</si>
  <si>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</si>
  <si>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</si>
  <si>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</si>
  <si>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</si>
  <si>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</si>
  <si>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</si>
  <si>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</si>
  <si>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</si>
  <si>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</si>
  <si>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</si>
  <si>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</si>
  <si>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</si>
  <si>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</si>
  <si>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</si>
  <si>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</si>
  <si>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</si>
  <si>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</si>
  <si>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</si>
  <si>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</si>
  <si>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</si>
  <si>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</si>
  <si>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</si>
  <si>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</si>
  <si>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</si>
  <si>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</si>
  <si>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</si>
  <si>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</si>
  <si>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</si>
  <si>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</si>
  <si>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</si>
  <si>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</si>
  <si>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</si>
  <si>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</si>
  <si>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</si>
  <si>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</si>
  <si>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</si>
  <si>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</si>
  <si>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</si>
  <si>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</si>
  <si>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</si>
  <si>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</si>
  <si>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</si>
  <si>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</si>
  <si>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</si>
  <si>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</si>
  <si>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</si>
  <si>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</si>
  <si>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</si>
  <si>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</si>
  <si>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</si>
  <si>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EVOLV 6 PORT CFST-10FT</t>
  </si>
  <si>
    <t>FTCFD</t>
  </si>
  <si>
    <t>TCF</t>
  </si>
  <si>
    <t>EVOLV 8 PORT CFST-10FT</t>
  </si>
  <si>
    <t>FCDRP</t>
  </si>
  <si>
    <t>Ped</t>
  </si>
  <si>
    <t>EVOLV 12 PORT CFST-10FT</t>
  </si>
  <si>
    <t>FCHDT</t>
  </si>
  <si>
    <t>9257C</t>
  </si>
  <si>
    <t>RPX-T</t>
  </si>
  <si>
    <t>TPL REV</t>
  </si>
  <si>
    <t>QD REV</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</si>
  <si>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</si>
  <si>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</si>
  <si>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</si>
  <si>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</si>
  <si>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</si>
  <si>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</si>
  <si>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</si>
  <si>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</si>
  <si>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</si>
  <si>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</si>
  <si>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</si>
  <si>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</si>
  <si>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</si>
  <si>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</si>
  <si>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</si>
  <si>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</si>
  <si>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</si>
  <si>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</si>
  <si>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</si>
  <si>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</si>
  <si>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</si>
  <si>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</si>
  <si>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</si>
  <si>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</si>
  <si>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</si>
  <si>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</si>
  <si>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</si>
  <si>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</si>
  <si>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</si>
  <si>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</si>
  <si>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</si>
  <si>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</si>
  <si>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</si>
  <si>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</si>
  <si>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</si>
  <si>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</si>
  <si>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</si>
  <si>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</si>
  <si>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</si>
  <si>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</si>
  <si>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</si>
  <si>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</si>
  <si>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</si>
  <si>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</si>
  <si>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</si>
  <si>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</si>
  <si>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</si>
  <si>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</si>
  <si>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</si>
  <si>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</si>
  <si>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</si>
  <si>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</si>
  <si>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</si>
  <si>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</si>
  <si>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</si>
  <si>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</si>
  <si>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</si>
  <si>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</si>
  <si>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</si>
  <si>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</si>
  <si>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</si>
  <si>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</si>
  <si>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</si>
  <si>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</si>
  <si>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</si>
  <si>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</si>
  <si>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</si>
  <si>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</si>
  <si>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</si>
  <si>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</si>
  <si>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</si>
  <si>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</si>
  <si>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</si>
  <si>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</si>
  <si>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</si>
  <si>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</si>
  <si>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</si>
  <si>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</si>
  <si>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</si>
  <si>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</si>
  <si>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</si>
  <si>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</si>
  <si>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</si>
  <si>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</si>
  <si>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</si>
  <si>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</si>
  <si>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</si>
  <si>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</si>
  <si>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</si>
  <si>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</si>
  <si>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</si>
  <si>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</si>
  <si>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</si>
  <si>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</si>
  <si>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</si>
  <si>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</si>
  <si>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</si>
  <si>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</si>
  <si>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</si>
  <si>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</si>
  <si>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</si>
  <si>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</si>
  <si>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</si>
  <si>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</si>
  <si>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</si>
  <si>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</si>
  <si>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</si>
  <si>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</si>
  <si>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</si>
  <si>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</si>
  <si>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</si>
  <si>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</si>
  <si>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</si>
  <si>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</si>
  <si>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</si>
  <si>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</si>
  <si>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</si>
  <si>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</si>
  <si>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</si>
  <si>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</si>
  <si>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</si>
  <si>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</si>
  <si>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</si>
  <si>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</si>
  <si>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</si>
  <si>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</si>
  <si>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</si>
  <si>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</si>
  <si>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</si>
  <si>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</si>
  <si>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</si>
  <si>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</si>
  <si>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</si>
  <si>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</si>
  <si>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</si>
  <si>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</si>
  <si>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</si>
  <si>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</si>
  <si>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</si>
  <si>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</si>
  <si>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</si>
  <si>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</si>
  <si>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</si>
  <si>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</si>
  <si>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</si>
  <si>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</si>
  <si>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</si>
  <si>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</si>
  <si>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</si>
  <si>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</si>
  <si>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</si>
  <si>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</si>
  <si>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</si>
  <si>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</si>
  <si>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</si>
  <si>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</si>
  <si>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</si>
  <si>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</si>
  <si>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</si>
  <si>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</si>
  <si>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</si>
  <si>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</si>
  <si>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</si>
  <si>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</si>
  <si>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</si>
  <si>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</si>
  <si>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</si>
  <si>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</si>
  <si>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</si>
  <si>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</si>
  <si>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</si>
  <si>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</si>
  <si>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</si>
  <si>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</si>
  <si>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</si>
  <si>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</si>
  <si>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</si>
  <si>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</si>
  <si>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 xml:space="preserve">HGTNLAMA </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</si>
  <si>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</si>
  <si>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</si>
  <si>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</si>
  <si>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</si>
  <si>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</si>
  <si>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</si>
  <si>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</si>
  <si>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</si>
  <si>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</si>
  <si>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</si>
  <si>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</si>
  <si>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</si>
  <si>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</si>
  <si>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</si>
  <si>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</si>
  <si>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</si>
  <si>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</si>
  <si>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</si>
  <si>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</si>
  <si>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</si>
  <si>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</si>
  <si>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</si>
  <si>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</si>
  <si>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</si>
  <si>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</si>
  <si>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</si>
  <si>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</si>
  <si>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</si>
  <si>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</si>
  <si>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</si>
  <si>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</si>
  <si>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</si>
  <si>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</si>
  <si>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</si>
  <si>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</si>
  <si>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</si>
  <si>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</si>
  <si>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</si>
  <si>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</si>
  <si>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</si>
  <si>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</si>
  <si>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</si>
  <si>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</si>
  <si>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</si>
  <si>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</si>
  <si>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</si>
  <si>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</si>
  <si>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</si>
  <si>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</si>
  <si>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</si>
  <si>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106-1 WOODCREST DR</t>
  </si>
  <si>
    <t>F 114-1 WOODCREST DR</t>
  </si>
  <si>
    <t>F 120-1 WOODCREST DR</t>
  </si>
  <si>
    <t>F 112-1 ARDIS DR</t>
  </si>
  <si>
    <t>F 120-1 ARDIS DR</t>
  </si>
  <si>
    <t>F 124-1 ARDIS DR</t>
  </si>
  <si>
    <t>F 153-1 CRANDON CIR</t>
  </si>
  <si>
    <t>F 151-1 CRANDON CIR</t>
  </si>
  <si>
    <t>F 6-1 CRANDON CIR</t>
  </si>
  <si>
    <t>F 4-1 CRANDON CIR</t>
  </si>
  <si>
    <t>F 2-1 CRANDON CIR</t>
  </si>
  <si>
    <t>OPP 1341-1 WAFER RD</t>
  </si>
  <si>
    <t>OPP 1347-1 WAFER RD</t>
  </si>
  <si>
    <t>OPP 1369-1 WAFER RD</t>
  </si>
  <si>
    <t>F 101-1 CRESTWOOD DR</t>
  </si>
  <si>
    <t>F 107-1 CRESTWOOD DR</t>
  </si>
  <si>
    <t>F 111-1 CRESTWOOD DR</t>
  </si>
  <si>
    <t>F 123-1 CRESTWOOD DR</t>
  </si>
  <si>
    <t>F 125-1 CRESTWOOD DR</t>
  </si>
  <si>
    <t>F 127-1 CRESTWOOD DR</t>
  </si>
  <si>
    <t>F 1-1 CRESTWOOD DR</t>
  </si>
  <si>
    <t>F 100-1 ARDIS DR</t>
  </si>
  <si>
    <t>F 106-1 ARDIS DR</t>
  </si>
  <si>
    <t>F 110-1 WOODCREST DR</t>
  </si>
  <si>
    <t>DO NOT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</si>
</sst>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1" fontId="7" fillId="12" borderId="1" xfId="0" applyNumberFormat="1" applyFont="1" applyFill="1" applyBorder="1" applyAlignment="1" applyProtection="1">
      <alignment horizontal="center" vertic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cellStyle name="Currency 3" xfId="2"/>
    <cellStyle name="Good" xfId="7" builtinId="26"/>
    <cellStyle name="Hyperlink" xfId="10" builtinId="8"/>
    <cellStyle name="Input" xfId="12" builtinId="20"/>
    <cellStyle name="Neutral" xfId="8" builtinId="28"/>
    <cellStyle name="no dec" xfId="4"/>
    <cellStyle name="Normal" xfId="0" builtinId="0"/>
    <cellStyle name="Normal 2" xfId="1"/>
    <cellStyle name="Normal 2 2" xfId="11"/>
    <cellStyle name="Normal 3" xfId="6"/>
    <cellStyle name="Normal 3 2" xfId="13"/>
    <cellStyle name="Title 2" xfId="5"/>
  </cellStyles>
  <dxfs count="162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CCCC"/>
      <color rgb="FFFFCCFF"/>
      <color rgb="FFFFFFFF"/>
      <color rgb="FFF8F8F8"/>
      <color rgb="FFEAEAEA"/>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99060</xdr:rowOff>
        </xdr:from>
        <xdr:to>
          <xdr:col>19</xdr:col>
          <xdr:colOff>342900</xdr:colOff>
          <xdr:row>3</xdr:row>
          <xdr:rowOff>83820</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id="3" name="Table3" displayName="Table3" ref="A1:AP499" totalsRowShown="0" headerRowDxfId="1628" dataDxfId="1626" headerRowBorderDxfId="1627" tableBorderDxfId="1625" totalsRowBorderDxfId="1624">
  <autoFilter ref="A1:AP499"/>
  <tableColumns count="42">
    <tableColumn id="1" name="DWG#" dataDxfId="1623"/>
    <tableColumn id="61" name="10x15 HH" dataDxfId="1622"/>
    <tableColumn id="9" name="IDUCT 1" dataDxfId="1621"/>
    <tableColumn id="10" name="IDUCT 2" dataDxfId="1620"/>
    <tableColumn id="11" name="IDUCT 3" dataDxfId="1619"/>
    <tableColumn id="12" name="IDUCT 4" dataDxfId="1618"/>
    <tableColumn id="13" name="IDUCT 5" dataDxfId="1617"/>
    <tableColumn id="14" name="IDUCT 6" dataDxfId="1616"/>
    <tableColumn id="15" name="IDUCT 7" dataDxfId="1615"/>
    <tableColumn id="16" name="IDUCT 8" dataDxfId="1614"/>
    <tableColumn id="17" name="IDUCT 9" dataDxfId="1613"/>
    <tableColumn id="18" name="IDUCT 10" dataDxfId="1612"/>
    <tableColumn id="19" name="IDUCT 11" dataDxfId="1611"/>
    <tableColumn id="20" name="IDUCT 12" dataDxfId="1610"/>
    <tableColumn id="21" name="IDUCT 13" dataDxfId="1609"/>
    <tableColumn id="22" name="IDUCT 14" dataDxfId="1608"/>
    <tableColumn id="23" name="IDUCT 15" dataDxfId="1607"/>
    <tableColumn id="24" name="IDUCT 16" dataDxfId="1606"/>
    <tableColumn id="25" name="IDUCT 17" dataDxfId="1605"/>
    <tableColumn id="26" name="IDUCT 18" dataDxfId="1604"/>
    <tableColumn id="27" name="IDUCT 19" dataDxfId="1603"/>
    <tableColumn id="28" name="IDUCT 20" dataDxfId="1602"/>
    <tableColumn id="29" name="Pullback IDUCT 1" dataDxfId="1601"/>
    <tableColumn id="30" name="Pullback IDUCT 2" dataDxfId="1600"/>
    <tableColumn id="31" name="Pullback IDUCT 3" dataDxfId="1599"/>
    <tableColumn id="32" name="Pullback IDUCT 4" dataDxfId="1598"/>
    <tableColumn id="33" name="Pullback IDUCT 5" dataDxfId="1597"/>
    <tableColumn id="34" name="Pullback IDUCT 6" dataDxfId="1596"/>
    <tableColumn id="35" name="Pullback IDUCT 7" dataDxfId="1595"/>
    <tableColumn id="36" name="Pullback IDUCT 8" dataDxfId="1594"/>
    <tableColumn id="37" name="Pullback IDUCT 9" dataDxfId="1593"/>
    <tableColumn id="38" name="Pullback IDUCT 10" dataDxfId="1592"/>
    <tableColumn id="49" name="ROD Duct 1" dataDxfId="1591"/>
    <tableColumn id="50" name="ROD Duct 2" dataDxfId="1590"/>
    <tableColumn id="51" name="ROD Duct 3" dataDxfId="1589"/>
    <tableColumn id="52" name="ROD Duct 4" dataDxfId="1588"/>
    <tableColumn id="53" name="ROD Duct 5" dataDxfId="1587"/>
    <tableColumn id="54" name="ROD Duct 6" dataDxfId="1586"/>
    <tableColumn id="55" name="ROD Duct 7" dataDxfId="1585"/>
    <tableColumn id="56" name="ROD Duct 8" dataDxfId="1584"/>
    <tableColumn id="57" name="ROD Duct 9" dataDxfId="1583"/>
    <tableColumn id="58" name="ROD Duct 10" dataDxfId="158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Q147"/>
  <sheetViews>
    <sheetView workbookViewId="0">
      <selection activeCell="K10" sqref="K10"/>
    </sheetView>
  </sheetViews>
  <sheetFormatPr defaultColWidth="9.109375" defaultRowHeight="14.4" x14ac:dyDescent="0.3"/>
  <cols>
    <col min="1" max="1" width="4.44140625" style="172" customWidth="1"/>
    <col min="2" max="2" width="12.44140625" style="172" customWidth="1"/>
    <col min="3" max="3" width="10.6640625" style="172" bestFit="1" customWidth="1"/>
    <col min="4" max="16384" width="9.109375" style="172"/>
  </cols>
  <sheetData>
    <row r="1" spans="2:7" ht="31.2" x14ac:dyDescent="0.6">
      <c r="B1" s="261" t="s">
        <v>0</v>
      </c>
      <c r="C1" s="261"/>
    </row>
    <row r="2" spans="2:7" x14ac:dyDescent="0.3">
      <c r="B2" s="127" t="s">
        <v>1</v>
      </c>
      <c r="C2" s="128">
        <v>45054</v>
      </c>
    </row>
    <row r="3" spans="2:7" x14ac:dyDescent="0.3">
      <c r="B3" s="173"/>
      <c r="C3" s="174"/>
    </row>
    <row r="4" spans="2:7" x14ac:dyDescent="0.3">
      <c r="B4" s="178" t="s">
        <v>2</v>
      </c>
    </row>
    <row r="8" spans="2:7" x14ac:dyDescent="0.3">
      <c r="B8" s="178" t="s">
        <v>3</v>
      </c>
    </row>
    <row r="10" spans="2:7" x14ac:dyDescent="0.3">
      <c r="G10" s="172" t="s">
        <v>4</v>
      </c>
    </row>
    <row r="11" spans="2:7" ht="15" customHeight="1" x14ac:dyDescent="0.3">
      <c r="G11" s="175" t="s">
        <v>5</v>
      </c>
    </row>
    <row r="12" spans="2:7" x14ac:dyDescent="0.3">
      <c r="G12" s="175" t="s">
        <v>6</v>
      </c>
    </row>
    <row r="13" spans="2:7" x14ac:dyDescent="0.3">
      <c r="G13" s="175" t="s">
        <v>7</v>
      </c>
    </row>
    <row r="14" spans="2:7" x14ac:dyDescent="0.3">
      <c r="G14" s="175"/>
    </row>
    <row r="15" spans="2:7" x14ac:dyDescent="0.3">
      <c r="G15" s="175"/>
    </row>
    <row r="16" spans="2:7" x14ac:dyDescent="0.3">
      <c r="G16" s="175"/>
    </row>
    <row r="17" spans="2:17" x14ac:dyDescent="0.3">
      <c r="G17" s="175"/>
    </row>
    <row r="18" spans="2:17" x14ac:dyDescent="0.3">
      <c r="B18" s="178"/>
    </row>
    <row r="19" spans="2:17" ht="15" customHeight="1" x14ac:dyDescent="0.3">
      <c r="G19" s="259" t="s">
        <v>8</v>
      </c>
      <c r="H19" s="260"/>
      <c r="I19" s="260"/>
      <c r="J19" s="260"/>
      <c r="K19" s="260"/>
      <c r="L19" s="260"/>
      <c r="M19" s="260"/>
      <c r="N19" s="260"/>
      <c r="O19" s="260"/>
      <c r="P19" s="260"/>
      <c r="Q19" s="176"/>
    </row>
    <row r="20" spans="2:17" x14ac:dyDescent="0.3">
      <c r="G20" s="260"/>
      <c r="H20" s="260"/>
      <c r="I20" s="260"/>
      <c r="J20" s="260"/>
      <c r="K20" s="260"/>
      <c r="L20" s="260"/>
      <c r="M20" s="260"/>
      <c r="N20" s="260"/>
      <c r="O20" s="260"/>
      <c r="P20" s="260"/>
      <c r="Q20" s="176"/>
    </row>
    <row r="21" spans="2:17" x14ac:dyDescent="0.3">
      <c r="G21" s="260"/>
      <c r="H21" s="260"/>
      <c r="I21" s="260"/>
      <c r="J21" s="260"/>
      <c r="K21" s="260"/>
      <c r="L21" s="260"/>
      <c r="M21" s="260"/>
      <c r="N21" s="260"/>
      <c r="O21" s="260"/>
      <c r="P21" s="260"/>
      <c r="Q21" s="176"/>
    </row>
    <row r="22" spans="2:17" ht="15" customHeight="1" x14ac:dyDescent="0.3">
      <c r="G22" s="260"/>
      <c r="H22" s="260"/>
      <c r="I22" s="260"/>
      <c r="J22" s="260"/>
      <c r="K22" s="260"/>
      <c r="L22" s="260"/>
      <c r="M22" s="260"/>
      <c r="N22" s="260"/>
      <c r="O22" s="260"/>
      <c r="P22" s="260"/>
      <c r="Q22" s="176"/>
    </row>
    <row r="23" spans="2:17" x14ac:dyDescent="0.3">
      <c r="G23" s="260"/>
      <c r="H23" s="260"/>
      <c r="I23" s="260"/>
      <c r="J23" s="260"/>
      <c r="K23" s="260"/>
      <c r="L23" s="260"/>
      <c r="M23" s="260"/>
      <c r="N23" s="260"/>
      <c r="O23" s="260"/>
      <c r="P23" s="260"/>
      <c r="Q23" s="176"/>
    </row>
    <row r="24" spans="2:17" x14ac:dyDescent="0.3">
      <c r="G24" s="260"/>
      <c r="H24" s="260"/>
      <c r="I24" s="260"/>
      <c r="J24" s="260"/>
      <c r="K24" s="260"/>
      <c r="L24" s="260"/>
      <c r="M24" s="260"/>
      <c r="N24" s="260"/>
      <c r="O24" s="260"/>
      <c r="P24" s="260"/>
      <c r="Q24" s="176"/>
    </row>
    <row r="25" spans="2:17" ht="15" customHeight="1" x14ac:dyDescent="0.3">
      <c r="G25" s="177"/>
      <c r="H25" s="177"/>
      <c r="I25" s="177"/>
      <c r="J25" s="177"/>
      <c r="K25" s="177"/>
      <c r="L25" s="177"/>
      <c r="M25" s="177"/>
      <c r="N25" s="177"/>
      <c r="O25" s="177"/>
      <c r="P25" s="177"/>
    </row>
    <row r="26" spans="2:17" x14ac:dyDescent="0.3">
      <c r="G26" s="177"/>
      <c r="H26" s="177"/>
      <c r="I26" s="177"/>
      <c r="J26" s="177"/>
      <c r="K26" s="177"/>
      <c r="L26" s="177"/>
      <c r="M26" s="177"/>
      <c r="N26" s="177"/>
      <c r="O26" s="177"/>
      <c r="P26" s="177"/>
    </row>
    <row r="27" spans="2:17" x14ac:dyDescent="0.3">
      <c r="G27" s="177"/>
      <c r="H27" s="177"/>
      <c r="I27" s="177"/>
      <c r="J27" s="177"/>
      <c r="K27" s="177"/>
      <c r="L27" s="177"/>
      <c r="M27" s="177"/>
      <c r="N27" s="177"/>
      <c r="O27" s="177"/>
      <c r="P27" s="177"/>
    </row>
    <row r="28" spans="2:17" x14ac:dyDescent="0.3">
      <c r="G28" s="177"/>
      <c r="H28" s="177"/>
      <c r="I28" s="177"/>
      <c r="J28" s="177"/>
      <c r="K28" s="177"/>
      <c r="L28" s="177"/>
      <c r="M28" s="177"/>
      <c r="N28" s="177"/>
      <c r="O28" s="177"/>
      <c r="P28" s="177"/>
    </row>
    <row r="29" spans="2:17" x14ac:dyDescent="0.3">
      <c r="G29" s="177"/>
      <c r="H29" s="177"/>
      <c r="I29" s="177"/>
      <c r="J29" s="177"/>
      <c r="K29" s="177"/>
      <c r="L29" s="177"/>
      <c r="M29" s="177"/>
      <c r="N29" s="177"/>
      <c r="O29" s="177"/>
      <c r="P29" s="177"/>
    </row>
    <row r="30" spans="2:17" x14ac:dyDescent="0.3">
      <c r="G30" s="177"/>
      <c r="H30" s="177"/>
      <c r="I30" s="177"/>
      <c r="J30" s="177"/>
      <c r="K30" s="177"/>
      <c r="L30" s="177"/>
      <c r="M30" s="177"/>
      <c r="N30" s="177"/>
      <c r="O30" s="177"/>
      <c r="P30" s="177"/>
    </row>
    <row r="33" spans="2:13" x14ac:dyDescent="0.3">
      <c r="B33" s="178" t="s">
        <v>9</v>
      </c>
    </row>
    <row r="35" spans="2:13" x14ac:dyDescent="0.3">
      <c r="F35" s="258" t="s">
        <v>10</v>
      </c>
      <c r="G35" s="258"/>
      <c r="H35" s="258"/>
      <c r="I35" s="258"/>
      <c r="J35" s="258"/>
      <c r="K35" s="258"/>
      <c r="L35" s="258"/>
      <c r="M35" s="258"/>
    </row>
    <row r="37" spans="2:13" ht="15.6" x14ac:dyDescent="0.3">
      <c r="B37" s="178" t="s">
        <v>11</v>
      </c>
    </row>
    <row r="85" spans="2:2" x14ac:dyDescent="0.3">
      <c r="B85" s="178" t="s">
        <v>12</v>
      </c>
    </row>
    <row r="88" spans="2:2" x14ac:dyDescent="0.3">
      <c r="B88" s="178" t="s">
        <v>3</v>
      </c>
    </row>
    <row r="92" spans="2:2" x14ac:dyDescent="0.3">
      <c r="B92" s="178"/>
    </row>
    <row r="98" spans="2:2" x14ac:dyDescent="0.3">
      <c r="B98" s="178" t="s">
        <v>13</v>
      </c>
    </row>
    <row r="112" spans="2:2" x14ac:dyDescent="0.3">
      <c r="B112" s="178" t="s">
        <v>14</v>
      </c>
    </row>
    <row r="146" spans="2:16" ht="15" thickBot="1" x14ac:dyDescent="0.35"/>
    <row r="147" spans="2:16" ht="21.6" thickBot="1" x14ac:dyDescent="0.45">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hyperlink ref="F35:M35" r:id="rId2" display="For more detailed instructions on the Tether Assignment Tool (TAT) click here"/>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50"/>
  <sheetViews>
    <sheetView workbookViewId="0">
      <selection activeCell="G9" sqref="G9"/>
    </sheetView>
  </sheetViews>
  <sheetFormatPr defaultColWidth="8.88671875" defaultRowHeight="14.4" x14ac:dyDescent="0.3"/>
  <cols>
    <col min="1" max="2" width="35.6640625" customWidth="1"/>
    <col min="3" max="5" width="15.6640625" customWidth="1"/>
  </cols>
  <sheetData>
    <row r="1" spans="1:11" x14ac:dyDescent="0.3">
      <c r="A1" s="118" t="str">
        <f>VLOOKUP(H1,$I$1:$J$1000,2)</f>
        <v>F 1230-1 WAFER RD</v>
      </c>
      <c r="B1" s="118"/>
      <c r="C1" s="118"/>
      <c r="D1" s="118"/>
      <c r="E1" s="118"/>
      <c r="G1" t="str">
        <f>IF('Assignment Tool'!C1="","",IF('Assignment Tool'!C1="FST",'Assignment Tool'!D1,""))</f>
        <v/>
      </c>
      <c r="H1">
        <v>1</v>
      </c>
      <c r="I1">
        <v>1</v>
      </c>
      <c r="J1" t="str">
        <f t="array" ref="J1">IFERROR(INDEX($G$2:$G$2050,_xlfn.AGGREGATE(15,6,(ROW($G$2:$G$2050)-ROW($G$2)+1)/($G$2:$G$2050&lt;&gt;""),ROWS(J$1:J1))),"")</f>
        <v>F 1230-1 WAFER RD</v>
      </c>
      <c r="K1">
        <f>IF(J1="","",INDEX('Assignment Tool'!E17:E2050,MATCH(FA_DATA!J1,'Assignment Tool'!D17:D2050,0)))</f>
        <v>4</v>
      </c>
    </row>
    <row r="2" spans="1:11" x14ac:dyDescent="0.3">
      <c r="A2" s="118" t="str">
        <f t="shared" ref="A2:A65" si="0">VLOOKUP(H2,$I$1:$J$1000,2)</f>
        <v>F 1230-1 WAFER RD</v>
      </c>
      <c r="G2" t="str">
        <f>IF('Assignment Tool'!C2="","",IF('Assignment Tool'!C2="FST",'Assignment Tool'!D2,""))</f>
        <v/>
      </c>
      <c r="H2">
        <v>2</v>
      </c>
      <c r="I2">
        <f>IFERROR((I1+K1),"")</f>
        <v>5</v>
      </c>
      <c r="J2" t="str">
        <f t="array" ref="J2">IFERROR(INDEX($G$2:$G$2050,_xlfn.AGGREGATE(15,6,(ROW($G$2:$G$2050)-ROW($G$2)+1)/($G$2:$G$2050&lt;&gt;""),ROWS(J$1:J2))),"")</f>
        <v>F 1246-1 WAFER RD</v>
      </c>
      <c r="K2">
        <f>IF(J2="","",INDEX('Assignment Tool'!E18:E2051,MATCH(FA_DATA!J2,'Assignment Tool'!D18:D2051,0)))</f>
        <v>4</v>
      </c>
    </row>
    <row r="3" spans="1:11" x14ac:dyDescent="0.3">
      <c r="A3" s="118" t="str">
        <f t="shared" si="0"/>
        <v>F 1230-1 WAFER RD</v>
      </c>
      <c r="G3" t="str">
        <f>IF('Assignment Tool'!C3="","",IF('Assignment Tool'!C3="FST",'Assignment Tool'!D3,""))</f>
        <v/>
      </c>
      <c r="H3">
        <v>3</v>
      </c>
      <c r="I3">
        <f t="shared" ref="I3:I66" si="1">IFERROR((I2+K2),"")</f>
        <v>9</v>
      </c>
      <c r="J3" t="str">
        <f t="array" ref="J3">IFERROR(INDEX($G$2:$G$2050,_xlfn.AGGREGATE(15,6,(ROW($G$2:$G$2050)-ROW($G$2)+1)/($G$2:$G$2050&lt;&gt;""),ROWS(J$1:J3))),"")</f>
        <v>F 1260-1 WAFER RD</v>
      </c>
      <c r="K3">
        <f>IF(J3="","",INDEX('Assignment Tool'!E19:E2052,MATCH(FA_DATA!J3,'Assignment Tool'!D19:D2052,0)))</f>
        <v>4</v>
      </c>
    </row>
    <row r="4" spans="1:11" x14ac:dyDescent="0.3">
      <c r="A4" s="118" t="str">
        <f t="shared" si="0"/>
        <v>F 1230-1 WAFER RD</v>
      </c>
      <c r="G4" t="str">
        <f>IF('Assignment Tool'!C4="","",IF('Assignment Tool'!C4="FST",'Assignment Tool'!D4,""))</f>
        <v/>
      </c>
      <c r="H4">
        <v>4</v>
      </c>
      <c r="I4">
        <f t="shared" si="1"/>
        <v>13</v>
      </c>
      <c r="J4" t="str">
        <f t="array" ref="J4">IFERROR(INDEX($G$2:$G$2050,_xlfn.AGGREGATE(15,6,(ROW($G$2:$G$2050)-ROW($G$2)+1)/($G$2:$G$2050&lt;&gt;""),ROWS(J$1:J4))),"")</f>
        <v>F 101-1 CRESTWOOD DR</v>
      </c>
      <c r="K4">
        <f>IF(J4="","",INDEX('Assignment Tool'!E20:E2053,MATCH(FA_DATA!J4,'Assignment Tool'!D20:D2053,0)))</f>
        <v>4</v>
      </c>
    </row>
    <row r="5" spans="1:11" x14ac:dyDescent="0.3">
      <c r="A5" s="118" t="str">
        <f t="shared" si="0"/>
        <v>F 1246-1 WAFER RD</v>
      </c>
      <c r="G5" t="str">
        <f>IF('Assignment Tool'!C5="","",IF('Assignment Tool'!C5="FST",'Assignment Tool'!D5,""))</f>
        <v/>
      </c>
      <c r="H5">
        <v>5</v>
      </c>
      <c r="I5">
        <f t="shared" si="1"/>
        <v>17</v>
      </c>
      <c r="J5" t="str">
        <f t="array" ref="J5">IFERROR(INDEX($G$2:$G$2050,_xlfn.AGGREGATE(15,6,(ROW($G$2:$G$2050)-ROW($G$2)+1)/($G$2:$G$2050&lt;&gt;""),ROWS(J$1:J5))),"")</f>
        <v>F 107-1 CRESTWOOD DR</v>
      </c>
      <c r="K5">
        <f>IF(J5="","",INDEX('Assignment Tool'!E21:E2054,MATCH(FA_DATA!J5,'Assignment Tool'!D21:D2054,0)))</f>
        <v>4</v>
      </c>
    </row>
    <row r="6" spans="1:11" x14ac:dyDescent="0.3">
      <c r="A6" s="118" t="str">
        <f t="shared" si="0"/>
        <v>F 1246-1 WAFER RD</v>
      </c>
      <c r="G6" t="str">
        <f>IF('Assignment Tool'!C6="","",IF('Assignment Tool'!C6="FST",'Assignment Tool'!D6,""))</f>
        <v/>
      </c>
      <c r="H6">
        <v>6</v>
      </c>
      <c r="I6">
        <f t="shared" si="1"/>
        <v>21</v>
      </c>
      <c r="J6" t="str">
        <f t="array" ref="J6">IFERROR(INDEX($G$2:$G$2050,_xlfn.AGGREGATE(15,6,(ROW($G$2:$G$2050)-ROW($G$2)+1)/($G$2:$G$2050&lt;&gt;""),ROWS(J$1:J6))),"")</f>
        <v>F 111-1 CRESTWOOD DR</v>
      </c>
      <c r="K6">
        <f>IF(J6="","",INDEX('Assignment Tool'!E22:E2055,MATCH(FA_DATA!J6,'Assignment Tool'!D22:D2055,0)))</f>
        <v>4</v>
      </c>
    </row>
    <row r="7" spans="1:11" x14ac:dyDescent="0.3">
      <c r="A7" s="118" t="str">
        <f t="shared" si="0"/>
        <v>F 1246-1 WAFER RD</v>
      </c>
      <c r="G7" t="str">
        <f>IF('Assignment Tool'!C7="","",IF('Assignment Tool'!C7="FST",'Assignment Tool'!D7,""))</f>
        <v/>
      </c>
      <c r="H7">
        <v>7</v>
      </c>
      <c r="I7">
        <f t="shared" si="1"/>
        <v>25</v>
      </c>
      <c r="J7" t="str">
        <f t="array" ref="J7">IFERROR(INDEX($G$2:$G$2050,_xlfn.AGGREGATE(15,6,(ROW($G$2:$G$2050)-ROW($G$2)+1)/($G$2:$G$2050&lt;&gt;""),ROWS(J$1:J7))),"")</f>
        <v>F 123-1 CRESTWOOD DR</v>
      </c>
      <c r="K7">
        <f>IF(J7="","",INDEX('Assignment Tool'!E23:E2056,MATCH(FA_DATA!J7,'Assignment Tool'!D23:D2056,0)))</f>
        <v>4</v>
      </c>
    </row>
    <row r="8" spans="1:11" x14ac:dyDescent="0.3">
      <c r="A8" s="118" t="str">
        <f t="shared" si="0"/>
        <v>F 1246-1 WAFER RD</v>
      </c>
      <c r="G8" t="str">
        <f>IF('Assignment Tool'!C8="","",IF('Assignment Tool'!C8="FST",'Assignment Tool'!D8,""))</f>
        <v/>
      </c>
      <c r="H8">
        <v>8</v>
      </c>
      <c r="I8">
        <f t="shared" si="1"/>
        <v>29</v>
      </c>
      <c r="J8" t="str">
        <f t="array" ref="J8">IFERROR(INDEX($G$2:$G$2050,_xlfn.AGGREGATE(15,6,(ROW($G$2:$G$2050)-ROW($G$2)+1)/($G$2:$G$2050&lt;&gt;""),ROWS(J$1:J8))),"")</f>
        <v>F 125-1 CRESTWOOD DR</v>
      </c>
      <c r="K8">
        <f>IF(J8="","",INDEX('Assignment Tool'!E24:E2057,MATCH(FA_DATA!J8,'Assignment Tool'!D24:D2057,0)))</f>
        <v>4</v>
      </c>
    </row>
    <row r="9" spans="1:11" x14ac:dyDescent="0.3">
      <c r="A9" s="118" t="str">
        <f t="shared" si="0"/>
        <v>F 1260-1 WAFER RD</v>
      </c>
      <c r="G9" t="str">
        <f>IF('Assignment Tool'!C9="","",IF('Assignment Tool'!C9="FST",'Assignment Tool'!D9,""))</f>
        <v/>
      </c>
      <c r="H9">
        <v>9</v>
      </c>
      <c r="I9">
        <f t="shared" si="1"/>
        <v>33</v>
      </c>
      <c r="J9" t="str">
        <f t="array" ref="J9">IFERROR(INDEX($G$2:$G$2050,_xlfn.AGGREGATE(15,6,(ROW($G$2:$G$2050)-ROW($G$2)+1)/($G$2:$G$2050&lt;&gt;""),ROWS(J$1:J9))),"")</f>
        <v>F 127-1 CRESTWOOD DR</v>
      </c>
      <c r="K9">
        <f>IF(J9="","",INDEX('Assignment Tool'!E25:E2058,MATCH(FA_DATA!J9,'Assignment Tool'!D25:D2058,0)))</f>
        <v>4</v>
      </c>
    </row>
    <row r="10" spans="1:11" x14ac:dyDescent="0.3">
      <c r="A10" s="118" t="str">
        <f t="shared" si="0"/>
        <v>F 1260-1 WAFER RD</v>
      </c>
      <c r="G10" t="str">
        <f>IF('Assignment Tool'!C10="","",IF('Assignment Tool'!C10="FST",'Assignment Tool'!D10,""))</f>
        <v/>
      </c>
      <c r="H10">
        <v>10</v>
      </c>
      <c r="I10">
        <f t="shared" si="1"/>
        <v>37</v>
      </c>
      <c r="J10" t="str">
        <f t="array" ref="J10">IFERROR(INDEX($G$2:$G$2050,_xlfn.AGGREGATE(15,6,(ROW($G$2:$G$2050)-ROW($G$2)+1)/($G$2:$G$2050&lt;&gt;""),ROWS(J$1:J10))),"")</f>
        <v>F 1-1 CRESTWOOD DR</v>
      </c>
      <c r="K10">
        <f>IF(J10="","",INDEX('Assignment Tool'!E26:E2059,MATCH(FA_DATA!J10,'Assignment Tool'!D26:D2059,0)))</f>
        <v>4</v>
      </c>
    </row>
    <row r="11" spans="1:11" x14ac:dyDescent="0.3">
      <c r="A11" s="118" t="str">
        <f t="shared" si="0"/>
        <v>F 1260-1 WAFER RD</v>
      </c>
      <c r="G11" t="str">
        <f>IF('Assignment Tool'!C11="","",IF('Assignment Tool'!C11="FST",'Assignment Tool'!D11,""))</f>
        <v/>
      </c>
      <c r="H11">
        <v>11</v>
      </c>
      <c r="I11">
        <f t="shared" si="1"/>
        <v>41</v>
      </c>
      <c r="J11" t="str">
        <f t="array" ref="J11">IFERROR(INDEX($G$2:$G$2050,_xlfn.AGGREGATE(15,6,(ROW($G$2:$G$2050)-ROW($G$2)+1)/($G$2:$G$2050&lt;&gt;""),ROWS(J$1:J11))),"")</f>
        <v>F 110-1 WOODCREST DR</v>
      </c>
      <c r="K11">
        <f>IF(J11="","",INDEX('Assignment Tool'!E27:E2060,MATCH(FA_DATA!J11,'Assignment Tool'!D27:D2060,0)))</f>
        <v>4</v>
      </c>
    </row>
    <row r="12" spans="1:11" x14ac:dyDescent="0.3">
      <c r="A12" s="118" t="str">
        <f t="shared" si="0"/>
        <v>F 1260-1 WAFER RD</v>
      </c>
      <c r="G12" t="str">
        <f>IF('Assignment Tool'!C12="","",IF('Assignment Tool'!C12="FST",'Assignment Tool'!D12,""))</f>
        <v/>
      </c>
      <c r="H12">
        <v>12</v>
      </c>
      <c r="I12">
        <f t="shared" si="1"/>
        <v>45</v>
      </c>
      <c r="J12" t="str">
        <f t="array" ref="J12">IFERROR(INDEX($G$2:$G$2050,_xlfn.AGGREGATE(15,6,(ROW($G$2:$G$2050)-ROW($G$2)+1)/($G$2:$G$2050&lt;&gt;""),ROWS(J$1:J12))),"")</f>
        <v>F 106-1 WOODCREST DR</v>
      </c>
      <c r="K12">
        <f>IF(J12="","",INDEX('Assignment Tool'!E28:E2061,MATCH(FA_DATA!J12,'Assignment Tool'!D28:D2061,0)))</f>
        <v>4</v>
      </c>
    </row>
    <row r="13" spans="1:11" x14ac:dyDescent="0.3">
      <c r="A13" s="118" t="str">
        <f t="shared" si="0"/>
        <v>F 101-1 CRESTWOOD DR</v>
      </c>
      <c r="G13" t="str">
        <f>IF('Assignment Tool'!C13="","",IF('Assignment Tool'!C13="FST",'Assignment Tool'!D13,""))</f>
        <v/>
      </c>
      <c r="H13">
        <v>13</v>
      </c>
      <c r="I13">
        <f t="shared" si="1"/>
        <v>49</v>
      </c>
      <c r="J13" t="str">
        <f t="array" ref="J13">IFERROR(INDEX($G$2:$G$2050,_xlfn.AGGREGATE(15,6,(ROW($G$2:$G$2050)-ROW($G$2)+1)/($G$2:$G$2050&lt;&gt;""),ROWS(J$1:J13))),"")</f>
        <v>F 114-1 WOODCREST DR</v>
      </c>
      <c r="K13">
        <f>IF(J13="","",INDEX('Assignment Tool'!E29:E2062,MATCH(FA_DATA!J13,'Assignment Tool'!D29:D2062,0)))</f>
        <v>4</v>
      </c>
    </row>
    <row r="14" spans="1:11" x14ac:dyDescent="0.3">
      <c r="A14" s="118" t="str">
        <f t="shared" si="0"/>
        <v>F 101-1 CRESTWOOD DR</v>
      </c>
      <c r="G14" t="str">
        <f>IF('Assignment Tool'!C14="","",IF('Assignment Tool'!C14="FST",'Assignment Tool'!D14,""))</f>
        <v/>
      </c>
      <c r="H14">
        <v>14</v>
      </c>
      <c r="I14">
        <f t="shared" si="1"/>
        <v>53</v>
      </c>
      <c r="J14" t="str">
        <f t="array" ref="J14">IFERROR(INDEX($G$2:$G$2050,_xlfn.AGGREGATE(15,6,(ROW($G$2:$G$2050)-ROW($G$2)+1)/($G$2:$G$2050&lt;&gt;""),ROWS(J$1:J14))),"")</f>
        <v>F 120-1 WOODCREST DR</v>
      </c>
      <c r="K14">
        <f>IF(J14="","",INDEX('Assignment Tool'!E30:E2063,MATCH(FA_DATA!J14,'Assignment Tool'!D30:D2063,0)))</f>
        <v>4</v>
      </c>
    </row>
    <row r="15" spans="1:11" x14ac:dyDescent="0.3">
      <c r="A15" s="118" t="str">
        <f t="shared" si="0"/>
        <v>F 101-1 CRESTWOOD DR</v>
      </c>
      <c r="G15" t="str">
        <f>IF('Assignment Tool'!C15="","",IF('Assignment Tool'!C15="FST",'Assignment Tool'!D15,""))</f>
        <v/>
      </c>
      <c r="H15">
        <v>15</v>
      </c>
      <c r="I15">
        <f t="shared" si="1"/>
        <v>57</v>
      </c>
      <c r="J15" t="str">
        <f t="array" ref="J15">IFERROR(INDEX($G$2:$G$2050,_xlfn.AGGREGATE(15,6,(ROW($G$2:$G$2050)-ROW($G$2)+1)/($G$2:$G$2050&lt;&gt;""),ROWS(J$1:J15))),"")</f>
        <v>F 100-1 ARDIS DR</v>
      </c>
      <c r="K15">
        <f>IF(J15="","",INDEX('Assignment Tool'!E31:E2064,MATCH(FA_DATA!J15,'Assignment Tool'!D31:D2064,0)))</f>
        <v>4</v>
      </c>
    </row>
    <row r="16" spans="1:11" x14ac:dyDescent="0.3">
      <c r="A16" s="118" t="str">
        <f t="shared" si="0"/>
        <v>F 101-1 CRESTWOOD DR</v>
      </c>
      <c r="G16" t="str">
        <f>IF('Assignment Tool'!C16="","",IF('Assignment Tool'!C16="FST",'Assignment Tool'!D16,""))</f>
        <v/>
      </c>
      <c r="H16">
        <v>16</v>
      </c>
      <c r="I16">
        <f t="shared" si="1"/>
        <v>61</v>
      </c>
      <c r="J16" t="str">
        <f t="array" ref="J16">IFERROR(INDEX($G$2:$G$2050,_xlfn.AGGREGATE(15,6,(ROW($G$2:$G$2050)-ROW($G$2)+1)/($G$2:$G$2050&lt;&gt;""),ROWS(J$1:J16))),"")</f>
        <v>F 106-1 ARDIS DR</v>
      </c>
      <c r="K16">
        <f>IF(J16="","",INDEX('Assignment Tool'!E32:E2065,MATCH(FA_DATA!J16,'Assignment Tool'!D32:D2065,0)))</f>
        <v>4</v>
      </c>
    </row>
    <row r="17" spans="1:11" x14ac:dyDescent="0.3">
      <c r="A17" s="118" t="str">
        <f t="shared" si="0"/>
        <v>F 107-1 CRESTWOOD DR</v>
      </c>
      <c r="G17" t="str">
        <f>IF('Assignment Tool'!C17="","",IF('Assignment Tool'!C17="FST",'Assignment Tool'!D17,""))</f>
        <v/>
      </c>
      <c r="H17">
        <v>17</v>
      </c>
      <c r="I17">
        <f t="shared" si="1"/>
        <v>65</v>
      </c>
      <c r="J17" t="str">
        <f t="array" ref="J17">IFERROR(INDEX($G$2:$G$2050,_xlfn.AGGREGATE(15,6,(ROW($G$2:$G$2050)-ROW($G$2)+1)/($G$2:$G$2050&lt;&gt;""),ROWS(J$1:J17))),"")</f>
        <v>F 153-1 CRANDON CIR</v>
      </c>
      <c r="K17">
        <f>IF(J17="","",INDEX('Assignment Tool'!E33:E2066,MATCH(FA_DATA!J17,'Assignment Tool'!D33:D2066,0)))</f>
        <v>4</v>
      </c>
    </row>
    <row r="18" spans="1:11" x14ac:dyDescent="0.3">
      <c r="A18" s="118" t="str">
        <f t="shared" si="0"/>
        <v>F 107-1 CRESTWOOD DR</v>
      </c>
      <c r="G18" t="str">
        <f>IF('Assignment Tool'!C18="","",IF('Assignment Tool'!C18="FST",'Assignment Tool'!D18,""))</f>
        <v/>
      </c>
      <c r="H18">
        <v>18</v>
      </c>
      <c r="I18">
        <f t="shared" si="1"/>
        <v>69</v>
      </c>
      <c r="J18" t="str">
        <f t="array" ref="J18">IFERROR(INDEX($G$2:$G$2050,_xlfn.AGGREGATE(15,6,(ROW($G$2:$G$2050)-ROW($G$2)+1)/($G$2:$G$2050&lt;&gt;""),ROWS(J$1:J18))),"")</f>
        <v>F 151-1 CRANDON CIR</v>
      </c>
      <c r="K18">
        <f>IF(J18="","",INDEX('Assignment Tool'!E34:E2067,MATCH(FA_DATA!J18,'Assignment Tool'!D34:D2067,0)))</f>
        <v>4</v>
      </c>
    </row>
    <row r="19" spans="1:11" x14ac:dyDescent="0.3">
      <c r="A19" s="118" t="str">
        <f t="shared" si="0"/>
        <v>F 107-1 CRESTWOOD DR</v>
      </c>
      <c r="G19" t="str">
        <f>IF('Assignment Tool'!C19="","",IF('Assignment Tool'!C19="FST",'Assignment Tool'!D19,""))</f>
        <v/>
      </c>
      <c r="H19">
        <v>19</v>
      </c>
      <c r="I19">
        <f t="shared" si="1"/>
        <v>73</v>
      </c>
      <c r="J19" t="str">
        <f t="array" ref="J19">IFERROR(INDEX($G$2:$G$2050,_xlfn.AGGREGATE(15,6,(ROW($G$2:$G$2050)-ROW($G$2)+1)/($G$2:$G$2050&lt;&gt;""),ROWS(J$1:J19))),"")</f>
        <v>F 6-1 CRANDON CIR</v>
      </c>
      <c r="K19">
        <f>IF(J19="","",INDEX('Assignment Tool'!E35:E2068,MATCH(FA_DATA!J19,'Assignment Tool'!D35:D2068,0)))</f>
        <v>4</v>
      </c>
    </row>
    <row r="20" spans="1:11" x14ac:dyDescent="0.3">
      <c r="A20" s="118" t="str">
        <f t="shared" si="0"/>
        <v>F 107-1 CRESTWOOD DR</v>
      </c>
      <c r="G20" t="str">
        <f>IF('Assignment Tool'!C20="","",IF('Assignment Tool'!C20="FST",'Assignment Tool'!D20,""))</f>
        <v/>
      </c>
      <c r="H20">
        <v>20</v>
      </c>
      <c r="I20">
        <f t="shared" si="1"/>
        <v>77</v>
      </c>
      <c r="J20" t="str">
        <f t="array" ref="J20">IFERROR(INDEX($G$2:$G$2050,_xlfn.AGGREGATE(15,6,(ROW($G$2:$G$2050)-ROW($G$2)+1)/($G$2:$G$2050&lt;&gt;""),ROWS(J$1:J20))),"")</f>
        <v>F 4-1 CRANDON CIR</v>
      </c>
      <c r="K20">
        <f>IF(J20="","",INDEX('Assignment Tool'!E36:E2069,MATCH(FA_DATA!J20,'Assignment Tool'!D36:D2069,0)))</f>
        <v>4</v>
      </c>
    </row>
    <row r="21" spans="1:11" x14ac:dyDescent="0.3">
      <c r="A21" s="118" t="str">
        <f t="shared" si="0"/>
        <v>F 111-1 CRESTWOOD DR</v>
      </c>
      <c r="G21" t="str">
        <f>IF('Assignment Tool'!C21="","",IF('Assignment Tool'!C21="FST",'Assignment Tool'!D21,""))</f>
        <v/>
      </c>
      <c r="H21">
        <v>21</v>
      </c>
      <c r="I21">
        <f t="shared" si="1"/>
        <v>81</v>
      </c>
      <c r="J21" t="str">
        <f t="array" ref="J21">IFERROR(INDEX($G$2:$G$2050,_xlfn.AGGREGATE(15,6,(ROW($G$2:$G$2050)-ROW($G$2)+1)/($G$2:$G$2050&lt;&gt;""),ROWS(J$1:J21))),"")</f>
        <v>F 2-1 CRANDON CIR</v>
      </c>
      <c r="K21">
        <f>IF(J21="","",INDEX('Assignment Tool'!E37:E2070,MATCH(FA_DATA!J21,'Assignment Tool'!D37:D2070,0)))</f>
        <v>4</v>
      </c>
    </row>
    <row r="22" spans="1:11" x14ac:dyDescent="0.3">
      <c r="A22" s="118" t="str">
        <f t="shared" si="0"/>
        <v>F 111-1 CRESTWOOD DR</v>
      </c>
      <c r="G22" t="str">
        <f>IF('Assignment Tool'!C22="","",IF('Assignment Tool'!C22="FST",'Assignment Tool'!D22,""))</f>
        <v/>
      </c>
      <c r="H22">
        <v>22</v>
      </c>
      <c r="I22">
        <f t="shared" si="1"/>
        <v>85</v>
      </c>
      <c r="J22" t="str">
        <f t="array" ref="J22">IFERROR(INDEX($G$2:$G$2050,_xlfn.AGGREGATE(15,6,(ROW($G$2:$G$2050)-ROW($G$2)+1)/($G$2:$G$2050&lt;&gt;""),ROWS(J$1:J22))),"")</f>
        <v>OPP 1341-1 WAFER RD</v>
      </c>
      <c r="K22">
        <f>IF(J22="","",INDEX('Assignment Tool'!E38:E2071,MATCH(FA_DATA!J22,'Assignment Tool'!D38:D2071,0)))</f>
        <v>4</v>
      </c>
    </row>
    <row r="23" spans="1:11" x14ac:dyDescent="0.3">
      <c r="A23" s="118" t="str">
        <f t="shared" si="0"/>
        <v>F 111-1 CRESTWOOD DR</v>
      </c>
      <c r="G23" t="str">
        <f>IF('Assignment Tool'!C23="","",IF('Assignment Tool'!C23="FST",'Assignment Tool'!D23,""))</f>
        <v/>
      </c>
      <c r="H23">
        <v>23</v>
      </c>
      <c r="I23">
        <f t="shared" si="1"/>
        <v>89</v>
      </c>
      <c r="J23" t="str">
        <f t="array" ref="J23">IFERROR(INDEX($G$2:$G$2050,_xlfn.AGGREGATE(15,6,(ROW($G$2:$G$2050)-ROW($G$2)+1)/($G$2:$G$2050&lt;&gt;""),ROWS(J$1:J23))),"")</f>
        <v>OPP 1347-1 WAFER RD</v>
      </c>
      <c r="K23">
        <f>IF(J23="","",INDEX('Assignment Tool'!E39:E2072,MATCH(FA_DATA!J23,'Assignment Tool'!D39:D2072,0)))</f>
        <v>4</v>
      </c>
    </row>
    <row r="24" spans="1:11" x14ac:dyDescent="0.3">
      <c r="A24" s="118" t="str">
        <f t="shared" si="0"/>
        <v>F 111-1 CRESTWOOD DR</v>
      </c>
      <c r="G24" t="str">
        <f>IF('Assignment Tool'!C24="","",IF('Assignment Tool'!C24="FST",'Assignment Tool'!D24,""))</f>
        <v/>
      </c>
      <c r="H24">
        <v>24</v>
      </c>
      <c r="I24">
        <f t="shared" si="1"/>
        <v>93</v>
      </c>
      <c r="J24" t="str">
        <f t="array" ref="J24">IFERROR(INDEX($G$2:$G$2050,_xlfn.AGGREGATE(15,6,(ROW($G$2:$G$2050)-ROW($G$2)+1)/($G$2:$G$2050&lt;&gt;""),ROWS(J$1:J24))),"")</f>
        <v>OPP 1369-1 WAFER RD</v>
      </c>
      <c r="K24">
        <f>IF(J24="","",INDEX('Assignment Tool'!E40:E2073,MATCH(FA_DATA!J24,'Assignment Tool'!D40:D2073,0)))</f>
        <v>4</v>
      </c>
    </row>
    <row r="25" spans="1:11" x14ac:dyDescent="0.3">
      <c r="A25" s="118" t="str">
        <f t="shared" si="0"/>
        <v>F 123-1 CRESTWOOD DR</v>
      </c>
      <c r="G25" t="str">
        <f>IF('Assignment Tool'!C25="","",IF('Assignment Tool'!C25="FST",'Assignment Tool'!D25,""))</f>
        <v/>
      </c>
      <c r="H25">
        <v>25</v>
      </c>
      <c r="I25">
        <f t="shared" si="1"/>
        <v>97</v>
      </c>
      <c r="J25" t="str">
        <f t="array" ref="J25">IFERROR(INDEX($G$2:$G$2050,_xlfn.AGGREGATE(15,6,(ROW($G$2:$G$2050)-ROW($G$2)+1)/($G$2:$G$2050&lt;&gt;""),ROWS(J$1:J25))),"")</f>
        <v>R 4594-1 PINE CREST DR</v>
      </c>
      <c r="K25">
        <f>IF(J25="","",INDEX('Assignment Tool'!E41:E2074,MATCH(FA_DATA!J25,'Assignment Tool'!D41:D2074,0)))</f>
        <v>4</v>
      </c>
    </row>
    <row r="26" spans="1:11" x14ac:dyDescent="0.3">
      <c r="A26" s="118" t="str">
        <f t="shared" si="0"/>
        <v>F 123-1 CRESTWOOD DR</v>
      </c>
      <c r="G26" t="str">
        <f>IF('Assignment Tool'!C26="","",IF('Assignment Tool'!C26="FST",'Assignment Tool'!D26,""))</f>
        <v/>
      </c>
      <c r="H26">
        <v>26</v>
      </c>
      <c r="I26">
        <f t="shared" si="1"/>
        <v>101</v>
      </c>
      <c r="J26" t="str">
        <f t="array" ref="J26">IFERROR(INDEX($G$2:$G$2050,_xlfn.AGGREGATE(15,6,(ROW($G$2:$G$2050)-ROW($G$2)+1)/($G$2:$G$2050&lt;&gt;""),ROWS(J$1:J26))),"")</f>
        <v>R 4586-1 PINE CREST DR</v>
      </c>
      <c r="K26">
        <f>IF(J26="","",INDEX('Assignment Tool'!E42:E2075,MATCH(FA_DATA!J26,'Assignment Tool'!D42:D2075,0)))</f>
        <v>4</v>
      </c>
    </row>
    <row r="27" spans="1:11" x14ac:dyDescent="0.3">
      <c r="A27" s="118" t="str">
        <f t="shared" si="0"/>
        <v>F 123-1 CRESTWOOD DR</v>
      </c>
      <c r="G27" t="str">
        <f>IF('Assignment Tool'!C27="","",IF('Assignment Tool'!C27="FST",'Assignment Tool'!D27,""))</f>
        <v/>
      </c>
      <c r="H27">
        <v>27</v>
      </c>
      <c r="I27">
        <f t="shared" si="1"/>
        <v>105</v>
      </c>
      <c r="J27" t="str">
        <f t="array" ref="J27">IFERROR(INDEX($G$2:$G$2050,_xlfn.AGGREGATE(15,6,(ROW($G$2:$G$2050)-ROW($G$2)+1)/($G$2:$G$2050&lt;&gt;""),ROWS(J$1:J27))),"")</f>
        <v>R 4578-1 PINE CREST DR</v>
      </c>
      <c r="K27">
        <f>IF(J27="","",INDEX('Assignment Tool'!E43:E2076,MATCH(FA_DATA!J27,'Assignment Tool'!D43:D2076,0)))</f>
        <v>4</v>
      </c>
    </row>
    <row r="28" spans="1:11" x14ac:dyDescent="0.3">
      <c r="A28" s="118" t="str">
        <f t="shared" si="0"/>
        <v>F 123-1 CRESTWOOD DR</v>
      </c>
      <c r="G28" t="str">
        <f>IF('Assignment Tool'!C28="","",IF('Assignment Tool'!C28="FST",'Assignment Tool'!D28,""))</f>
        <v/>
      </c>
      <c r="H28">
        <v>28</v>
      </c>
      <c r="I28">
        <f t="shared" si="1"/>
        <v>109</v>
      </c>
      <c r="J28" t="str">
        <f t="array" ref="J28">IFERROR(INDEX($G$2:$G$2050,_xlfn.AGGREGATE(15,6,(ROW($G$2:$G$2050)-ROW($G$2)+1)/($G$2:$G$2050&lt;&gt;""),ROWS(J$1:J28))),"")</f>
        <v>R 4570-1 PINE CREST DR</v>
      </c>
      <c r="K28">
        <f>IF(J28="","",INDEX('Assignment Tool'!E44:E2077,MATCH(FA_DATA!J28,'Assignment Tool'!D44:D2077,0)))</f>
        <v>4</v>
      </c>
    </row>
    <row r="29" spans="1:11" x14ac:dyDescent="0.3">
      <c r="A29" s="118" t="str">
        <f t="shared" si="0"/>
        <v>F 125-1 CRESTWOOD DR</v>
      </c>
      <c r="G29" t="str">
        <f>IF('Assignment Tool'!C29="","",IF('Assignment Tool'!C29="FST",'Assignment Tool'!D29,""))</f>
        <v/>
      </c>
      <c r="H29">
        <v>29</v>
      </c>
      <c r="I29">
        <f t="shared" si="1"/>
        <v>113</v>
      </c>
      <c r="J29" t="str">
        <f t="array" ref="J29">IFERROR(INDEX($G$2:$G$2050,_xlfn.AGGREGATE(15,6,(ROW($G$2:$G$2050)-ROW($G$2)+1)/($G$2:$G$2050&lt;&gt;""),ROWS(J$1:J29))),"")</f>
        <v>R 4562-1 PINE CREST DR</v>
      </c>
      <c r="K29">
        <f>IF(J29="","",INDEX('Assignment Tool'!E45:E2078,MATCH(FA_DATA!J29,'Assignment Tool'!D45:D2078,0)))</f>
        <v>4</v>
      </c>
    </row>
    <row r="30" spans="1:11" x14ac:dyDescent="0.3">
      <c r="A30" s="118" t="str">
        <f t="shared" si="0"/>
        <v>F 125-1 CRESTWOOD DR</v>
      </c>
      <c r="G30" t="str">
        <f>IF('Assignment Tool'!C30="","",IF('Assignment Tool'!C30="FST",'Assignment Tool'!D30,""))</f>
        <v/>
      </c>
      <c r="H30">
        <v>30</v>
      </c>
      <c r="I30">
        <f t="shared" si="1"/>
        <v>117</v>
      </c>
      <c r="J30" t="str">
        <f t="array" ref="J30">IFERROR(INDEX($G$2:$G$2050,_xlfn.AGGREGATE(15,6,(ROW($G$2:$G$2050)-ROW($G$2)+1)/($G$2:$G$2050&lt;&gt;""),ROWS(J$1:J30))),"")</f>
        <v>R 4554-1 PINE CREST DR</v>
      </c>
      <c r="K30">
        <f>IF(J30="","",INDEX('Assignment Tool'!E46:E2079,MATCH(FA_DATA!J30,'Assignment Tool'!D46:D2079,0)))</f>
        <v>4</v>
      </c>
    </row>
    <row r="31" spans="1:11" x14ac:dyDescent="0.3">
      <c r="A31" s="118" t="str">
        <f t="shared" si="0"/>
        <v>F 125-1 CRESTWOOD DR</v>
      </c>
      <c r="G31" t="str">
        <f>IF('Assignment Tool'!C31="","",IF('Assignment Tool'!C31="FST",'Assignment Tool'!D31,""))</f>
        <v/>
      </c>
      <c r="H31">
        <v>31</v>
      </c>
      <c r="I31">
        <f t="shared" si="1"/>
        <v>121</v>
      </c>
      <c r="J31" t="str">
        <f t="array" ref="J31">IFERROR(INDEX($G$2:$G$2050,_xlfn.AGGREGATE(15,6,(ROW($G$2:$G$2050)-ROW($G$2)+1)/($G$2:$G$2050&lt;&gt;""),ROWS(J$1:J31))),"")</f>
        <v>R 4546-1 PINE CREST DR</v>
      </c>
      <c r="K31">
        <f>IF(J31="","",INDEX('Assignment Tool'!E47:E2080,MATCH(FA_DATA!J31,'Assignment Tool'!D47:D2080,0)))</f>
        <v>4</v>
      </c>
    </row>
    <row r="32" spans="1:11" x14ac:dyDescent="0.3">
      <c r="A32" s="118" t="str">
        <f t="shared" si="0"/>
        <v>F 125-1 CRESTWOOD DR</v>
      </c>
      <c r="G32" t="str">
        <f>IF('Assignment Tool'!C32="","",IF('Assignment Tool'!C32="FST",'Assignment Tool'!D32,""))</f>
        <v/>
      </c>
      <c r="H32">
        <v>32</v>
      </c>
      <c r="I32">
        <f t="shared" si="1"/>
        <v>125</v>
      </c>
      <c r="J32" t="str">
        <f t="array" ref="J32">IFERROR(INDEX($G$2:$G$2050,_xlfn.AGGREGATE(15,6,(ROW($G$2:$G$2050)-ROW($G$2)+1)/($G$2:$G$2050&lt;&gt;""),ROWS(J$1:J32))),"")</f>
        <v>R 4534-1 PINE CREST DR</v>
      </c>
      <c r="K32">
        <f>IF(J32="","",INDEX('Assignment Tool'!E48:E2081,MATCH(FA_DATA!J32,'Assignment Tool'!D48:D2081,0)))</f>
        <v>4</v>
      </c>
    </row>
    <row r="33" spans="1:11" x14ac:dyDescent="0.3">
      <c r="A33" s="118" t="str">
        <f t="shared" si="0"/>
        <v>F 127-1 CRESTWOOD DR</v>
      </c>
      <c r="G33" t="str">
        <f>IF('Assignment Tool'!C33="","",IF('Assignment Tool'!C33="FST",'Assignment Tool'!D33,""))</f>
        <v/>
      </c>
      <c r="H33">
        <v>33</v>
      </c>
      <c r="I33">
        <f t="shared" si="1"/>
        <v>129</v>
      </c>
      <c r="J33" t="str">
        <f t="array" ref="J33">IFERROR(INDEX($G$2:$G$2050,_xlfn.AGGREGATE(15,6,(ROW($G$2:$G$2050)-ROW($G$2)+1)/($G$2:$G$2050&lt;&gt;""),ROWS(J$1:J33))),"")</f>
        <v>F 1190-1 WAFER RD</v>
      </c>
      <c r="K33">
        <f>IF(J33="","",INDEX('Assignment Tool'!E49:E2082,MATCH(FA_DATA!J33,'Assignment Tool'!D49:D2082,0)))</f>
        <v>4</v>
      </c>
    </row>
    <row r="34" spans="1:11" x14ac:dyDescent="0.3">
      <c r="A34" s="118" t="str">
        <f t="shared" si="0"/>
        <v>F 127-1 CRESTWOOD DR</v>
      </c>
      <c r="G34" t="str">
        <f>IF('Assignment Tool'!C34="","",IF('Assignment Tool'!C34="FST",'Assignment Tool'!D34,""))</f>
        <v/>
      </c>
      <c r="H34">
        <v>34</v>
      </c>
      <c r="I34">
        <f t="shared" si="1"/>
        <v>133</v>
      </c>
      <c r="J34" t="str">
        <f t="array" ref="J34">IFERROR(INDEX($G$2:$G$2050,_xlfn.AGGREGATE(15,6,(ROW($G$2:$G$2050)-ROW($G$2)+1)/($G$2:$G$2050&lt;&gt;""),ROWS(J$1:J34))),"")</f>
        <v>F 1194-1 WAFER RD</v>
      </c>
      <c r="K34">
        <f>IF(J34="","",INDEX('Assignment Tool'!E50:E2083,MATCH(FA_DATA!J34,'Assignment Tool'!D50:D2083,0)))</f>
        <v>4</v>
      </c>
    </row>
    <row r="35" spans="1:11" x14ac:dyDescent="0.3">
      <c r="A35" s="118" t="str">
        <f t="shared" si="0"/>
        <v>F 127-1 CRESTWOOD DR</v>
      </c>
      <c r="G35" t="str">
        <f>IF('Assignment Tool'!C35="","",IF('Assignment Tool'!C35="FST",'Assignment Tool'!D35,""))</f>
        <v/>
      </c>
      <c r="H35">
        <v>35</v>
      </c>
      <c r="I35">
        <f t="shared" si="1"/>
        <v>137</v>
      </c>
      <c r="J35" t="str">
        <f t="array" ref="J35">IFERROR(INDEX($G$2:$G$2050,_xlfn.AGGREGATE(15,6,(ROW($G$2:$G$2050)-ROW($G$2)+1)/($G$2:$G$2050&lt;&gt;""),ROWS(J$1:J35))),"")</f>
        <v>R 4595-1 PINE CREST DR</v>
      </c>
      <c r="K35">
        <f>IF(J35="","",INDEX('Assignment Tool'!E51:E2084,MATCH(FA_DATA!J35,'Assignment Tool'!D51:D2084,0)))</f>
        <v>4</v>
      </c>
    </row>
    <row r="36" spans="1:11" x14ac:dyDescent="0.3">
      <c r="A36" s="118" t="str">
        <f t="shared" si="0"/>
        <v>F 127-1 CRESTWOOD DR</v>
      </c>
      <c r="G36" t="str">
        <f>IF('Assignment Tool'!C36="","",IF('Assignment Tool'!C36="FST",'Assignment Tool'!D36,""))</f>
        <v/>
      </c>
      <c r="H36">
        <v>36</v>
      </c>
      <c r="I36">
        <f t="shared" si="1"/>
        <v>141</v>
      </c>
      <c r="J36" t="str">
        <f t="array" ref="J36">IFERROR(INDEX($G$2:$G$2050,_xlfn.AGGREGATE(15,6,(ROW($G$2:$G$2050)-ROW($G$2)+1)/($G$2:$G$2050&lt;&gt;""),ROWS(J$1:J36))),"")</f>
        <v>R 1193-1 ASPEN DR</v>
      </c>
      <c r="K36">
        <f>IF(J36="","",INDEX('Assignment Tool'!E52:E2085,MATCH(FA_DATA!J36,'Assignment Tool'!D52:D2085,0)))</f>
        <v>4</v>
      </c>
    </row>
    <row r="37" spans="1:11" x14ac:dyDescent="0.3">
      <c r="A37" s="118" t="str">
        <f t="shared" si="0"/>
        <v>F 1-1 CRESTWOOD DR</v>
      </c>
      <c r="G37" t="str">
        <f>IF('Assignment Tool'!C37="","",IF('Assignment Tool'!C37="FST",'Assignment Tool'!D37,""))</f>
        <v/>
      </c>
      <c r="H37">
        <v>37</v>
      </c>
      <c r="I37">
        <f t="shared" si="1"/>
        <v>145</v>
      </c>
      <c r="J37" t="str">
        <f t="array" ref="J37">IFERROR(INDEX($G$2:$G$2050,_xlfn.AGGREGATE(15,6,(ROW($G$2:$G$2050)-ROW($G$2)+1)/($G$2:$G$2050&lt;&gt;""),ROWS(J$1:J37))),"")</f>
        <v>R 1192-1 ASPEN DR</v>
      </c>
      <c r="K37">
        <f>IF(J37="","",INDEX('Assignment Tool'!E53:E2086,MATCH(FA_DATA!J37,'Assignment Tool'!D53:D2086,0)))</f>
        <v>4</v>
      </c>
    </row>
    <row r="38" spans="1:11" x14ac:dyDescent="0.3">
      <c r="A38" s="118" t="str">
        <f t="shared" si="0"/>
        <v>F 1-1 CRESTWOOD DR</v>
      </c>
      <c r="G38" t="str">
        <f>IF('Assignment Tool'!C38="","",IF('Assignment Tool'!C38="FST",'Assignment Tool'!D38,""))</f>
        <v/>
      </c>
      <c r="H38">
        <v>38</v>
      </c>
      <c r="I38">
        <f t="shared" si="1"/>
        <v>149</v>
      </c>
      <c r="J38" t="str">
        <f t="array" ref="J38">IFERROR(INDEX($G$2:$G$2050,_xlfn.AGGREGATE(15,6,(ROW($G$2:$G$2050)-ROW($G$2)+1)/($G$2:$G$2050&lt;&gt;""),ROWS(J$1:J38))),"")</f>
        <v>R 1190-1 OAK DR</v>
      </c>
      <c r="K38">
        <f>IF(J38="","",INDEX('Assignment Tool'!E54:E2087,MATCH(FA_DATA!J38,'Assignment Tool'!D54:D2087,0)))</f>
        <v>4</v>
      </c>
    </row>
    <row r="39" spans="1:11" x14ac:dyDescent="0.3">
      <c r="A39" s="118" t="str">
        <f t="shared" si="0"/>
        <v>F 1-1 CRESTWOOD DR</v>
      </c>
      <c r="G39" t="str">
        <f>IF('Assignment Tool'!C39="","",IF('Assignment Tool'!C39="FST",'Assignment Tool'!D39,""))</f>
        <v/>
      </c>
      <c r="H39">
        <v>39</v>
      </c>
      <c r="I39">
        <f t="shared" si="1"/>
        <v>153</v>
      </c>
      <c r="J39" t="str">
        <f t="array" ref="J39">IFERROR(INDEX($G$2:$G$2050,_xlfn.AGGREGATE(15,6,(ROW($G$2:$G$2050)-ROW($G$2)+1)/($G$2:$G$2050&lt;&gt;""),ROWS(J$1:J39))),"")</f>
        <v>R 1195-1 BIRCH DR</v>
      </c>
      <c r="K39">
        <f>IF(J39="","",INDEX('Assignment Tool'!E55:E2088,MATCH(FA_DATA!J39,'Assignment Tool'!D55:D2088,0)))</f>
        <v>4</v>
      </c>
    </row>
    <row r="40" spans="1:11" x14ac:dyDescent="0.3">
      <c r="A40" s="118" t="str">
        <f t="shared" si="0"/>
        <v>F 1-1 CRESTWOOD DR</v>
      </c>
      <c r="G40" t="str">
        <f>IF('Assignment Tool'!C40="","",IF('Assignment Tool'!C40="FST",'Assignment Tool'!D40,""))</f>
        <v/>
      </c>
      <c r="H40">
        <v>40</v>
      </c>
      <c r="I40">
        <f t="shared" si="1"/>
        <v>157</v>
      </c>
      <c r="J40" t="str">
        <f t="array" ref="J40">IFERROR(INDEX($G$2:$G$2050,_xlfn.AGGREGATE(15,6,(ROW($G$2:$G$2050)-ROW($G$2)+1)/($G$2:$G$2050&lt;&gt;""),ROWS(J$1:J40))),"")</f>
        <v>R 1194-1 BIRCH DR</v>
      </c>
      <c r="K40">
        <f>IF(J40="","",INDEX('Assignment Tool'!E56:E2089,MATCH(FA_DATA!J40,'Assignment Tool'!D56:D2089,0)))</f>
        <v>4</v>
      </c>
    </row>
    <row r="41" spans="1:11" x14ac:dyDescent="0.3">
      <c r="A41" s="118" t="str">
        <f t="shared" si="0"/>
        <v>F 110-1 WOODCREST DR</v>
      </c>
      <c r="G41" t="str">
        <f>IF('Assignment Tool'!C41="","",IF('Assignment Tool'!C41="FST",'Assignment Tool'!D41,""))</f>
        <v/>
      </c>
      <c r="H41">
        <v>41</v>
      </c>
      <c r="I41">
        <f t="shared" si="1"/>
        <v>161</v>
      </c>
      <c r="J41" t="str">
        <f t="array" ref="J41">IFERROR(INDEX($G$2:$G$2050,_xlfn.AGGREGATE(15,6,(ROW($G$2:$G$2050)-ROW($G$2)+1)/($G$2:$G$2050&lt;&gt;""),ROWS(J$1:J41))),"")</f>
        <v>R 4518-1 PINE CREST DR</v>
      </c>
      <c r="K41">
        <f>IF(J41="","",INDEX('Assignment Tool'!E57:E2090,MATCH(FA_DATA!J41,'Assignment Tool'!D57:D2090,0)))</f>
        <v>4</v>
      </c>
    </row>
    <row r="42" spans="1:11" x14ac:dyDescent="0.3">
      <c r="A42" s="118" t="str">
        <f t="shared" si="0"/>
        <v>F 110-1 WOODCREST DR</v>
      </c>
      <c r="G42" t="str">
        <f>IF('Assignment Tool'!C42="","",IF('Assignment Tool'!C42="FST",'Assignment Tool'!D42,""))</f>
        <v/>
      </c>
      <c r="H42">
        <v>42</v>
      </c>
      <c r="I42">
        <f t="shared" si="1"/>
        <v>165</v>
      </c>
      <c r="J42" t="str">
        <f t="array" ref="J42">IFERROR(INDEX($G$2:$G$2050,_xlfn.AGGREGATE(15,6,(ROW($G$2:$G$2050)-ROW($G$2)+1)/($G$2:$G$2050&lt;&gt;""),ROWS(J$1:J42))),"")</f>
        <v>R 702-1 CINDY LN</v>
      </c>
      <c r="K42">
        <f>IF(J42="","",INDEX('Assignment Tool'!E58:E2091,MATCH(FA_DATA!J42,'Assignment Tool'!D58:D2091,0)))</f>
        <v>4</v>
      </c>
    </row>
    <row r="43" spans="1:11" x14ac:dyDescent="0.3">
      <c r="A43" s="118" t="str">
        <f t="shared" si="0"/>
        <v>F 110-1 WOODCREST DR</v>
      </c>
      <c r="G43" t="str">
        <f>IF('Assignment Tool'!C43="","",IF('Assignment Tool'!C43="FST",'Assignment Tool'!D43,""))</f>
        <v/>
      </c>
      <c r="H43">
        <v>43</v>
      </c>
      <c r="I43">
        <f t="shared" si="1"/>
        <v>169</v>
      </c>
      <c r="J43" t="str">
        <f t="array" ref="J43">IFERROR(INDEX($G$2:$G$2050,_xlfn.AGGREGATE(15,6,(ROW($G$2:$G$2050)-ROW($G$2)+1)/($G$2:$G$2050&lt;&gt;""),ROWS(J$1:J43))),"")</f>
        <v>R 706-1 CINDY LN</v>
      </c>
      <c r="K43">
        <f>IF(J43="","",INDEX('Assignment Tool'!E59:E2092,MATCH(FA_DATA!J43,'Assignment Tool'!D59:D2092,0)))</f>
        <v>4</v>
      </c>
    </row>
    <row r="44" spans="1:11" x14ac:dyDescent="0.3">
      <c r="A44" s="118" t="str">
        <f t="shared" si="0"/>
        <v>F 110-1 WOODCREST DR</v>
      </c>
      <c r="G44" t="str">
        <f>IF('Assignment Tool'!C44="","",IF('Assignment Tool'!C44="FST",'Assignment Tool'!D44,""))</f>
        <v/>
      </c>
      <c r="H44">
        <v>44</v>
      </c>
      <c r="I44">
        <f t="shared" si="1"/>
        <v>173</v>
      </c>
      <c r="J44" t="str">
        <f t="array" ref="J44">IFERROR(INDEX($G$2:$G$2050,_xlfn.AGGREGATE(15,6,(ROW($G$2:$G$2050)-ROW($G$2)+1)/($G$2:$G$2050&lt;&gt;""),ROWS(J$1:J44))),"")</f>
        <v>R 714-1 CINDY LN</v>
      </c>
      <c r="K44">
        <f>IF(J44="","",INDEX('Assignment Tool'!E60:E2093,MATCH(FA_DATA!J44,'Assignment Tool'!D60:D2093,0)))</f>
        <v>4</v>
      </c>
    </row>
    <row r="45" spans="1:11" x14ac:dyDescent="0.3">
      <c r="A45" s="118" t="str">
        <f t="shared" si="0"/>
        <v>F 106-1 WOODCREST DR</v>
      </c>
      <c r="G45" t="str">
        <f>IF('Assignment Tool'!C45="","",IF('Assignment Tool'!C45="FST",'Assignment Tool'!D45,""))</f>
        <v/>
      </c>
      <c r="H45">
        <v>45</v>
      </c>
      <c r="I45">
        <f t="shared" si="1"/>
        <v>177</v>
      </c>
      <c r="J45" t="str">
        <f t="array" ref="J45">IFERROR(INDEX($G$2:$G$2050,_xlfn.AGGREGATE(15,6,(ROW($G$2:$G$2050)-ROW($G$2)+1)/($G$2:$G$2050&lt;&gt;""),ROWS(J$1:J45))),"")</f>
        <v>R 722-1 CINDY LN</v>
      </c>
      <c r="K45">
        <f>IF(J45="","",INDEX('Assignment Tool'!E61:E2094,MATCH(FA_DATA!J45,'Assignment Tool'!D61:D2094,0)))</f>
        <v>4</v>
      </c>
    </row>
    <row r="46" spans="1:11" x14ac:dyDescent="0.3">
      <c r="A46" s="118" t="str">
        <f t="shared" si="0"/>
        <v>F 106-1 WOODCREST DR</v>
      </c>
      <c r="G46" t="str">
        <f>IF('Assignment Tool'!C46="","",IF('Assignment Tool'!C46="FST",'Assignment Tool'!D46,""))</f>
        <v/>
      </c>
      <c r="H46">
        <v>46</v>
      </c>
      <c r="I46">
        <f t="shared" si="1"/>
        <v>181</v>
      </c>
      <c r="J46" t="str">
        <f t="array" ref="J46">IFERROR(INDEX($G$2:$G$2050,_xlfn.AGGREGATE(15,6,(ROW($G$2:$G$2050)-ROW($G$2)+1)/($G$2:$G$2050&lt;&gt;""),ROWS(J$1:J46))),"")</f>
        <v>R 730-1 CINDY LN</v>
      </c>
      <c r="K46">
        <f>IF(J46="","",INDEX('Assignment Tool'!E62:E2095,MATCH(FA_DATA!J46,'Assignment Tool'!D62:D2095,0)))</f>
        <v>4</v>
      </c>
    </row>
    <row r="47" spans="1:11" x14ac:dyDescent="0.3">
      <c r="A47" s="118" t="str">
        <f t="shared" si="0"/>
        <v>F 106-1 WOODCREST DR</v>
      </c>
      <c r="G47" t="str">
        <f>IF('Assignment Tool'!C47="","",IF('Assignment Tool'!C47="FST",'Assignment Tool'!D47,""))</f>
        <v/>
      </c>
      <c r="H47">
        <v>47</v>
      </c>
      <c r="I47">
        <f t="shared" si="1"/>
        <v>185</v>
      </c>
      <c r="J47" t="str">
        <f t="array" ref="J47">IFERROR(INDEX($G$2:$G$2050,_xlfn.AGGREGATE(15,6,(ROW($G$2:$G$2050)-ROW($G$2)+1)/($G$2:$G$2050&lt;&gt;""),ROWS(J$1:J47))),"")</f>
        <v>R 738-1 CINDY LN</v>
      </c>
      <c r="K47">
        <f>IF(J47="","",INDEX('Assignment Tool'!E63:E2096,MATCH(FA_DATA!J47,'Assignment Tool'!D63:D2096,0)))</f>
        <v>4</v>
      </c>
    </row>
    <row r="48" spans="1:11" x14ac:dyDescent="0.3">
      <c r="A48" s="118" t="str">
        <f t="shared" si="0"/>
        <v>F 106-1 WOODCREST DR</v>
      </c>
      <c r="G48" t="str">
        <f>IF('Assignment Tool'!C48="","",IF('Assignment Tool'!C48="FST",'Assignment Tool'!D48,""))</f>
        <v/>
      </c>
      <c r="H48">
        <v>48</v>
      </c>
      <c r="I48">
        <f t="shared" si="1"/>
        <v>189</v>
      </c>
      <c r="J48" t="str">
        <f t="array" ref="J48">IFERROR(INDEX($G$2:$G$2050,_xlfn.AGGREGATE(15,6,(ROW($G$2:$G$2050)-ROW($G$2)+1)/($G$2:$G$2050&lt;&gt;""),ROWS(J$1:J48))),"")</f>
        <v>R 744-1 WOODLAND CIR</v>
      </c>
      <c r="K48">
        <f>IF(J48="","",INDEX('Assignment Tool'!E64:E2097,MATCH(FA_DATA!J48,'Assignment Tool'!D64:D2097,0)))</f>
        <v>4</v>
      </c>
    </row>
    <row r="49" spans="1:11" x14ac:dyDescent="0.3">
      <c r="A49" s="118" t="str">
        <f t="shared" si="0"/>
        <v>F 114-1 WOODCREST DR</v>
      </c>
      <c r="G49" t="str">
        <f>IF('Assignment Tool'!C49="","",IF('Assignment Tool'!C49="FST",'Assignment Tool'!D49,""))</f>
        <v/>
      </c>
      <c r="H49">
        <v>49</v>
      </c>
      <c r="I49">
        <f t="shared" si="1"/>
        <v>193</v>
      </c>
      <c r="J49" t="str">
        <f t="array" ref="J49">IFERROR(INDEX($G$2:$G$2050,_xlfn.AGGREGATE(15,6,(ROW($G$2:$G$2050)-ROW($G$2)+1)/($G$2:$G$2050&lt;&gt;""),ROWS(J$1:J49))),"")</f>
        <v>R 750-1 WOODLAND CIR</v>
      </c>
      <c r="K49">
        <f>IF(J49="","",INDEX('Assignment Tool'!E65:E2098,MATCH(FA_DATA!J49,'Assignment Tool'!D65:D2098,0)))</f>
        <v>4</v>
      </c>
    </row>
    <row r="50" spans="1:11" x14ac:dyDescent="0.3">
      <c r="A50" s="118" t="str">
        <f t="shared" si="0"/>
        <v>F 114-1 WOODCREST DR</v>
      </c>
      <c r="G50" t="str">
        <f>IF('Assignment Tool'!C50="","",IF('Assignment Tool'!C50="FST",'Assignment Tool'!D50,""))</f>
        <v/>
      </c>
      <c r="H50">
        <v>50</v>
      </c>
      <c r="I50">
        <f t="shared" si="1"/>
        <v>197</v>
      </c>
      <c r="J50" t="str">
        <f t="array" ref="J50">IFERROR(INDEX($G$2:$G$2050,_xlfn.AGGREGATE(15,6,(ROW($G$2:$G$2050)-ROW($G$2)+1)/($G$2:$G$2050&lt;&gt;""),ROWS(J$1:J50))),"")</f>
        <v>OPP 991-1 WAFER RD</v>
      </c>
      <c r="K50">
        <f>IF(J50="","",INDEX('Assignment Tool'!E66:E2099,MATCH(FA_DATA!J50,'Assignment Tool'!D66:D2099,0)))</f>
        <v>4</v>
      </c>
    </row>
    <row r="51" spans="1:11" x14ac:dyDescent="0.3">
      <c r="A51" s="118" t="str">
        <f t="shared" si="0"/>
        <v>F 114-1 WOODCREST DR</v>
      </c>
      <c r="G51" t="str">
        <f>IF('Assignment Tool'!C51="","",IF('Assignment Tool'!C51="FST",'Assignment Tool'!D51,""))</f>
        <v/>
      </c>
      <c r="H51">
        <v>51</v>
      </c>
      <c r="I51">
        <f t="shared" si="1"/>
        <v>201</v>
      </c>
      <c r="J51" t="str">
        <f t="array" ref="J51">IFERROR(INDEX($G$2:$G$2050,_xlfn.AGGREGATE(15,6,(ROW($G$2:$G$2050)-ROW($G$2)+1)/($G$2:$G$2050&lt;&gt;""),ROWS(J$1:J51))),"")</f>
        <v>R 703-1 CINDY LN</v>
      </c>
      <c r="K51">
        <f>IF(J51="","",INDEX('Assignment Tool'!E67:E2100,MATCH(FA_DATA!J51,'Assignment Tool'!D67:D2100,0)))</f>
        <v>4</v>
      </c>
    </row>
    <row r="52" spans="1:11" x14ac:dyDescent="0.3">
      <c r="A52" s="118" t="str">
        <f t="shared" si="0"/>
        <v>F 114-1 WOODCREST DR</v>
      </c>
      <c r="G52" t="str">
        <f>IF('Assignment Tool'!C52="","",IF('Assignment Tool'!C52="FST",'Assignment Tool'!D52,""))</f>
        <v/>
      </c>
      <c r="H52">
        <v>52</v>
      </c>
      <c r="I52">
        <f t="shared" si="1"/>
        <v>205</v>
      </c>
      <c r="J52" t="str">
        <f t="array" ref="J52">IFERROR(INDEX($G$2:$G$2050,_xlfn.AGGREGATE(15,6,(ROW($G$2:$G$2050)-ROW($G$2)+1)/($G$2:$G$2050&lt;&gt;""),ROWS(J$1:J52))),"")</f>
        <v>R 705-1 CINDY LN</v>
      </c>
      <c r="K52">
        <f>IF(J52="","",INDEX('Assignment Tool'!E68:E2101,MATCH(FA_DATA!J52,'Assignment Tool'!D68:D2101,0)))</f>
        <v>4</v>
      </c>
    </row>
    <row r="53" spans="1:11" x14ac:dyDescent="0.3">
      <c r="A53" s="118" t="str">
        <f t="shared" si="0"/>
        <v>F 120-1 WOODCREST DR</v>
      </c>
      <c r="G53" t="str">
        <f>IF('Assignment Tool'!C53="","",IF('Assignment Tool'!C53="FST",'Assignment Tool'!D53,""))</f>
        <v/>
      </c>
      <c r="H53">
        <v>53</v>
      </c>
      <c r="I53">
        <f t="shared" si="1"/>
        <v>209</v>
      </c>
      <c r="J53" t="str">
        <f t="array" ref="J53">IFERROR(INDEX($G$2:$G$2050,_xlfn.AGGREGATE(15,6,(ROW($G$2:$G$2050)-ROW($G$2)+1)/($G$2:$G$2050&lt;&gt;""),ROWS(J$1:J53))),"")</f>
        <v>R 709-1 CINDY LN</v>
      </c>
      <c r="K53">
        <f>IF(J53="","",INDEX('Assignment Tool'!E69:E2102,MATCH(FA_DATA!J53,'Assignment Tool'!D69:D2102,0)))</f>
        <v>4</v>
      </c>
    </row>
    <row r="54" spans="1:11" x14ac:dyDescent="0.3">
      <c r="A54" s="118" t="str">
        <f t="shared" si="0"/>
        <v>F 120-1 WOODCREST DR</v>
      </c>
      <c r="G54" t="str">
        <f>IF('Assignment Tool'!C54="","",IF('Assignment Tool'!C54="FST",'Assignment Tool'!D54,""))</f>
        <v/>
      </c>
      <c r="H54">
        <v>54</v>
      </c>
      <c r="I54">
        <f t="shared" si="1"/>
        <v>213</v>
      </c>
      <c r="J54" t="str">
        <f t="array" ref="J54">IFERROR(INDEX($G$2:$G$2050,_xlfn.AGGREGATE(15,6,(ROW($G$2:$G$2050)-ROW($G$2)+1)/($G$2:$G$2050&lt;&gt;""),ROWS(J$1:J54))),"")</f>
        <v>R 713-1 CINDY LN</v>
      </c>
      <c r="K54">
        <f>IF(J54="","",INDEX('Assignment Tool'!E70:E2103,MATCH(FA_DATA!J54,'Assignment Tool'!D70:D2103,0)))</f>
        <v>4</v>
      </c>
    </row>
    <row r="55" spans="1:11" x14ac:dyDescent="0.3">
      <c r="A55" s="118" t="str">
        <f t="shared" si="0"/>
        <v>F 120-1 WOODCREST DR</v>
      </c>
      <c r="G55" t="str">
        <f>IF('Assignment Tool'!C55="","",IF('Assignment Tool'!C55="FST",'Assignment Tool'!D55,""))</f>
        <v/>
      </c>
      <c r="H55">
        <v>55</v>
      </c>
      <c r="I55">
        <f t="shared" si="1"/>
        <v>217</v>
      </c>
      <c r="J55" t="str">
        <f t="array" ref="J55">IFERROR(INDEX($G$2:$G$2050,_xlfn.AGGREGATE(15,6,(ROW($G$2:$G$2050)-ROW($G$2)+1)/($G$2:$G$2050&lt;&gt;""),ROWS(J$1:J55))),"")</f>
        <v>R 717-1 CINDY LN</v>
      </c>
      <c r="K55">
        <f>IF(J55="","",INDEX('Assignment Tool'!E71:E2104,MATCH(FA_DATA!J55,'Assignment Tool'!D71:D2104,0)))</f>
        <v>4</v>
      </c>
    </row>
    <row r="56" spans="1:11" x14ac:dyDescent="0.3">
      <c r="A56" s="118" t="str">
        <f t="shared" si="0"/>
        <v>F 120-1 WOODCREST DR</v>
      </c>
      <c r="G56" t="str">
        <f>IF('Assignment Tool'!C56="","",IF('Assignment Tool'!C56="FST",'Assignment Tool'!D56,""))</f>
        <v/>
      </c>
      <c r="H56">
        <v>56</v>
      </c>
      <c r="I56">
        <f t="shared" si="1"/>
        <v>221</v>
      </c>
      <c r="J56" t="str">
        <f t="array" ref="J56">IFERROR(INDEX($G$2:$G$2050,_xlfn.AGGREGATE(15,6,(ROW($G$2:$G$2050)-ROW($G$2)+1)/($G$2:$G$2050&lt;&gt;""),ROWS(J$1:J56))),"")</f>
        <v>R 721-1 CINDY LN</v>
      </c>
      <c r="K56">
        <f>IF(J56="","",INDEX('Assignment Tool'!E72:E2105,MATCH(FA_DATA!J56,'Assignment Tool'!D72:D2105,0)))</f>
        <v>4</v>
      </c>
    </row>
    <row r="57" spans="1:11" x14ac:dyDescent="0.3">
      <c r="A57" s="118" t="str">
        <f t="shared" si="0"/>
        <v>F 100-1 ARDIS DR</v>
      </c>
      <c r="G57" t="str">
        <f>IF('Assignment Tool'!C57="","",IF('Assignment Tool'!C57="FST",'Assignment Tool'!D57,""))</f>
        <v/>
      </c>
      <c r="H57">
        <v>57</v>
      </c>
      <c r="I57">
        <f t="shared" si="1"/>
        <v>225</v>
      </c>
      <c r="J57" t="str">
        <f t="array" ref="J57">IFERROR(INDEX($G$2:$G$2050,_xlfn.AGGREGATE(15,6,(ROW($G$2:$G$2050)-ROW($G$2)+1)/($G$2:$G$2050&lt;&gt;""),ROWS(J$1:J57))),"")</f>
        <v>R 725-1 CINDY LN</v>
      </c>
      <c r="K57">
        <f>IF(J57="","",INDEX('Assignment Tool'!E73:E2106,MATCH(FA_DATA!J57,'Assignment Tool'!D73:D2106,0)))</f>
        <v>4</v>
      </c>
    </row>
    <row r="58" spans="1:11" x14ac:dyDescent="0.3">
      <c r="A58" s="118" t="str">
        <f t="shared" si="0"/>
        <v>F 100-1 ARDIS DR</v>
      </c>
      <c r="G58" t="str">
        <f>IF('Assignment Tool'!C58="","",IF('Assignment Tool'!C58="FST",'Assignment Tool'!D58,""))</f>
        <v/>
      </c>
      <c r="H58">
        <v>58</v>
      </c>
      <c r="I58">
        <f t="shared" si="1"/>
        <v>229</v>
      </c>
      <c r="J58" t="str">
        <f t="array" ref="J58">IFERROR(INDEX($G$2:$G$2050,_xlfn.AGGREGATE(15,6,(ROW($G$2:$G$2050)-ROW($G$2)+1)/($G$2:$G$2050&lt;&gt;""),ROWS(J$1:J58))),"")</f>
        <v>R 729-1 CINDY LN</v>
      </c>
      <c r="K58">
        <f>IF(J58="","",INDEX('Assignment Tool'!E74:E2107,MATCH(FA_DATA!J58,'Assignment Tool'!D74:D2107,0)))</f>
        <v>4</v>
      </c>
    </row>
    <row r="59" spans="1:11" x14ac:dyDescent="0.3">
      <c r="A59" s="118" t="str">
        <f t="shared" si="0"/>
        <v>F 100-1 ARDIS DR</v>
      </c>
      <c r="G59" t="str">
        <f>IF('Assignment Tool'!C59="","",IF('Assignment Tool'!C59="FST",'Assignment Tool'!D59,""))</f>
        <v/>
      </c>
      <c r="H59">
        <v>59</v>
      </c>
      <c r="I59">
        <f t="shared" si="1"/>
        <v>233</v>
      </c>
      <c r="J59" t="str">
        <f t="array" ref="J59">IFERROR(INDEX($G$2:$G$2050,_xlfn.AGGREGATE(15,6,(ROW($G$2:$G$2050)-ROW($G$2)+1)/($G$2:$G$2050&lt;&gt;""),ROWS(J$1:J59))),"")</f>
        <v>OPP 981-1 WAFER RD</v>
      </c>
      <c r="K59">
        <f>IF(J59="","",INDEX('Assignment Tool'!E75:E2108,MATCH(FA_DATA!J59,'Assignment Tool'!D75:D2108,0)))</f>
        <v>4</v>
      </c>
    </row>
    <row r="60" spans="1:11" x14ac:dyDescent="0.3">
      <c r="A60" s="118" t="str">
        <f t="shared" si="0"/>
        <v>F 100-1 ARDIS DR</v>
      </c>
      <c r="G60" t="str">
        <f>IF('Assignment Tool'!C60="","",IF('Assignment Tool'!C60="FST",'Assignment Tool'!D60,""))</f>
        <v/>
      </c>
      <c r="H60">
        <v>60</v>
      </c>
      <c r="I60">
        <f t="shared" si="1"/>
        <v>237</v>
      </c>
      <c r="J60" t="str">
        <f t="array" ref="J60">IFERROR(INDEX($G$2:$G$2050,_xlfn.AGGREGATE(15,6,(ROW($G$2:$G$2050)-ROW($G$2)+1)/($G$2:$G$2050&lt;&gt;""),ROWS(J$1:J60))),"")</f>
        <v>R 792-1 RANDY LN</v>
      </c>
      <c r="K60">
        <f>IF(J60="","",INDEX('Assignment Tool'!E76:E2109,MATCH(FA_DATA!J60,'Assignment Tool'!D76:D2109,0)))</f>
        <v>4</v>
      </c>
    </row>
    <row r="61" spans="1:11" x14ac:dyDescent="0.3">
      <c r="A61" s="118" t="str">
        <f t="shared" si="0"/>
        <v>F 106-1 ARDIS DR</v>
      </c>
      <c r="G61" t="str">
        <f>IF('Assignment Tool'!C61="","",IF('Assignment Tool'!C61="FST",'Assignment Tool'!D61,""))</f>
        <v/>
      </c>
      <c r="H61">
        <v>61</v>
      </c>
      <c r="I61">
        <f t="shared" si="1"/>
        <v>241</v>
      </c>
      <c r="J61" t="str">
        <f t="array" ref="J61">IFERROR(INDEX($G$2:$G$2050,_xlfn.AGGREGATE(15,6,(ROW($G$2:$G$2050)-ROW($G$2)+1)/($G$2:$G$2050&lt;&gt;""),ROWS(J$1:J61))),"")</f>
        <v>R 784-1 RANDY LN</v>
      </c>
      <c r="K61">
        <f>IF(J61="","",INDEX('Assignment Tool'!E77:E2110,MATCH(FA_DATA!J61,'Assignment Tool'!D77:D2110,0)))</f>
        <v>4</v>
      </c>
    </row>
    <row r="62" spans="1:11" x14ac:dyDescent="0.3">
      <c r="A62" s="118" t="str">
        <f t="shared" si="0"/>
        <v>F 106-1 ARDIS DR</v>
      </c>
      <c r="G62" t="str">
        <f>IF('Assignment Tool'!C62="","",IF('Assignment Tool'!C62="FST",'Assignment Tool'!D62,""))</f>
        <v/>
      </c>
      <c r="H62">
        <v>62</v>
      </c>
      <c r="I62">
        <f t="shared" si="1"/>
        <v>245</v>
      </c>
      <c r="J62" t="str">
        <f t="array" ref="J62">IFERROR(INDEX($G$2:$G$2050,_xlfn.AGGREGATE(15,6,(ROW($G$2:$G$2050)-ROW($G$2)+1)/($G$2:$G$2050&lt;&gt;""),ROWS(J$1:J62))),"")</f>
        <v>R 776-1 RANDY LN</v>
      </c>
      <c r="K62">
        <f>IF(J62="","",INDEX('Assignment Tool'!E78:E2111,MATCH(FA_DATA!J62,'Assignment Tool'!D78:D2111,0)))</f>
        <v>4</v>
      </c>
    </row>
    <row r="63" spans="1:11" x14ac:dyDescent="0.3">
      <c r="A63" s="118" t="str">
        <f t="shared" si="0"/>
        <v>F 106-1 ARDIS DR</v>
      </c>
      <c r="G63" t="str">
        <f>IF('Assignment Tool'!C63="","",IF('Assignment Tool'!C63="FST",'Assignment Tool'!D63,""))</f>
        <v/>
      </c>
      <c r="H63">
        <v>63</v>
      </c>
      <c r="I63">
        <f t="shared" si="1"/>
        <v>249</v>
      </c>
      <c r="J63" t="str">
        <f t="array" ref="J63">IFERROR(INDEX($G$2:$G$2050,_xlfn.AGGREGATE(15,6,(ROW($G$2:$G$2050)-ROW($G$2)+1)/($G$2:$G$2050&lt;&gt;""),ROWS(J$1:J63))),"")</f>
        <v>R 768-1 RANDY LN</v>
      </c>
      <c r="K63">
        <f>IF(J63="","",INDEX('Assignment Tool'!E79:E2112,MATCH(FA_DATA!J63,'Assignment Tool'!D79:D2112,0)))</f>
        <v>4</v>
      </c>
    </row>
    <row r="64" spans="1:11" x14ac:dyDescent="0.3">
      <c r="A64" s="118" t="str">
        <f t="shared" si="0"/>
        <v>F 106-1 ARDIS DR</v>
      </c>
      <c r="G64" t="str">
        <f>IF('Assignment Tool'!C64="","",IF('Assignment Tool'!C64="FST",'Assignment Tool'!D64,""))</f>
        <v/>
      </c>
      <c r="H64">
        <v>64</v>
      </c>
      <c r="I64">
        <f t="shared" si="1"/>
        <v>253</v>
      </c>
      <c r="J64" t="str">
        <f t="array" ref="J64">IFERROR(INDEX($G$2:$G$2050,_xlfn.AGGREGATE(15,6,(ROW($G$2:$G$2050)-ROW($G$2)+1)/($G$2:$G$2050&lt;&gt;""),ROWS(J$1:J64))),"")</f>
        <v>R 760-1 RANDY LN</v>
      </c>
      <c r="K64">
        <f>IF(J64="","",INDEX('Assignment Tool'!E80:E2113,MATCH(FA_DATA!J64,'Assignment Tool'!D80:D2113,0)))</f>
        <v>4</v>
      </c>
    </row>
    <row r="65" spans="1:11" x14ac:dyDescent="0.3">
      <c r="A65" s="118" t="str">
        <f t="shared" si="0"/>
        <v>F 153-1 CRANDON CIR</v>
      </c>
      <c r="G65" t="str">
        <f>IF('Assignment Tool'!C65="","",IF('Assignment Tool'!C65="FST",'Assignment Tool'!D65,""))</f>
        <v/>
      </c>
      <c r="H65">
        <v>65</v>
      </c>
      <c r="I65">
        <f t="shared" si="1"/>
        <v>257</v>
      </c>
      <c r="J65" t="str">
        <f t="array" ref="J65">IFERROR(INDEX($G$2:$G$2050,_xlfn.AGGREGATE(15,6,(ROW($G$2:$G$2050)-ROW($G$2)+1)/($G$2:$G$2050&lt;&gt;""),ROWS(J$1:J65))),"")</f>
        <v>OPP 969-1 WAFER RD</v>
      </c>
      <c r="K65">
        <f>IF(J65="","",INDEX('Assignment Tool'!E81:E2114,MATCH(FA_DATA!J65,'Assignment Tool'!D81:D2114,0)))</f>
        <v>4</v>
      </c>
    </row>
    <row r="66" spans="1:11" x14ac:dyDescent="0.3">
      <c r="A66" s="118" t="str">
        <f t="shared" ref="A66:A129" si="2">VLOOKUP(H66,$I$1:$J$1000,2)</f>
        <v>F 153-1 CRANDON CIR</v>
      </c>
      <c r="G66" t="str">
        <f>IF('Assignment Tool'!C66="","",IF('Assignment Tool'!C66="FST",'Assignment Tool'!D66,""))</f>
        <v/>
      </c>
      <c r="H66">
        <v>66</v>
      </c>
      <c r="I66">
        <f t="shared" si="1"/>
        <v>261</v>
      </c>
      <c r="J66" t="str">
        <f t="array" ref="J66">IFERROR(INDEX($G$2:$G$2050,_xlfn.AGGREGATE(15,6,(ROW($G$2:$G$2050)-ROW($G$2)+1)/($G$2:$G$2050&lt;&gt;""),ROWS(J$1:J66))),"")</f>
        <v>OPP 955-1 WAFER RD</v>
      </c>
      <c r="K66">
        <f>IF(J66="","",INDEX('Assignment Tool'!E82:E2115,MATCH(FA_DATA!J66,'Assignment Tool'!D82:D2115,0)))</f>
        <v>4</v>
      </c>
    </row>
    <row r="67" spans="1:11" x14ac:dyDescent="0.3">
      <c r="A67" s="118" t="str">
        <f t="shared" si="2"/>
        <v>F 153-1 CRANDON CIR</v>
      </c>
      <c r="G67" t="str">
        <f>IF('Assignment Tool'!C67="","",IF('Assignment Tool'!C67="FST",'Assignment Tool'!D67,""))</f>
        <v/>
      </c>
      <c r="H67">
        <v>67</v>
      </c>
      <c r="I67">
        <f t="shared" ref="I67:I130" si="3">IFERROR((I66+K66),"")</f>
        <v>265</v>
      </c>
      <c r="J67" t="str">
        <f t="array" ref="J67">IFERROR(INDEX($G$2:$G$2050,_xlfn.AGGREGATE(15,6,(ROW($G$2:$G$2050)-ROW($G$2)+1)/($G$2:$G$2050&lt;&gt;""),ROWS(J$1:J67))),"")</f>
        <v>F 1278-1 WAFER RD</v>
      </c>
      <c r="K67">
        <f>IF(J67="","",INDEX('Assignment Tool'!E83:E2116,MATCH(FA_DATA!J67,'Assignment Tool'!D83:D2116,0)))</f>
        <v>4</v>
      </c>
    </row>
    <row r="68" spans="1:11" x14ac:dyDescent="0.3">
      <c r="A68" s="118" t="str">
        <f t="shared" si="2"/>
        <v>F 153-1 CRANDON CIR</v>
      </c>
      <c r="G68" t="str">
        <f>IF('Assignment Tool'!C68="","",IF('Assignment Tool'!C68="FST",'Assignment Tool'!D68,""))</f>
        <v/>
      </c>
      <c r="H68">
        <v>68</v>
      </c>
      <c r="I68">
        <f t="shared" si="3"/>
        <v>269</v>
      </c>
      <c r="J68" t="str">
        <f t="array" ref="J68">IFERROR(INDEX($G$2:$G$2050,_xlfn.AGGREGATE(15,6,(ROW($G$2:$G$2050)-ROW($G$2)+1)/($G$2:$G$2050&lt;&gt;""),ROWS(J$1:J68))),"")</f>
        <v>F 1284-1 WAFER RD</v>
      </c>
      <c r="K68">
        <f>IF(J68="","",INDEX('Assignment Tool'!E84:E2117,MATCH(FA_DATA!J68,'Assignment Tool'!D84:D2117,0)))</f>
        <v>8</v>
      </c>
    </row>
    <row r="69" spans="1:11" x14ac:dyDescent="0.3">
      <c r="A69" s="118" t="str">
        <f t="shared" si="2"/>
        <v>F 151-1 CRANDON CIR</v>
      </c>
      <c r="G69" t="str">
        <f>IF('Assignment Tool'!C69="","",IF('Assignment Tool'!C69="FST",'Assignment Tool'!D69,""))</f>
        <v/>
      </c>
      <c r="H69">
        <v>69</v>
      </c>
      <c r="I69">
        <f t="shared" si="3"/>
        <v>277</v>
      </c>
      <c r="J69" t="str">
        <f t="array" ref="J69">IFERROR(INDEX($G$2:$G$2050,_xlfn.AGGREGATE(15,6,(ROW($G$2:$G$2050)-ROW($G$2)+1)/($G$2:$G$2050&lt;&gt;""),ROWS(J$1:J69))),"")</f>
        <v>F 112-1 ARDIS DR</v>
      </c>
      <c r="K69">
        <f>IF(J69="","",INDEX('Assignment Tool'!E85:E2118,MATCH(FA_DATA!J69,'Assignment Tool'!D85:D2118,0)))</f>
        <v>4</v>
      </c>
    </row>
    <row r="70" spans="1:11" x14ac:dyDescent="0.3">
      <c r="A70" s="118" t="str">
        <f t="shared" si="2"/>
        <v>F 151-1 CRANDON CIR</v>
      </c>
      <c r="G70" t="str">
        <f>IF('Assignment Tool'!C70="","",IF('Assignment Tool'!C70="FST",'Assignment Tool'!D70,""))</f>
        <v/>
      </c>
      <c r="H70">
        <v>70</v>
      </c>
      <c r="I70">
        <f t="shared" si="3"/>
        <v>281</v>
      </c>
      <c r="J70" t="str">
        <f t="array" ref="J70">IFERROR(INDEX($G$2:$G$2050,_xlfn.AGGREGATE(15,6,(ROW($G$2:$G$2050)-ROW($G$2)+1)/($G$2:$G$2050&lt;&gt;""),ROWS(J$1:J70))),"")</f>
        <v>F 120-1 ARDIS DR</v>
      </c>
      <c r="K70">
        <f>IF(J70="","",INDEX('Assignment Tool'!E86:E2119,MATCH(FA_DATA!J70,'Assignment Tool'!D86:D2119,0)))</f>
        <v>4</v>
      </c>
    </row>
    <row r="71" spans="1:11" x14ac:dyDescent="0.3">
      <c r="A71" s="118" t="str">
        <f t="shared" si="2"/>
        <v>F 151-1 CRANDON CIR</v>
      </c>
      <c r="G71" t="str">
        <f>IF('Assignment Tool'!C71="","",IF('Assignment Tool'!C71="FST",'Assignment Tool'!D71,""))</f>
        <v/>
      </c>
      <c r="H71">
        <v>71</v>
      </c>
      <c r="I71">
        <f t="shared" si="3"/>
        <v>285</v>
      </c>
      <c r="J71" t="str">
        <f t="array" ref="J71">IFERROR(INDEX($G$2:$G$2050,_xlfn.AGGREGATE(15,6,(ROW($G$2:$G$2050)-ROW($G$2)+1)/($G$2:$G$2050&lt;&gt;""),ROWS(J$1:J71))),"")</f>
        <v>F 124-1 ARDIS DR</v>
      </c>
      <c r="K71">
        <f>IF(J71="","",INDEX('Assignment Tool'!E87:E2120,MATCH(FA_DATA!J71,'Assignment Tool'!D87:D2120,0)))</f>
        <v>4</v>
      </c>
    </row>
    <row r="72" spans="1:11" x14ac:dyDescent="0.3">
      <c r="A72" s="118" t="str">
        <f t="shared" si="2"/>
        <v>F 151-1 CRANDON CIR</v>
      </c>
      <c r="G72" t="str">
        <f>IF('Assignment Tool'!C72="","",IF('Assignment Tool'!C72="FST",'Assignment Tool'!D72,""))</f>
        <v/>
      </c>
      <c r="H72">
        <v>72</v>
      </c>
      <c r="I72">
        <f t="shared" si="3"/>
        <v>289</v>
      </c>
      <c r="J72" t="str">
        <f t="array" ref="J72">IFERROR(INDEX($G$2:$G$2050,_xlfn.AGGREGATE(15,6,(ROW($G$2:$G$2050)-ROW($G$2)+1)/($G$2:$G$2050&lt;&gt;""),ROWS(J$1:J72))),"")</f>
        <v/>
      </c>
      <c r="K72" t="str">
        <f>IF(J72="","",INDEX('Assignment Tool'!E88:E2121,MATCH(FA_DATA!J72,'Assignment Tool'!D88:D2121,0)))</f>
        <v/>
      </c>
    </row>
    <row r="73" spans="1:11" x14ac:dyDescent="0.3">
      <c r="A73" s="118" t="str">
        <f t="shared" si="2"/>
        <v>F 6-1 CRANDON CIR</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3">
      <c r="A74" s="118" t="str">
        <f t="shared" si="2"/>
        <v>F 6-1 CRANDON CIR</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3">
      <c r="A75" s="118" t="str">
        <f t="shared" si="2"/>
        <v>F 6-1 CRANDON CIR</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3">
      <c r="A76" s="118" t="str">
        <f t="shared" si="2"/>
        <v>F 6-1 CRANDON CIR</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3">
      <c r="A77" s="118" t="str">
        <f t="shared" si="2"/>
        <v>F 4-1 CRANDON CIR</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3">
      <c r="A78" s="118" t="str">
        <f t="shared" si="2"/>
        <v>F 4-1 CRANDON CIR</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3">
      <c r="A79" s="118" t="str">
        <f t="shared" si="2"/>
        <v>F 4-1 CRANDON CIR</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3">
      <c r="A80" s="118" t="str">
        <f t="shared" si="2"/>
        <v>F 4-1 CRANDON CIR</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3">
      <c r="A81" s="118" t="str">
        <f t="shared" si="2"/>
        <v>F 2-1 CRANDON CIR</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3">
      <c r="A82" s="118" t="str">
        <f t="shared" si="2"/>
        <v>F 2-1 CRANDON CIR</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3">
      <c r="A83" s="118" t="str">
        <f t="shared" si="2"/>
        <v>F 2-1 CRANDON CIR</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3">
      <c r="A84" s="118" t="str">
        <f t="shared" si="2"/>
        <v>F 2-1 CRANDON CIR</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3">
      <c r="A85" s="118" t="str">
        <f t="shared" si="2"/>
        <v>OPP 1341-1 WAFER RD</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3">
      <c r="A86" s="118" t="str">
        <f t="shared" si="2"/>
        <v>OPP 1341-1 WAFER RD</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3">
      <c r="A87" s="118" t="str">
        <f t="shared" si="2"/>
        <v>OPP 1341-1 WAFER RD</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3">
      <c r="A88" s="118" t="str">
        <f t="shared" si="2"/>
        <v>OPP 1341-1 WAFER RD</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3">
      <c r="A89" s="118" t="str">
        <f t="shared" si="2"/>
        <v>OPP 1347-1 WAFER RD</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3">
      <c r="A90" s="118" t="str">
        <f t="shared" si="2"/>
        <v>OPP 1347-1 WAFER RD</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3">
      <c r="A91" s="118" t="str">
        <f t="shared" si="2"/>
        <v>OPP 1347-1 WAFER RD</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3">
      <c r="A92" s="118" t="str">
        <f t="shared" si="2"/>
        <v>OPP 1347-1 WAFER RD</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3">
      <c r="A93" s="118" t="str">
        <f t="shared" si="2"/>
        <v>OPP 1369-1 WAFER RD</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3">
      <c r="A94" s="118" t="str">
        <f t="shared" si="2"/>
        <v>OPP 1369-1 WAFER RD</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3">
      <c r="A95" s="118" t="str">
        <f t="shared" si="2"/>
        <v>OPP 1369-1 WAFER RD</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3">
      <c r="A96" s="118" t="str">
        <f t="shared" si="2"/>
        <v>OPP 1369-1 WAFER RD</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3">
      <c r="A97" s="118" t="str">
        <f t="shared" si="2"/>
        <v>R 4594-1 PINE CREST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3">
      <c r="A98" s="118" t="str">
        <f t="shared" si="2"/>
        <v>R 4594-1 PINE CREST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3">
      <c r="A99" s="118" t="str">
        <f t="shared" si="2"/>
        <v>R 4594-1 PINE CREST DR</v>
      </c>
      <c r="G99" t="str">
        <f>IF('Assignment Tool'!C99="","",IF('Assignment Tool'!C99="FST",'Assignment Tool'!D99,""))</f>
        <v>F 1230-1 WAFER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3">
      <c r="A100" s="118" t="str">
        <f t="shared" si="2"/>
        <v>R 4594-1 PINE CREST DR</v>
      </c>
      <c r="G100" t="str">
        <f>IF('Assignment Tool'!C100="","",IF('Assignment Tool'!C100="FST",'Assignment Tool'!D100,""))</f>
        <v>F 1246-1 WAFER RD</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3">
      <c r="A101" s="118" t="str">
        <f t="shared" si="2"/>
        <v>R 4586-1 PINE CREST DR</v>
      </c>
      <c r="G101" t="str">
        <f>IF('Assignment Tool'!C101="","",IF('Assignment Tool'!C101="FST",'Assignment Tool'!D101,""))</f>
        <v>F 1260-1 WAFER RD</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3">
      <c r="A102" s="118" t="str">
        <f t="shared" si="2"/>
        <v>R 4586-1 PINE CREST DR</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3">
      <c r="A103" s="118" t="str">
        <f t="shared" si="2"/>
        <v>R 4586-1 PINE CREST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3">
      <c r="A104" s="118" t="str">
        <f t="shared" si="2"/>
        <v>R 4586-1 PINE CREST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3">
      <c r="A105" s="118" t="str">
        <f t="shared" si="2"/>
        <v>R 4578-1 PINE CREST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3">
      <c r="A106" s="118" t="str">
        <f t="shared" si="2"/>
        <v>R 4578-1 PINE CREST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3">
      <c r="A107" s="118" t="str">
        <f t="shared" si="2"/>
        <v>R 4578-1 PINE CREST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3">
      <c r="A108" s="118" t="str">
        <f t="shared" si="2"/>
        <v>R 4578-1 PINE CREST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3">
      <c r="A109" s="118" t="str">
        <f t="shared" si="2"/>
        <v>R 4570-1 PINE CREST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3">
      <c r="A110" s="118" t="str">
        <f t="shared" si="2"/>
        <v>R 4570-1 PINE CREST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3">
      <c r="A111" s="118" t="str">
        <f t="shared" si="2"/>
        <v>R 4570-1 PINE CREST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3">
      <c r="A112" s="118" t="str">
        <f t="shared" si="2"/>
        <v>R 4570-1 PINE CREST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3">
      <c r="A113" s="118" t="str">
        <f t="shared" si="2"/>
        <v>R 4562-1 PINE CREST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3">
      <c r="A114" s="118" t="str">
        <f t="shared" si="2"/>
        <v>R 4562-1 PINE CREST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3">
      <c r="A115" s="118" t="str">
        <f t="shared" si="2"/>
        <v>R 4562-1 PINE CREST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3">
      <c r="A116" s="118" t="str">
        <f t="shared" si="2"/>
        <v>R 4562-1 PINE CREST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3">
      <c r="A117" s="118" t="str">
        <f t="shared" si="2"/>
        <v>R 4554-1 PINE CREST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3">
      <c r="A118" s="118" t="str">
        <f t="shared" si="2"/>
        <v>R 4554-1 PINE CREST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3">
      <c r="A119" s="118" t="str">
        <f t="shared" si="2"/>
        <v>R 4554-1 PINE CREST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3">
      <c r="A120" s="118" t="str">
        <f t="shared" si="2"/>
        <v>R 4554-1 PINE CREST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3">
      <c r="A121" s="118" t="str">
        <f t="shared" si="2"/>
        <v>R 4546-1 PINE CREST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3">
      <c r="A122" s="118" t="str">
        <f t="shared" si="2"/>
        <v>R 4546-1 PINE CREST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3">
      <c r="A123" s="118" t="str">
        <f t="shared" si="2"/>
        <v>R 4546-1 PINE CREST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3">
      <c r="A124" s="118" t="str">
        <f t="shared" si="2"/>
        <v>R 4546-1 PINE CREST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3">
      <c r="A125" s="118" t="str">
        <f t="shared" si="2"/>
        <v>R 4534-1 PINE CREST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3">
      <c r="A126" s="118" t="str">
        <f t="shared" si="2"/>
        <v>R 4534-1 PINE CREST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3">
      <c r="A127" s="118" t="str">
        <f t="shared" si="2"/>
        <v>R 4534-1 PINE CREST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3">
      <c r="A128" s="118" t="str">
        <f t="shared" si="2"/>
        <v>R 4534-1 PINE CREST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3">
      <c r="A129" s="118" t="str">
        <f t="shared" si="2"/>
        <v>F 1190-1 WAFER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3">
      <c r="A130" s="118" t="str">
        <f t="shared" ref="A130:A193" si="4">VLOOKUP(H130,$I$1:$J$1000,2)</f>
        <v>F 1190-1 WAFER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3">
      <c r="A131" s="118" t="str">
        <f t="shared" si="4"/>
        <v>F 1190-1 WAFER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3">
      <c r="A132" s="118" t="str">
        <f t="shared" si="4"/>
        <v>F 1190-1 WAFER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3">
      <c r="A133" s="118" t="str">
        <f t="shared" si="4"/>
        <v>F 1194-1 WAFER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3">
      <c r="A134" s="118" t="str">
        <f t="shared" si="4"/>
        <v>F 1194-1 WAFER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3">
      <c r="A135" s="118" t="str">
        <f t="shared" si="4"/>
        <v>F 1194-1 WAFER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3">
      <c r="A136" s="118" t="str">
        <f t="shared" si="4"/>
        <v>F 1194-1 WAFER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3">
      <c r="A137" s="118" t="str">
        <f t="shared" si="4"/>
        <v>R 4595-1 PINE CREST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3">
      <c r="A138" s="118" t="str">
        <f t="shared" si="4"/>
        <v>R 4595-1 PINE CREST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3">
      <c r="A139" s="118" t="str">
        <f t="shared" si="4"/>
        <v>R 4595-1 PINE CREST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3">
      <c r="A140" s="118" t="str">
        <f t="shared" si="4"/>
        <v>R 4595-1 PINE CREST DR</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3">
      <c r="A141" s="118" t="str">
        <f t="shared" si="4"/>
        <v>R 1193-1 ASPEN DR</v>
      </c>
      <c r="G141" t="str">
        <f>IF('Assignment Tool'!C141="","",IF('Assignment Tool'!C141="FST",'Assignment Tool'!D141,""))</f>
        <v>F 101-1 CRESTWOOD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3">
      <c r="A142" s="118" t="str">
        <f t="shared" si="4"/>
        <v>R 1193-1 ASPEN DR</v>
      </c>
      <c r="G142" t="str">
        <f>IF('Assignment Tool'!C142="","",IF('Assignment Tool'!C142="FST",'Assignment Tool'!D142,""))</f>
        <v>F 107-1 CRESTWOOD DR</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3">
      <c r="A143" s="118" t="str">
        <f t="shared" si="4"/>
        <v>R 1193-1 ASPEN DR</v>
      </c>
      <c r="G143" t="str">
        <f>IF('Assignment Tool'!C143="","",IF('Assignment Tool'!C143="FST",'Assignment Tool'!D143,""))</f>
        <v>F 111-1 CRESTWOOD DR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3">
      <c r="A144" s="118" t="str">
        <f t="shared" si="4"/>
        <v>R 1193-1 ASPEN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3">
      <c r="A145" s="118" t="str">
        <f t="shared" si="4"/>
        <v>R 1192-1 ASPEN DR</v>
      </c>
      <c r="G145" t="str">
        <f>IF('Assignment Tool'!C145="","",IF('Assignment Tool'!C145="FST",'Assignment Tool'!D145,""))</f>
        <v>F 123-1 CRESTWOOD DR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3">
      <c r="A146" s="118" t="str">
        <f t="shared" si="4"/>
        <v>R 1192-1 ASPEN DR</v>
      </c>
      <c r="G146" t="str">
        <f>IF('Assignment Tool'!C146="","",IF('Assignment Tool'!C146="FST",'Assignment Tool'!D146,""))</f>
        <v>F 125-1 CRESTWOOD DR</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3">
      <c r="A147" s="118" t="str">
        <f t="shared" si="4"/>
        <v>R 1192-1 ASPEN DR</v>
      </c>
      <c r="G147" t="str">
        <f>IF('Assignment Tool'!C147="","",IF('Assignment Tool'!C147="FST",'Assignment Tool'!D147,""))</f>
        <v>F 127-1 CRESTWOOD DR</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3">
      <c r="A148" s="118" t="str">
        <f t="shared" si="4"/>
        <v>R 1192-1 ASPEN DR</v>
      </c>
      <c r="G148" t="str">
        <f>IF('Assignment Tool'!C148="","",IF('Assignment Tool'!C148="FST",'Assignment Tool'!D148,""))</f>
        <v>F 1-1 CRESTWOOD DR</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3">
      <c r="A149" s="118" t="str">
        <f t="shared" si="4"/>
        <v>R 1190-1 OAK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3">
      <c r="A150" s="118" t="str">
        <f t="shared" si="4"/>
        <v>R 1190-1 OAK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3">
      <c r="A151" s="118" t="str">
        <f t="shared" si="4"/>
        <v>R 1190-1 OAK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3">
      <c r="A152" s="118" t="str">
        <f t="shared" si="4"/>
        <v>R 1190-1 OAK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3">
      <c r="A153" s="118" t="str">
        <f t="shared" si="4"/>
        <v>R 1195-1 BIRCH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3">
      <c r="A154" s="118" t="str">
        <f t="shared" si="4"/>
        <v>R 1195-1 BIRCH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3">
      <c r="A155" s="118" t="str">
        <f t="shared" si="4"/>
        <v>R 1195-1 BIRCH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3">
      <c r="A156" s="118" t="str">
        <f t="shared" si="4"/>
        <v>R 1195-1 BIRCH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3">
      <c r="A157" s="118" t="str">
        <f t="shared" si="4"/>
        <v>R 1194-1 BIRCH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3">
      <c r="A158" s="118" t="str">
        <f t="shared" si="4"/>
        <v>R 1194-1 BIRCH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3">
      <c r="A159" s="118" t="str">
        <f t="shared" si="4"/>
        <v>R 1194-1 BIRCH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3">
      <c r="A160" s="118" t="str">
        <f t="shared" si="4"/>
        <v>R 1194-1 BIRCH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3">
      <c r="A161" s="118" t="str">
        <f t="shared" si="4"/>
        <v>R 4518-1 PINE CREST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3">
      <c r="A162" s="118" t="str">
        <f t="shared" si="4"/>
        <v>R 4518-1 PINE CREST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3">
      <c r="A163" s="118" t="str">
        <f t="shared" si="4"/>
        <v>R 4518-1 PINE CREST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3">
      <c r="A164" s="118" t="str">
        <f t="shared" si="4"/>
        <v>R 4518-1 PINE CREST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3">
      <c r="A165" s="118" t="str">
        <f t="shared" si="4"/>
        <v>R 702-1 CINDY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3">
      <c r="A166" s="118" t="str">
        <f t="shared" si="4"/>
        <v>R 702-1 CINDY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3">
      <c r="A167" s="118" t="str">
        <f t="shared" si="4"/>
        <v>R 702-1 CINDY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3">
      <c r="A168" s="118" t="str">
        <f t="shared" si="4"/>
        <v>R 702-1 CINDY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3">
      <c r="A169" s="118" t="str">
        <f t="shared" si="4"/>
        <v>R 706-1 CINDY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3">
      <c r="A170" s="118" t="str">
        <f t="shared" si="4"/>
        <v>R 706-1 CINDY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3">
      <c r="A171" s="118" t="str">
        <f t="shared" si="4"/>
        <v>R 706-1 CINDY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3">
      <c r="A172" s="118" t="str">
        <f t="shared" si="4"/>
        <v>R 706-1 CINDY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3">
      <c r="A173" s="118" t="str">
        <f t="shared" si="4"/>
        <v>R 714-1 CINDY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3">
      <c r="A174" s="118" t="str">
        <f t="shared" si="4"/>
        <v>R 714-1 CINDY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3">
      <c r="A175" s="118" t="str">
        <f t="shared" si="4"/>
        <v>R 714-1 CINDY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3">
      <c r="A176" s="118" t="str">
        <f t="shared" si="4"/>
        <v>R 714-1 CINDY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3">
      <c r="A177" s="118" t="str">
        <f t="shared" si="4"/>
        <v>R 722-1 CINDY LN</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3">
      <c r="A178" s="118" t="str">
        <f t="shared" si="4"/>
        <v>R 722-1 CINDY LN</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3">
      <c r="A179" s="118" t="str">
        <f t="shared" si="4"/>
        <v>R 722-1 CINDY LN</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3">
      <c r="A180" s="118" t="str">
        <f t="shared" si="4"/>
        <v>R 722-1 CINDY LN</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3">
      <c r="A181" s="118" t="str">
        <f t="shared" si="4"/>
        <v>R 730-1 CINDY LN</v>
      </c>
      <c r="G181" t="str">
        <f>IF('Assignment Tool'!C181="","",IF('Assignment Tool'!C181="FST",'Assignment Tool'!D181,""))</f>
        <v>F 110-1 WOODCREST DR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3">
      <c r="A182" s="118" t="str">
        <f t="shared" si="4"/>
        <v>R 730-1 CINDY LN</v>
      </c>
      <c r="G182" t="str">
        <f>IF('Assignment Tool'!C182="","",IF('Assignment Tool'!C182="FST",'Assignment Tool'!D182,""))</f>
        <v>F 106-1 WOODCREST DR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3">
      <c r="A183" s="118" t="str">
        <f t="shared" si="4"/>
        <v>R 730-1 CINDY LN</v>
      </c>
      <c r="G183" t="str">
        <f>IF('Assignment Tool'!C183="","",IF('Assignment Tool'!C183="FST",'Assignment Tool'!D183,""))</f>
        <v>F 114-1 WOODCREST DR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3">
      <c r="A184" s="118" t="str">
        <f t="shared" si="4"/>
        <v>R 730-1 CINDY LN</v>
      </c>
      <c r="G184" t="str">
        <f>IF('Assignment Tool'!C184="","",IF('Assignment Tool'!C184="FST",'Assignment Tool'!D184,""))</f>
        <v>F 120-1 WOODCREST DR</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3">
      <c r="A185" s="118" t="str">
        <f t="shared" si="4"/>
        <v>R 738-1 CINDY LN</v>
      </c>
      <c r="G185" t="str">
        <f>IF('Assignment Tool'!C185="","",IF('Assignment Tool'!C185="FST",'Assignment Tool'!D185,""))</f>
        <v>F 100-1 ARDIS DR</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3">
      <c r="A186" s="118" t="str">
        <f t="shared" si="4"/>
        <v>R 738-1 CINDY LN</v>
      </c>
      <c r="G186" t="str">
        <f>IF('Assignment Tool'!C186="","",IF('Assignment Tool'!C186="FST",'Assignment Tool'!D186,""))</f>
        <v>F 106-1 ARDIS DR</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3">
      <c r="A187" s="118" t="str">
        <f t="shared" si="4"/>
        <v>R 738-1 CINDY LN</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3">
      <c r="A188" s="118" t="str">
        <f t="shared" si="4"/>
        <v>R 738-1 CINDY LN</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3">
      <c r="A189" s="118" t="str">
        <f t="shared" si="4"/>
        <v>R 744-1 WOODLAND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3">
      <c r="A190" s="118" t="str">
        <f t="shared" si="4"/>
        <v>R 744-1 WOODLAND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3">
      <c r="A191" s="118" t="str">
        <f t="shared" si="4"/>
        <v>R 744-1 WOODLAND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3">
      <c r="A192" s="118" t="str">
        <f t="shared" si="4"/>
        <v>R 744-1 WOODLAND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3">
      <c r="A193" s="118" t="str">
        <f t="shared" si="4"/>
        <v>R 750-1 WOODLAND CIR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3">
      <c r="A194" s="118" t="str">
        <f t="shared" ref="A194:A257" si="6">VLOOKUP(H194,$I$1:$J$1000,2)</f>
        <v>R 750-1 WOODLAND CIR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3">
      <c r="A195" s="118" t="str">
        <f t="shared" si="6"/>
        <v>R 750-1 WOODLAND CIR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3">
      <c r="A196" s="118" t="str">
        <f t="shared" si="6"/>
        <v>R 750-1 WOODLAND CIR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3">
      <c r="A197" s="118" t="str">
        <f t="shared" si="6"/>
        <v>OPP 991-1 WAFER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3">
      <c r="A198" s="118" t="str">
        <f t="shared" si="6"/>
        <v>OPP 991-1 WAFER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3">
      <c r="A199" s="118" t="str">
        <f t="shared" si="6"/>
        <v>OPP 991-1 WAFER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3">
      <c r="A200" s="118" t="str">
        <f t="shared" si="6"/>
        <v>OPP 991-1 WAFER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3">
      <c r="A201" s="118" t="str">
        <f t="shared" si="6"/>
        <v>R 703-1 CINDY LN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3">
      <c r="A202" s="118" t="str">
        <f t="shared" si="6"/>
        <v>R 703-1 CINDY LN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3">
      <c r="A203" s="118" t="str">
        <f t="shared" si="6"/>
        <v>R 703-1 CINDY LN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3">
      <c r="A204" s="118" t="str">
        <f t="shared" si="6"/>
        <v>R 703-1 CINDY LN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3">
      <c r="A205" s="118" t="str">
        <f t="shared" si="6"/>
        <v>R 705-1 CINDY LN</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3">
      <c r="A206" s="118" t="str">
        <f t="shared" si="6"/>
        <v>R 705-1 CINDY LN</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3">
      <c r="A207" s="118" t="str">
        <f t="shared" si="6"/>
        <v>R 705-1 CINDY LN</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3">
      <c r="A208" s="118" t="str">
        <f t="shared" si="6"/>
        <v>R 705-1 CINDY LN</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3">
      <c r="A209" s="118" t="str">
        <f t="shared" si="6"/>
        <v>R 709-1 CINDY LN</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3">
      <c r="A210" s="118" t="str">
        <f t="shared" si="6"/>
        <v>R 709-1 CINDY LN</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3">
      <c r="A211" s="118" t="str">
        <f t="shared" si="6"/>
        <v>R 709-1 CINDY LN</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3">
      <c r="A212" s="118" t="str">
        <f t="shared" si="6"/>
        <v>R 709-1 CINDY LN</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3">
      <c r="A213" s="118" t="str">
        <f t="shared" si="6"/>
        <v>R 713-1 CINDY LN</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3">
      <c r="A214" s="118" t="str">
        <f t="shared" si="6"/>
        <v>R 713-1 CINDY LN</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3">
      <c r="A215" s="118" t="str">
        <f t="shared" si="6"/>
        <v>R 713-1 CINDY LN</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3">
      <c r="A216" s="118" t="str">
        <f t="shared" si="6"/>
        <v>R 713-1 CINDY LN</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3">
      <c r="A217" s="118" t="str">
        <f t="shared" si="6"/>
        <v>R 717-1 CINDY LN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3">
      <c r="A218" s="118" t="str">
        <f t="shared" si="6"/>
        <v>R 717-1 CINDY LN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3">
      <c r="A219" s="118" t="str">
        <f t="shared" si="6"/>
        <v>R 717-1 CINDY LN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3">
      <c r="A220" s="118" t="str">
        <f t="shared" si="6"/>
        <v>R 717-1 CINDY LN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3">
      <c r="A221" s="118" t="str">
        <f t="shared" si="6"/>
        <v>R 721-1 CINDY LN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3">
      <c r="A222" s="118" t="str">
        <f t="shared" si="6"/>
        <v>R 721-1 CINDY LN</v>
      </c>
      <c r="G222" t="str">
        <f>IF('Assignment Tool'!C222="","",IF('Assignment Tool'!C222="FST",'Assignment Tool'!D222,""))</f>
        <v>F 153-1 CRANDON CIR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3">
      <c r="A223" s="118" t="str">
        <f t="shared" si="6"/>
        <v>R 721-1 CINDY LN</v>
      </c>
      <c r="G223" t="str">
        <f>IF('Assignment Tool'!C223="","",IF('Assignment Tool'!C223="FST",'Assignment Tool'!D223,""))</f>
        <v>F 151-1 CRANDON CIR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3">
      <c r="A224" s="118" t="str">
        <f t="shared" si="6"/>
        <v>R 721-1 CINDY LN</v>
      </c>
      <c r="G224" t="str">
        <f>IF('Assignment Tool'!C224="","",IF('Assignment Tool'!C224="FST",'Assignment Tool'!D224,""))</f>
        <v>F 6-1 CRANDON CIR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3">
      <c r="A225" s="118" t="str">
        <f t="shared" si="6"/>
        <v>R 725-1 CINDY LN</v>
      </c>
      <c r="G225" t="str">
        <f>IF('Assignment Tool'!C225="","",IF('Assignment Tool'!C225="FST",'Assignment Tool'!D225,""))</f>
        <v>F 4-1 CRANDON CIR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3">
      <c r="A226" s="118" t="str">
        <f t="shared" si="6"/>
        <v>R 725-1 CINDY LN</v>
      </c>
      <c r="G226" t="str">
        <f>IF('Assignment Tool'!C226="","",IF('Assignment Tool'!C226="FST",'Assignment Tool'!D226,""))</f>
        <v>F 2-1 CRANDON CIR</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3">
      <c r="A227" s="118" t="str">
        <f t="shared" si="6"/>
        <v>R 725-1 CINDY LN</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3">
      <c r="A228" s="118" t="str">
        <f t="shared" si="6"/>
        <v>R 725-1 CINDY LN</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3">
      <c r="A229" s="118" t="str">
        <f t="shared" si="6"/>
        <v>R 729-1 CINDY LN</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3">
      <c r="A230" s="118" t="str">
        <f t="shared" si="6"/>
        <v>R 729-1 CINDY LN</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3">
      <c r="A231" s="118" t="str">
        <f t="shared" si="6"/>
        <v>R 729-1 CINDY LN</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3">
      <c r="A232" s="118" t="str">
        <f t="shared" si="6"/>
        <v>R 729-1 CINDY LN</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3">
      <c r="A233" s="118" t="str">
        <f t="shared" si="6"/>
        <v>OPP 981-1 WAFER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3">
      <c r="A234" s="118" t="str">
        <f t="shared" si="6"/>
        <v>OPP 981-1 WAFER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3">
      <c r="A235" s="118" t="str">
        <f t="shared" si="6"/>
        <v>OPP 981-1 WAFER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3">
      <c r="A236" s="118" t="str">
        <f t="shared" si="6"/>
        <v>OPP 981-1 WAFER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3">
      <c r="A237" s="118" t="str">
        <f t="shared" si="6"/>
        <v>R 792-1 RANDY LN</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3">
      <c r="A238" s="118" t="str">
        <f t="shared" si="6"/>
        <v>R 792-1 RANDY LN</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3">
      <c r="A239" s="118" t="str">
        <f t="shared" si="6"/>
        <v>R 792-1 RANDY LN</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3">
      <c r="A240" s="118" t="str">
        <f t="shared" si="6"/>
        <v>R 792-1 RANDY LN</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3">
      <c r="A241" s="118" t="str">
        <f t="shared" si="6"/>
        <v>R 784-1 RANDY LN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3">
      <c r="A242" s="118" t="str">
        <f t="shared" si="6"/>
        <v>R 784-1 RANDY LN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3">
      <c r="A243" s="118" t="str">
        <f t="shared" si="6"/>
        <v>R 784-1 RANDY LN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3">
      <c r="A244" s="118" t="str">
        <f t="shared" si="6"/>
        <v>R 784-1 RANDY LN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3">
      <c r="A245" s="118" t="str">
        <f t="shared" si="6"/>
        <v>R 776-1 RANDY LN</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3">
      <c r="A246" s="118" t="str">
        <f t="shared" si="6"/>
        <v>R 776-1 RANDY LN</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3">
      <c r="A247" s="118" t="str">
        <f t="shared" si="6"/>
        <v>R 776-1 RANDY LN</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3">
      <c r="A248" s="118" t="str">
        <f t="shared" si="6"/>
        <v>R 776-1 RANDY LN</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3">
      <c r="A249" s="118" t="str">
        <f t="shared" si="6"/>
        <v>R 768-1 RANDY LN</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3">
      <c r="A250" s="118" t="str">
        <f t="shared" si="6"/>
        <v>R 768-1 RANDY LN</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3">
      <c r="A251" s="118" t="str">
        <f t="shared" si="6"/>
        <v>R 768-1 RANDY LN</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3">
      <c r="A252" s="118" t="str">
        <f t="shared" si="6"/>
        <v>R 768-1 RANDY LN</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3">
      <c r="A253" s="118" t="str">
        <f t="shared" si="6"/>
        <v>R 760-1 RANDY LN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3">
      <c r="A254" s="118" t="str">
        <f t="shared" si="6"/>
        <v>R 760-1 RANDY LN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3">
      <c r="A255" s="118" t="str">
        <f t="shared" si="6"/>
        <v>R 760-1 RANDY LN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3">
      <c r="A256" s="118" t="str">
        <f t="shared" si="6"/>
        <v>R 760-1 RANDY LN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3">
      <c r="A257" s="118" t="str">
        <f t="shared" si="6"/>
        <v>OPP 969-1 WAFER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3">
      <c r="A258" s="118" t="str">
        <f t="shared" ref="A258:A321" si="8">VLOOKUP(H258,$I$1:$J$1000,2)</f>
        <v>OPP 969-1 WAFER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3">
      <c r="A259" s="118" t="str">
        <f t="shared" si="8"/>
        <v>OPP 969-1 WAFER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3">
      <c r="A260" s="118" t="str">
        <f t="shared" si="8"/>
        <v>OPP 969-1 WAFER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3">
      <c r="A261" s="118" t="str">
        <f t="shared" si="8"/>
        <v>OPP 955-1 WAFER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3">
      <c r="A262" s="118" t="str">
        <f t="shared" si="8"/>
        <v>OPP 955-1 WAFER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3">
      <c r="A263" s="118" t="str">
        <f t="shared" si="8"/>
        <v>OPP 955-1 WAFER RD</v>
      </c>
      <c r="G263" t="str">
        <f>IF('Assignment Tool'!C263="","",IF('Assignment Tool'!C263="FST",'Assignment Tool'!D263,""))</f>
        <v>OPP 1341-1 WAFER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3">
      <c r="A264" s="118" t="str">
        <f t="shared" si="8"/>
        <v>OPP 955-1 WAFER RD</v>
      </c>
      <c r="G264" t="str">
        <f>IF('Assignment Tool'!C264="","",IF('Assignment Tool'!C264="FST",'Assignment Tool'!D264,""))</f>
        <v>OPP 1347-1 WAFER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3">
      <c r="A265" s="118" t="str">
        <f t="shared" si="8"/>
        <v>F 1278-1 WAFER RD</v>
      </c>
      <c r="G265" t="str">
        <f>IF('Assignment Tool'!C265="","",IF('Assignment Tool'!C265="FST",'Assignment Tool'!D265,""))</f>
        <v>OPP 1369-1 WAFER RD</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3">
      <c r="A266" s="118" t="str">
        <f t="shared" si="8"/>
        <v>F 1278-1 WAFER RD</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3">
      <c r="A267" s="118" t="str">
        <f t="shared" si="8"/>
        <v>F 1278-1 WAFER RD</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3">
      <c r="A268" s="118" t="str">
        <f t="shared" si="8"/>
        <v>F 1278-1 WAFER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3">
      <c r="A269" s="118" t="str">
        <f t="shared" si="8"/>
        <v>F 1284-1 WAFER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3">
      <c r="A270" s="118" t="str">
        <f t="shared" si="8"/>
        <v>F 1284-1 WAFER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3">
      <c r="A271" s="118" t="str">
        <f t="shared" si="8"/>
        <v>F 1284-1 WAFER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3">
      <c r="A272" s="118" t="str">
        <f t="shared" si="8"/>
        <v>F 1284-1 WAFER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3">
      <c r="A273" s="118" t="str">
        <f t="shared" si="8"/>
        <v>F 1284-1 WAFER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3">
      <c r="A274" s="118" t="str">
        <f t="shared" si="8"/>
        <v>F 1284-1 WAFER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3">
      <c r="A275" s="118" t="str">
        <f t="shared" si="8"/>
        <v>F 1284-1 WAFER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3">
      <c r="A276" s="118" t="str">
        <f t="shared" si="8"/>
        <v>F 1284-1 WAFER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3">
      <c r="A277" s="118" t="str">
        <f t="shared" si="8"/>
        <v>F 112-1 ARDIS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3">
      <c r="A278" s="118" t="str">
        <f t="shared" si="8"/>
        <v>F 112-1 ARDIS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3">
      <c r="A279" s="118" t="str">
        <f t="shared" si="8"/>
        <v>F 112-1 ARDIS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3">
      <c r="A280" s="118" t="str">
        <f t="shared" si="8"/>
        <v>F 112-1 ARDIS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3">
      <c r="A281" s="118" t="str">
        <f t="shared" si="8"/>
        <v>F 120-1 ARDIS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3">
      <c r="A282" s="118" t="str">
        <f t="shared" si="8"/>
        <v>F 120-1 ARDIS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3">
      <c r="A283" s="118" t="str">
        <f t="shared" si="8"/>
        <v>F 120-1 ARDIS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3">
      <c r="A284" s="118" t="str">
        <f t="shared" si="8"/>
        <v>F 120-1 ARDIS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3">
      <c r="A285" s="118" t="str">
        <f t="shared" si="8"/>
        <v>F 124-1 ARDIS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3">
      <c r="A286" s="118" t="str">
        <f t="shared" si="8"/>
        <v>F 124-1 ARDIS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3">
      <c r="A287" s="118" t="str">
        <f t="shared" si="8"/>
        <v>F 124-1 ARDIS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3">
      <c r="A288" s="118" t="str">
        <f t="shared" si="8"/>
        <v>F 124-1 ARDIS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3">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3">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3">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3">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3">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3">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3">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3">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3">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3">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3">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3">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3">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3">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3">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3">
      <c r="A304" s="118" t="str">
        <f t="shared" si="8"/>
        <v/>
      </c>
      <c r="G304" t="str">
        <f>IF('Assignment Tool'!C304="","",IF('Assignment Tool'!C304="FST",'Assignment Tool'!D304,""))</f>
        <v>R 4594-1 PINE CREST DR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3">
      <c r="A305" s="118" t="str">
        <f t="shared" si="8"/>
        <v/>
      </c>
      <c r="G305" t="str">
        <f>IF('Assignment Tool'!C305="","",IF('Assignment Tool'!C305="FST",'Assignment Tool'!D305,""))</f>
        <v>R 4586-1 PINE CREST DR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3">
      <c r="A306" s="118" t="str">
        <f t="shared" si="8"/>
        <v/>
      </c>
      <c r="G306" t="str">
        <f>IF('Assignment Tool'!C306="","",IF('Assignment Tool'!C306="FST",'Assignment Tool'!D306,""))</f>
        <v>R 4578-1 PINE CREST DR</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3">
      <c r="A307" s="118" t="str">
        <f t="shared" si="8"/>
        <v/>
      </c>
      <c r="G307" t="str">
        <f>IF('Assignment Tool'!C307="","",IF('Assignment Tool'!C307="FST",'Assignment Tool'!D307,""))</f>
        <v>R 4570-1 PINE CREST DR</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3">
      <c r="A308" s="118" t="str">
        <f t="shared" si="8"/>
        <v/>
      </c>
      <c r="G308" t="str">
        <f>IF('Assignment Tool'!C308="","",IF('Assignment Tool'!C308="FST",'Assignment Tool'!D308,""))</f>
        <v>R 4562-1 PINE CREST DR</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3">
      <c r="A309" s="118" t="str">
        <f t="shared" si="8"/>
        <v/>
      </c>
      <c r="G309" t="str">
        <f>IF('Assignment Tool'!C309="","",IF('Assignment Tool'!C309="FST",'Assignment Tool'!D309,""))</f>
        <v>R 4554-1 PINE CREST DR</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3">
      <c r="A310" s="118" t="str">
        <f t="shared" si="8"/>
        <v/>
      </c>
      <c r="G310" t="str">
        <f>IF('Assignment Tool'!C310="","",IF('Assignment Tool'!C310="FST",'Assignment Tool'!D310,""))</f>
        <v>R 4546-1 PINE CREST DR</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3">
      <c r="A311" s="118" t="str">
        <f t="shared" si="8"/>
        <v/>
      </c>
      <c r="G311" t="str">
        <f>IF('Assignment Tool'!C311="","",IF('Assignment Tool'!C311="FST",'Assignment Tool'!D311,""))</f>
        <v>R 4534-1 PINE CREST DR</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3">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3">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3">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3">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3">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3">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3">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3">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3">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3">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3">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3">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3">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3">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3">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3">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3">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3">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3">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3">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3">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3">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3">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3">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3">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3">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3">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3">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3">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3">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3">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3">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3">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3">
      <c r="A345" s="118" t="str">
        <f t="shared" si="10"/>
        <v/>
      </c>
      <c r="G345" t="str">
        <f>IF('Assignment Tool'!C345="","",IF('Assignment Tool'!C345="FST",'Assignment Tool'!D345,""))</f>
        <v>F 1190-1 WAFER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3">
      <c r="A346" s="118" t="str">
        <f t="shared" si="10"/>
        <v/>
      </c>
      <c r="G346" t="str">
        <f>IF('Assignment Tool'!C346="","",IF('Assignment Tool'!C346="FST",'Assignment Tool'!D346,""))</f>
        <v>F 1194-1 WAFER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3">
      <c r="A347" s="118" t="str">
        <f t="shared" si="10"/>
        <v/>
      </c>
      <c r="G347" t="str">
        <f>IF('Assignment Tool'!C347="","",IF('Assignment Tool'!C347="FST",'Assignment Tool'!D347,""))</f>
        <v>R 4595-1 PINE CREST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3">
      <c r="A348" s="118" t="str">
        <f t="shared" si="10"/>
        <v/>
      </c>
      <c r="G348" t="str">
        <f>IF('Assignment Tool'!C348="","",IF('Assignment Tool'!C348="FST",'Assignment Tool'!D348,""))</f>
        <v>R 1193-1 ASPEN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3">
      <c r="A349" s="118" t="str">
        <f t="shared" si="10"/>
        <v/>
      </c>
      <c r="G349" t="str">
        <f>IF('Assignment Tool'!C349="","",IF('Assignment Tool'!C349="FST",'Assignment Tool'!D349,""))</f>
        <v>R 1192-1 ASPEN DR</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3">
      <c r="A350" s="118" t="str">
        <f t="shared" si="10"/>
        <v/>
      </c>
      <c r="G350" t="str">
        <f>IF('Assignment Tool'!C350="","",IF('Assignment Tool'!C350="FST",'Assignment Tool'!D350,""))</f>
        <v>R 1190-1 OAK DR</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3">
      <c r="A351" s="118" t="str">
        <f t="shared" si="10"/>
        <v/>
      </c>
      <c r="G351" t="str">
        <f>IF('Assignment Tool'!C351="","",IF('Assignment Tool'!C351="FST",'Assignment Tool'!D351,""))</f>
        <v>R 1195-1 BIRCH DR</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3">
      <c r="A352" s="118" t="str">
        <f t="shared" si="10"/>
        <v/>
      </c>
      <c r="G352" t="str">
        <f>IF('Assignment Tool'!C352="","",IF('Assignment Tool'!C352="FST",'Assignment Tool'!D352,""))</f>
        <v>R 1194-1 BIRCH DR</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3">
      <c r="A353" s="118" t="str">
        <f t="shared" si="10"/>
        <v/>
      </c>
      <c r="G353" t="str">
        <f>IF('Assignment Tool'!C353="","",IF('Assignment Tool'!C353="FST",'Assignment Tool'!D353,""))</f>
        <v>R 4518-1 PINE CREST DR</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3">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3">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3">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3">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3">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3">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3">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3">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3">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3">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3">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3">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3">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3">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3">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3">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3">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3">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3">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3">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3">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3">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3">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3">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3">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3">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3">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3">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3">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3">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3">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3">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3">
      <c r="A386" s="118" t="str">
        <f t="shared" ref="A386:A449" si="12">VLOOKUP(H386,$I$1:$J$1000,2)</f>
        <v/>
      </c>
      <c r="G386" t="str">
        <f>IF('Assignment Tool'!C386="","",IF('Assignment Tool'!C386="FST",'Assignment Tool'!D386,""))</f>
        <v>R 702-1 CINDY LN</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3">
      <c r="A387" s="118" t="str">
        <f t="shared" si="12"/>
        <v/>
      </c>
      <c r="G387" t="str">
        <f>IF('Assignment Tool'!C387="","",IF('Assignment Tool'!C387="FST",'Assignment Tool'!D387,""))</f>
        <v>R 706-1 CINDY LN</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3">
      <c r="A388" s="118" t="str">
        <f t="shared" si="12"/>
        <v/>
      </c>
      <c r="G388" t="str">
        <f>IF('Assignment Tool'!C388="","",IF('Assignment Tool'!C388="FST",'Assignment Tool'!D388,""))</f>
        <v>R 714-1 CINDY LN</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3">
      <c r="A389" s="118" t="str">
        <f t="shared" si="12"/>
        <v/>
      </c>
      <c r="G389" t="str">
        <f>IF('Assignment Tool'!C389="","",IF('Assignment Tool'!C389="FST",'Assignment Tool'!D389,""))</f>
        <v>R 722-1 CINDY LN</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3">
      <c r="A390" s="118" t="str">
        <f t="shared" si="12"/>
        <v/>
      </c>
      <c r="G390" t="str">
        <f>IF('Assignment Tool'!C390="","",IF('Assignment Tool'!C390="FST",'Assignment Tool'!D390,""))</f>
        <v>R 730-1 CINDY LN</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3">
      <c r="A391" s="118" t="str">
        <f t="shared" si="12"/>
        <v/>
      </c>
      <c r="G391" t="str">
        <f>IF('Assignment Tool'!C391="","",IF('Assignment Tool'!C391="FST",'Assignment Tool'!D391,""))</f>
        <v>R 738-1 CINDY LN</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3">
      <c r="A392" s="118" t="str">
        <f t="shared" si="12"/>
        <v/>
      </c>
      <c r="G392" t="str">
        <f>IF('Assignment Tool'!C392="","",IF('Assignment Tool'!C392="FST",'Assignment Tool'!D392,""))</f>
        <v>R 744-1 WOODLAND CIR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3">
      <c r="A393" s="118" t="str">
        <f t="shared" si="12"/>
        <v/>
      </c>
      <c r="G393" t="str">
        <f>IF('Assignment Tool'!C393="","",IF('Assignment Tool'!C393="FST",'Assignment Tool'!D393,""))</f>
        <v>R 750-1 WOODLAND CIR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3">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3">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3">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3">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3">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3">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3">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3">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3">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3">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3">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3">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3">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3">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3">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3">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3">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3">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3">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3">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3">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3">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3">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3">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3">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3">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3">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3">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3">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3">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3">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3">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3">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3">
      <c r="A427" s="118" t="str">
        <f t="shared" si="12"/>
        <v/>
      </c>
      <c r="G427" t="str">
        <f>IF('Assignment Tool'!C427="","",IF('Assignment Tool'!C427="FST",'Assignment Tool'!D427,""))</f>
        <v>OPP 991-1 WAFER RD</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3">
      <c r="A428" s="118" t="str">
        <f t="shared" si="12"/>
        <v/>
      </c>
      <c r="G428" t="str">
        <f>IF('Assignment Tool'!C428="","",IF('Assignment Tool'!C428="FST",'Assignment Tool'!D428,""))</f>
        <v>R 703-1 CINDY LN</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3">
      <c r="A429" s="118" t="str">
        <f t="shared" si="12"/>
        <v/>
      </c>
      <c r="G429" t="str">
        <f>IF('Assignment Tool'!C429="","",IF('Assignment Tool'!C429="FST",'Assignment Tool'!D429,""))</f>
        <v>R 705-1 CINDY LN</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3">
      <c r="A430" s="118" t="str">
        <f t="shared" si="12"/>
        <v/>
      </c>
      <c r="G430" t="str">
        <f>IF('Assignment Tool'!C430="","",IF('Assignment Tool'!C430="FST",'Assignment Tool'!D430,""))</f>
        <v>R 709-1 CINDY LN</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3">
      <c r="A431" s="118" t="str">
        <f t="shared" si="12"/>
        <v/>
      </c>
      <c r="G431" t="str">
        <f>IF('Assignment Tool'!C431="","",IF('Assignment Tool'!C431="FST",'Assignment Tool'!D431,""))</f>
        <v>R 713-1 CINDY LN</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3">
      <c r="A432" s="118" t="str">
        <f t="shared" si="12"/>
        <v/>
      </c>
      <c r="G432" t="str">
        <f>IF('Assignment Tool'!C432="","",IF('Assignment Tool'!C432="FST",'Assignment Tool'!D432,""))</f>
        <v>R 717-1 CINDY LN</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3">
      <c r="A433" s="118" t="str">
        <f t="shared" si="12"/>
        <v/>
      </c>
      <c r="G433" t="str">
        <f>IF('Assignment Tool'!C433="","",IF('Assignment Tool'!C433="FST",'Assignment Tool'!D433,""))</f>
        <v>R 721-1 CINDY LN</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3">
      <c r="A434" s="118" t="str">
        <f t="shared" si="12"/>
        <v/>
      </c>
      <c r="G434" t="str">
        <f>IF('Assignment Tool'!C434="","",IF('Assignment Tool'!C434="FST",'Assignment Tool'!D434,""))</f>
        <v>R 725-1 CINDY LN</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3">
      <c r="A435" s="118" t="str">
        <f t="shared" si="12"/>
        <v/>
      </c>
      <c r="G435" t="str">
        <f>IF('Assignment Tool'!C435="","",IF('Assignment Tool'!C435="FST",'Assignment Tool'!D435,""))</f>
        <v>R 729-1 CINDY LN</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3">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3">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3">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3">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3">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3">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3">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3">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3">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3">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3">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3">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3">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3">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3">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3">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3">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3">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3">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3">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3">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3">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3">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3">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3">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3">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3">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3">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3">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3">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3">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3">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3">
      <c r="A468" s="118" t="str">
        <f t="shared" si="14"/>
        <v/>
      </c>
      <c r="G468" t="str">
        <f>IF('Assignment Tool'!C468="","",IF('Assignment Tool'!C468="FST",'Assignment Tool'!D468,""))</f>
        <v>OPP 981-1 WAFER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3">
      <c r="A469" s="118" t="str">
        <f t="shared" si="14"/>
        <v/>
      </c>
      <c r="G469" t="str">
        <f>IF('Assignment Tool'!C469="","",IF('Assignment Tool'!C469="FST",'Assignment Tool'!D469,""))</f>
        <v>R 792-1 RANDY LN</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3">
      <c r="A470" s="118" t="str">
        <f t="shared" si="14"/>
        <v/>
      </c>
      <c r="G470" t="str">
        <f>IF('Assignment Tool'!C470="","",IF('Assignment Tool'!C470="FST",'Assignment Tool'!D470,""))</f>
        <v>R 784-1 RANDY LN</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3">
      <c r="A471" s="118" t="str">
        <f t="shared" si="14"/>
        <v/>
      </c>
      <c r="G471" t="str">
        <f>IF('Assignment Tool'!C471="","",IF('Assignment Tool'!C471="FST",'Assignment Tool'!D471,""))</f>
        <v>R 776-1 RANDY LN</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3">
      <c r="A472" s="118" t="str">
        <f t="shared" si="14"/>
        <v/>
      </c>
      <c r="G472" t="str">
        <f>IF('Assignment Tool'!C472="","",IF('Assignment Tool'!C472="FST",'Assignment Tool'!D472,""))</f>
        <v>R 768-1 RANDY LN</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3">
      <c r="A473" s="118" t="str">
        <f t="shared" si="14"/>
        <v/>
      </c>
      <c r="G473" t="str">
        <f>IF('Assignment Tool'!C473="","",IF('Assignment Tool'!C473="FST",'Assignment Tool'!D473,""))</f>
        <v>R 760-1 RANDY LN</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3">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3">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3">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3">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3">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3">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3">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3">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3">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3">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3">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3">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3">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3">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3">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3">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3">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3">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3">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3">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3">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3">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3">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3">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3">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3">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3">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3">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3">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3">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3">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3">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3">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3">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3">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3">
      <c r="A509" s="118" t="str">
        <f t="shared" si="14"/>
        <v/>
      </c>
      <c r="G509" t="str">
        <f>IF('Assignment Tool'!C509="","",IF('Assignment Tool'!C509="FST",'Assignment Tool'!D509,""))</f>
        <v>OPP 969-1 WAFER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3">
      <c r="A510" s="118" t="str">
        <f t="shared" si="14"/>
        <v/>
      </c>
      <c r="G510" t="str">
        <f>IF('Assignment Tool'!C510="","",IF('Assignment Tool'!C510="FST",'Assignment Tool'!D510,""))</f>
        <v>OPP 955-1 WAFER RD</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3">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3">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3">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3">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3">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3">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3">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3">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3">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3">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3">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3">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3">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3">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3">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3">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3">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3">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3">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3">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3">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3">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3">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3">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3">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3">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3">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3">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3">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3">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3">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3">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3">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3">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3">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3">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3">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3">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3">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3">
      <c r="A550" s="118" t="str">
        <f t="shared" si="16"/>
        <v/>
      </c>
      <c r="G550" t="str">
        <f>IF('Assignment Tool'!C550="","",IF('Assignment Tool'!C550="FST",'Assignment Tool'!D550,""))</f>
        <v>F 1278-1 WAFER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3">
      <c r="A551" s="118" t="str">
        <f t="shared" si="16"/>
        <v/>
      </c>
      <c r="G551" t="str">
        <f>IF('Assignment Tool'!C551="","",IF('Assignment Tool'!C551="FST",'Assignment Tool'!D551,""))</f>
        <v>F 1284-1 WAFER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3">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3">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3">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3">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3">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3">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3">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3">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3">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3">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3">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3">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3">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3">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3">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3">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3">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3">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3">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3">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3">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3">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3">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3">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3">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3">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3">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3">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3">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3">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3">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3">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3">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3">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3">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3">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3">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3">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3">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3">
      <c r="A591" s="118" t="str">
        <f t="shared" si="18"/>
        <v/>
      </c>
      <c r="G591" t="str">
        <f>IF('Assignment Tool'!C591="","",IF('Assignment Tool'!C591="FST",'Assignment Tool'!D591,""))</f>
        <v>F 112-1 ARDIS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3">
      <c r="A592" s="118" t="str">
        <f t="shared" si="18"/>
        <v/>
      </c>
      <c r="G592" t="str">
        <f>IF('Assignment Tool'!C592="","",IF('Assignment Tool'!C592="FST",'Assignment Tool'!D592,""))</f>
        <v>F 120-1 ARDIS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3">
      <c r="A593" s="118" t="str">
        <f t="shared" si="18"/>
        <v/>
      </c>
      <c r="G593" t="str">
        <f>IF('Assignment Tool'!C593="","",IF('Assignment Tool'!C593="FST",'Assignment Tool'!D593,""))</f>
        <v>F 124-1 ARDIS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3">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3">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3">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3">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3">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3">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3">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3">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3">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3">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3">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3">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3">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3">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3">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3">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3">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3">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3">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3">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3">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3">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3">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3">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3">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3">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3">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3">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3">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3">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3">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3">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3">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3">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3">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3">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3">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3">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3">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3">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3">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3">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3">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3">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3">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3">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3">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3">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3">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3">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3">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3">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3">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3">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3">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3">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3">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3">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3">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3">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3">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3">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3">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3">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3">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3">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3">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3">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3">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3">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3">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3">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3">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3">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3">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3">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3">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3">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3">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3">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3">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3">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3">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3">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3">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3">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3">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3">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3">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3">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3">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3">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3">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3">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3">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3">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3">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3">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3">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3">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3">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3">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3">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3">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3">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3">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3">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3">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3">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3">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3">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3">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3">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3">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3">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3">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3">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3">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3">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3">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3">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3">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3">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3">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3">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3">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3">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3">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3">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3">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3">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3">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3">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3">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3">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3">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3">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3">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3">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3">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3">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3">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3">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3">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3">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3">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3">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3">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3">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3">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3">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3">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3">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3">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3">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3">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3">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3">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3">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3">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3">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3">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3">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3">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3">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3">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3">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3">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3">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3">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3">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3">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3">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3">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3">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3">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3">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3">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3">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3">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3">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3">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3">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3">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3">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3">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3">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3">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3">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3">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3">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3">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3">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3">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3">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3">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3">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3">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3">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3">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3">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3">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3">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3">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3">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3">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3">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3">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3">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3">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3">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3">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3">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3">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3">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3">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3">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3">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3">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3">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3">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3">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3">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3">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3">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3">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3">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3">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3">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3">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3">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3">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3">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3">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3">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3">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3">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3">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3">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3">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3">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3">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3">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3">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3">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3">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3">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3">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3">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3">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3">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3">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3">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3">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3">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3">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3">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3">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3">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3">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3">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3">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3">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3">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3">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3">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3">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3">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3">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3">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3">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3">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3">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3">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3">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3">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3">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3">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3">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3">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3">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3">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3">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3">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3">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3">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3">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3">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3">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3">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3">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3">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3">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3">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3">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3">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3">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3">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3">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3">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3">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3">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3">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3">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3">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3">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3">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3">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3">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3">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3">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3">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3">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3">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3">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3">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3">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3">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3">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3">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3">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3">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3">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3">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3">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3">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3">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3">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3">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3">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3">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3">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3">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3">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3">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3">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3">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3">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3">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3">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3">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3">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3">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3">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3">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3">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3">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3">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3">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3">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3">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3">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3">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3">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3">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3">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3">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3">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3">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3">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3">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3">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3">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3">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3">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3">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3">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3">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3">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3">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3">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3">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3">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3">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3">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3">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3">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3">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3">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3">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3">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3">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3">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3">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3">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3">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3">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3">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3">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3">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3">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3">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3">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3">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3">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3">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3">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3">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3">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3">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3">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3">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3">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3">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3">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3">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3">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3">
      <c r="G1001" t="str">
        <f>IF('Assignment Tool'!C1001="","",IF('Assignment Tool'!C1001="FST",'Assignment Tool'!D1001,""))</f>
        <v/>
      </c>
    </row>
    <row r="1002" spans="1:11" x14ac:dyDescent="0.3">
      <c r="G1002" t="str">
        <f>IF('Assignment Tool'!C1002="","",IF('Assignment Tool'!C1002="FST",'Assignment Tool'!D1002,""))</f>
        <v/>
      </c>
    </row>
    <row r="1003" spans="1:11" x14ac:dyDescent="0.3">
      <c r="G1003" t="str">
        <f>IF('Assignment Tool'!C1003="","",IF('Assignment Tool'!C1003="FST",'Assignment Tool'!D1003,""))</f>
        <v/>
      </c>
    </row>
    <row r="1004" spans="1:11" x14ac:dyDescent="0.3">
      <c r="G1004" t="str">
        <f>IF('Assignment Tool'!C1004="","",IF('Assignment Tool'!C1004="FST",'Assignment Tool'!D1004,""))</f>
        <v/>
      </c>
    </row>
    <row r="1005" spans="1:11" x14ac:dyDescent="0.3">
      <c r="G1005" t="str">
        <f>IF('Assignment Tool'!C1005="","",IF('Assignment Tool'!C1005="FST",'Assignment Tool'!D1005,""))</f>
        <v/>
      </c>
    </row>
    <row r="1006" spans="1:11" x14ac:dyDescent="0.3">
      <c r="G1006" t="str">
        <f>IF('Assignment Tool'!C1006="","",IF('Assignment Tool'!C1006="FST",'Assignment Tool'!D1006,""))</f>
        <v/>
      </c>
    </row>
    <row r="1007" spans="1:11" x14ac:dyDescent="0.3">
      <c r="G1007" t="str">
        <f>IF('Assignment Tool'!C1007="","",IF('Assignment Tool'!C1007="FST",'Assignment Tool'!D1007,""))</f>
        <v/>
      </c>
    </row>
    <row r="1008" spans="1:11" x14ac:dyDescent="0.3">
      <c r="G1008" t="str">
        <f>IF('Assignment Tool'!C1008="","",IF('Assignment Tool'!C1008="FST",'Assignment Tool'!D1008,""))</f>
        <v/>
      </c>
    </row>
    <row r="1009" spans="7:7" x14ac:dyDescent="0.3">
      <c r="G1009" t="str">
        <f>IF('Assignment Tool'!C1009="","",IF('Assignment Tool'!C1009="FST",'Assignment Tool'!D1009,""))</f>
        <v/>
      </c>
    </row>
    <row r="1010" spans="7:7" x14ac:dyDescent="0.3">
      <c r="G1010" t="str">
        <f>IF('Assignment Tool'!C1010="","",IF('Assignment Tool'!C1010="FST",'Assignment Tool'!D1010,""))</f>
        <v/>
      </c>
    </row>
    <row r="1011" spans="7:7" x14ac:dyDescent="0.3">
      <c r="G1011" t="str">
        <f>IF('Assignment Tool'!C1011="","",IF('Assignment Tool'!C1011="FST",'Assignment Tool'!D1011,""))</f>
        <v/>
      </c>
    </row>
    <row r="1012" spans="7:7" x14ac:dyDescent="0.3">
      <c r="G1012" t="str">
        <f>IF('Assignment Tool'!C1012="","",IF('Assignment Tool'!C1012="FST",'Assignment Tool'!D1012,""))</f>
        <v/>
      </c>
    </row>
    <row r="1013" spans="7:7" x14ac:dyDescent="0.3">
      <c r="G1013" t="str">
        <f>IF('Assignment Tool'!C1013="","",IF('Assignment Tool'!C1013="FST",'Assignment Tool'!D1013,""))</f>
        <v/>
      </c>
    </row>
    <row r="1014" spans="7:7" x14ac:dyDescent="0.3">
      <c r="G1014" t="str">
        <f>IF('Assignment Tool'!C1014="","",IF('Assignment Tool'!C1014="FST",'Assignment Tool'!D1014,""))</f>
        <v/>
      </c>
    </row>
    <row r="1015" spans="7:7" x14ac:dyDescent="0.3">
      <c r="G1015" t="str">
        <f>IF('Assignment Tool'!C1015="","",IF('Assignment Tool'!C1015="FST",'Assignment Tool'!D1015,""))</f>
        <v/>
      </c>
    </row>
    <row r="1016" spans="7:7" x14ac:dyDescent="0.3">
      <c r="G1016" t="str">
        <f>IF('Assignment Tool'!C1016="","",IF('Assignment Tool'!C1016="FST",'Assignment Tool'!D1016,""))</f>
        <v/>
      </c>
    </row>
    <row r="1017" spans="7:7" x14ac:dyDescent="0.3">
      <c r="G1017" t="str">
        <f>IF('Assignment Tool'!C1017="","",IF('Assignment Tool'!C1017="FST",'Assignment Tool'!D1017,""))</f>
        <v/>
      </c>
    </row>
    <row r="1018" spans="7:7" x14ac:dyDescent="0.3">
      <c r="G1018" t="str">
        <f>IF('Assignment Tool'!C1018="","",IF('Assignment Tool'!C1018="FST",'Assignment Tool'!D1018,""))</f>
        <v/>
      </c>
    </row>
    <row r="1019" spans="7:7" x14ac:dyDescent="0.3">
      <c r="G1019" t="str">
        <f>IF('Assignment Tool'!C1019="","",IF('Assignment Tool'!C1019="FST",'Assignment Tool'!D1019,""))</f>
        <v/>
      </c>
    </row>
    <row r="1020" spans="7:7" x14ac:dyDescent="0.3">
      <c r="G1020" t="str">
        <f>IF('Assignment Tool'!C1020="","",IF('Assignment Tool'!C1020="FST",'Assignment Tool'!D1020,""))</f>
        <v/>
      </c>
    </row>
    <row r="1021" spans="7:7" x14ac:dyDescent="0.3">
      <c r="G1021" t="str">
        <f>IF('Assignment Tool'!C1021="","",IF('Assignment Tool'!C1021="FST",'Assignment Tool'!D1021,""))</f>
        <v/>
      </c>
    </row>
    <row r="1022" spans="7:7" x14ac:dyDescent="0.3">
      <c r="G1022" t="str">
        <f>IF('Assignment Tool'!C1022="","",IF('Assignment Tool'!C1022="FST",'Assignment Tool'!D1022,""))</f>
        <v/>
      </c>
    </row>
    <row r="1023" spans="7:7" x14ac:dyDescent="0.3">
      <c r="G1023" t="str">
        <f>IF('Assignment Tool'!C1023="","",IF('Assignment Tool'!C1023="FST",'Assignment Tool'!D1023,""))</f>
        <v/>
      </c>
    </row>
    <row r="1024" spans="7:7" x14ac:dyDescent="0.3">
      <c r="G1024" t="str">
        <f>IF('Assignment Tool'!C1024="","",IF('Assignment Tool'!C1024="FST",'Assignment Tool'!D1024,""))</f>
        <v/>
      </c>
    </row>
    <row r="1025" spans="7:7" x14ac:dyDescent="0.3">
      <c r="G1025" t="str">
        <f>IF('Assignment Tool'!C1025="","",IF('Assignment Tool'!C1025="FST",'Assignment Tool'!D1025,""))</f>
        <v/>
      </c>
    </row>
    <row r="1026" spans="7:7" x14ac:dyDescent="0.3">
      <c r="G1026" t="str">
        <f>IF('Assignment Tool'!C1026="","",IF('Assignment Tool'!C1026="FST",'Assignment Tool'!D1026,""))</f>
        <v/>
      </c>
    </row>
    <row r="1027" spans="7:7" x14ac:dyDescent="0.3">
      <c r="G1027" t="str">
        <f>IF('Assignment Tool'!C1027="","",IF('Assignment Tool'!C1027="FST",'Assignment Tool'!D1027,""))</f>
        <v/>
      </c>
    </row>
    <row r="1028" spans="7:7" x14ac:dyDescent="0.3">
      <c r="G1028" t="str">
        <f>IF('Assignment Tool'!C1028="","",IF('Assignment Tool'!C1028="FST",'Assignment Tool'!D1028,""))</f>
        <v/>
      </c>
    </row>
    <row r="1029" spans="7:7" x14ac:dyDescent="0.3">
      <c r="G1029" t="str">
        <f>IF('Assignment Tool'!C1029="","",IF('Assignment Tool'!C1029="FST",'Assignment Tool'!D1029,""))</f>
        <v/>
      </c>
    </row>
    <row r="1030" spans="7:7" x14ac:dyDescent="0.3">
      <c r="G1030" t="str">
        <f>IF('Assignment Tool'!C1030="","",IF('Assignment Tool'!C1030="FST",'Assignment Tool'!D1030,""))</f>
        <v/>
      </c>
    </row>
    <row r="1031" spans="7:7" x14ac:dyDescent="0.3">
      <c r="G1031" t="str">
        <f>IF('Assignment Tool'!C1031="","",IF('Assignment Tool'!C1031="FST",'Assignment Tool'!D1031,""))</f>
        <v/>
      </c>
    </row>
    <row r="1032" spans="7:7" x14ac:dyDescent="0.3">
      <c r="G1032" t="str">
        <f>IF('Assignment Tool'!C1032="","",IF('Assignment Tool'!C1032="FST",'Assignment Tool'!D1032,""))</f>
        <v/>
      </c>
    </row>
    <row r="1033" spans="7:7" x14ac:dyDescent="0.3">
      <c r="G1033" t="str">
        <f>IF('Assignment Tool'!C1033="","",IF('Assignment Tool'!C1033="FST",'Assignment Tool'!D1033,""))</f>
        <v/>
      </c>
    </row>
    <row r="1034" spans="7:7" x14ac:dyDescent="0.3">
      <c r="G1034" t="str">
        <f>IF('Assignment Tool'!C1034="","",IF('Assignment Tool'!C1034="FST",'Assignment Tool'!D1034,""))</f>
        <v/>
      </c>
    </row>
    <row r="1035" spans="7:7" x14ac:dyDescent="0.3">
      <c r="G1035" t="str">
        <f>IF('Assignment Tool'!C1035="","",IF('Assignment Tool'!C1035="FST",'Assignment Tool'!D1035,""))</f>
        <v/>
      </c>
    </row>
    <row r="1036" spans="7:7" x14ac:dyDescent="0.3">
      <c r="G1036" t="str">
        <f>IF('Assignment Tool'!C1036="","",IF('Assignment Tool'!C1036="FST",'Assignment Tool'!D1036,""))</f>
        <v/>
      </c>
    </row>
    <row r="1037" spans="7:7" x14ac:dyDescent="0.3">
      <c r="G1037" t="str">
        <f>IF('Assignment Tool'!C1037="","",IF('Assignment Tool'!C1037="FST",'Assignment Tool'!D1037,""))</f>
        <v/>
      </c>
    </row>
    <row r="1038" spans="7:7" x14ac:dyDescent="0.3">
      <c r="G1038" t="str">
        <f>IF('Assignment Tool'!C1038="","",IF('Assignment Tool'!C1038="FST",'Assignment Tool'!D1038,""))</f>
        <v/>
      </c>
    </row>
    <row r="1039" spans="7:7" x14ac:dyDescent="0.3">
      <c r="G1039" t="str">
        <f>IF('Assignment Tool'!C1039="","",IF('Assignment Tool'!C1039="FST",'Assignment Tool'!D1039,""))</f>
        <v/>
      </c>
    </row>
    <row r="1040" spans="7:7" x14ac:dyDescent="0.3">
      <c r="G1040" t="str">
        <f>IF('Assignment Tool'!C1040="","",IF('Assignment Tool'!C1040="FST",'Assignment Tool'!D1040,""))</f>
        <v/>
      </c>
    </row>
    <row r="1041" spans="7:7" x14ac:dyDescent="0.3">
      <c r="G1041" t="str">
        <f>IF('Assignment Tool'!C1041="","",IF('Assignment Tool'!C1041="FST",'Assignment Tool'!D1041,""))</f>
        <v/>
      </c>
    </row>
    <row r="1042" spans="7:7" x14ac:dyDescent="0.3">
      <c r="G1042" t="str">
        <f>IF('Assignment Tool'!C1042="","",IF('Assignment Tool'!C1042="FST",'Assignment Tool'!D1042,""))</f>
        <v/>
      </c>
    </row>
    <row r="1043" spans="7:7" x14ac:dyDescent="0.3">
      <c r="G1043" t="str">
        <f>IF('Assignment Tool'!C1043="","",IF('Assignment Tool'!C1043="FST",'Assignment Tool'!D1043,""))</f>
        <v/>
      </c>
    </row>
    <row r="1044" spans="7:7" x14ac:dyDescent="0.3">
      <c r="G1044" t="str">
        <f>IF('Assignment Tool'!C1044="","",IF('Assignment Tool'!C1044="FST",'Assignment Tool'!D1044,""))</f>
        <v/>
      </c>
    </row>
    <row r="1045" spans="7:7" x14ac:dyDescent="0.3">
      <c r="G1045" t="str">
        <f>IF('Assignment Tool'!C1045="","",IF('Assignment Tool'!C1045="FST",'Assignment Tool'!D1045,""))</f>
        <v/>
      </c>
    </row>
    <row r="1046" spans="7:7" x14ac:dyDescent="0.3">
      <c r="G1046" t="str">
        <f>IF('Assignment Tool'!C1046="","",IF('Assignment Tool'!C1046="FST",'Assignment Tool'!D1046,""))</f>
        <v/>
      </c>
    </row>
    <row r="1047" spans="7:7" x14ac:dyDescent="0.3">
      <c r="G1047" t="str">
        <f>IF('Assignment Tool'!C1047="","",IF('Assignment Tool'!C1047="FST",'Assignment Tool'!D1047,""))</f>
        <v/>
      </c>
    </row>
    <row r="1048" spans="7:7" x14ac:dyDescent="0.3">
      <c r="G1048" t="str">
        <f>IF('Assignment Tool'!C1048="","",IF('Assignment Tool'!C1048="FST",'Assignment Tool'!D1048,""))</f>
        <v/>
      </c>
    </row>
    <row r="1049" spans="7:7" x14ac:dyDescent="0.3">
      <c r="G1049" t="str">
        <f>IF('Assignment Tool'!C1049="","",IF('Assignment Tool'!C1049="FST",'Assignment Tool'!D1049,""))</f>
        <v/>
      </c>
    </row>
    <row r="1050" spans="7:7" x14ac:dyDescent="0.3">
      <c r="G1050" t="str">
        <f>IF('Assignment Tool'!C1050="","",IF('Assignment Tool'!C1050="FST",'Assignment Tool'!D1050,""))</f>
        <v/>
      </c>
    </row>
    <row r="1051" spans="7:7" x14ac:dyDescent="0.3">
      <c r="G1051" t="str">
        <f>IF('Assignment Tool'!C1051="","",IF('Assignment Tool'!C1051="FST",'Assignment Tool'!D1051,""))</f>
        <v/>
      </c>
    </row>
    <row r="1052" spans="7:7" x14ac:dyDescent="0.3">
      <c r="G1052" t="str">
        <f>IF('Assignment Tool'!C1052="","",IF('Assignment Tool'!C1052="FST",'Assignment Tool'!D1052,""))</f>
        <v/>
      </c>
    </row>
    <row r="1053" spans="7:7" x14ac:dyDescent="0.3">
      <c r="G1053" t="str">
        <f>IF('Assignment Tool'!C1053="","",IF('Assignment Tool'!C1053="FST",'Assignment Tool'!D1053,""))</f>
        <v/>
      </c>
    </row>
    <row r="1054" spans="7:7" x14ac:dyDescent="0.3">
      <c r="G1054" t="str">
        <f>IF('Assignment Tool'!C1054="","",IF('Assignment Tool'!C1054="FST",'Assignment Tool'!D1054,""))</f>
        <v/>
      </c>
    </row>
    <row r="1055" spans="7:7" x14ac:dyDescent="0.3">
      <c r="G1055" t="str">
        <f>IF('Assignment Tool'!C1055="","",IF('Assignment Tool'!C1055="FST",'Assignment Tool'!D1055,""))</f>
        <v/>
      </c>
    </row>
    <row r="1056" spans="7:7" x14ac:dyDescent="0.3">
      <c r="G1056" t="str">
        <f>IF('Assignment Tool'!C1056="","",IF('Assignment Tool'!C1056="FST",'Assignment Tool'!D1056,""))</f>
        <v/>
      </c>
    </row>
    <row r="1057" spans="7:7" x14ac:dyDescent="0.3">
      <c r="G1057" t="str">
        <f>IF('Assignment Tool'!C1057="","",IF('Assignment Tool'!C1057="FST",'Assignment Tool'!D1057,""))</f>
        <v/>
      </c>
    </row>
    <row r="1058" spans="7:7" x14ac:dyDescent="0.3">
      <c r="G1058" t="str">
        <f>IF('Assignment Tool'!C1058="","",IF('Assignment Tool'!C1058="FST",'Assignment Tool'!D1058,""))</f>
        <v/>
      </c>
    </row>
    <row r="1059" spans="7:7" x14ac:dyDescent="0.3">
      <c r="G1059" t="str">
        <f>IF('Assignment Tool'!C1059="","",IF('Assignment Tool'!C1059="FST",'Assignment Tool'!D1059,""))</f>
        <v/>
      </c>
    </row>
    <row r="1060" spans="7:7" x14ac:dyDescent="0.3">
      <c r="G1060" t="str">
        <f>IF('Assignment Tool'!C1060="","",IF('Assignment Tool'!C1060="FST",'Assignment Tool'!D1060,""))</f>
        <v/>
      </c>
    </row>
    <row r="1061" spans="7:7" x14ac:dyDescent="0.3">
      <c r="G1061" t="str">
        <f>IF('Assignment Tool'!C1061="","",IF('Assignment Tool'!C1061="FST",'Assignment Tool'!D1061,""))</f>
        <v/>
      </c>
    </row>
    <row r="1062" spans="7:7" x14ac:dyDescent="0.3">
      <c r="G1062" t="str">
        <f>IF('Assignment Tool'!C1062="","",IF('Assignment Tool'!C1062="FST",'Assignment Tool'!D1062,""))</f>
        <v/>
      </c>
    </row>
    <row r="1063" spans="7:7" x14ac:dyDescent="0.3">
      <c r="G1063" t="str">
        <f>IF('Assignment Tool'!C1063="","",IF('Assignment Tool'!C1063="FST",'Assignment Tool'!D1063,""))</f>
        <v/>
      </c>
    </row>
    <row r="1064" spans="7:7" x14ac:dyDescent="0.3">
      <c r="G1064" t="str">
        <f>IF('Assignment Tool'!C1064="","",IF('Assignment Tool'!C1064="FST",'Assignment Tool'!D1064,""))</f>
        <v/>
      </c>
    </row>
    <row r="1065" spans="7:7" x14ac:dyDescent="0.3">
      <c r="G1065" t="str">
        <f>IF('Assignment Tool'!C1065="","",IF('Assignment Tool'!C1065="FST",'Assignment Tool'!D1065,""))</f>
        <v/>
      </c>
    </row>
    <row r="1066" spans="7:7" x14ac:dyDescent="0.3">
      <c r="G1066" t="str">
        <f>IF('Assignment Tool'!C1066="","",IF('Assignment Tool'!C1066="FST",'Assignment Tool'!D1066,""))</f>
        <v/>
      </c>
    </row>
    <row r="1067" spans="7:7" x14ac:dyDescent="0.3">
      <c r="G1067" t="str">
        <f>IF('Assignment Tool'!C1067="","",IF('Assignment Tool'!C1067="FST",'Assignment Tool'!D1067,""))</f>
        <v/>
      </c>
    </row>
    <row r="1068" spans="7:7" x14ac:dyDescent="0.3">
      <c r="G1068" t="str">
        <f>IF('Assignment Tool'!C1068="","",IF('Assignment Tool'!C1068="FST",'Assignment Tool'!D1068,""))</f>
        <v/>
      </c>
    </row>
    <row r="1069" spans="7:7" x14ac:dyDescent="0.3">
      <c r="G1069" t="str">
        <f>IF('Assignment Tool'!C1069="","",IF('Assignment Tool'!C1069="FST",'Assignment Tool'!D1069,""))</f>
        <v/>
      </c>
    </row>
    <row r="1070" spans="7:7" x14ac:dyDescent="0.3">
      <c r="G1070" t="str">
        <f>IF('Assignment Tool'!C1070="","",IF('Assignment Tool'!C1070="FST",'Assignment Tool'!D1070,""))</f>
        <v/>
      </c>
    </row>
    <row r="1071" spans="7:7" x14ac:dyDescent="0.3">
      <c r="G1071" t="str">
        <f>IF('Assignment Tool'!C1071="","",IF('Assignment Tool'!C1071="FST",'Assignment Tool'!D1071,""))</f>
        <v/>
      </c>
    </row>
    <row r="1072" spans="7:7" x14ac:dyDescent="0.3">
      <c r="G1072" t="str">
        <f>IF('Assignment Tool'!C1072="","",IF('Assignment Tool'!C1072="FST",'Assignment Tool'!D1072,""))</f>
        <v/>
      </c>
    </row>
    <row r="1073" spans="7:7" x14ac:dyDescent="0.3">
      <c r="G1073" t="str">
        <f>IF('Assignment Tool'!C1073="","",IF('Assignment Tool'!C1073="FST",'Assignment Tool'!D1073,""))</f>
        <v/>
      </c>
    </row>
    <row r="1074" spans="7:7" x14ac:dyDescent="0.3">
      <c r="G1074" t="str">
        <f>IF('Assignment Tool'!C1074="","",IF('Assignment Tool'!C1074="FST",'Assignment Tool'!D1074,""))</f>
        <v/>
      </c>
    </row>
    <row r="1075" spans="7:7" x14ac:dyDescent="0.3">
      <c r="G1075" t="str">
        <f>IF('Assignment Tool'!C1075="","",IF('Assignment Tool'!C1075="FST",'Assignment Tool'!D1075,""))</f>
        <v/>
      </c>
    </row>
    <row r="1076" spans="7:7" x14ac:dyDescent="0.3">
      <c r="G1076" t="str">
        <f>IF('Assignment Tool'!C1076="","",IF('Assignment Tool'!C1076="FST",'Assignment Tool'!D1076,""))</f>
        <v/>
      </c>
    </row>
    <row r="1077" spans="7:7" x14ac:dyDescent="0.3">
      <c r="G1077" t="str">
        <f>IF('Assignment Tool'!C1077="","",IF('Assignment Tool'!C1077="FST",'Assignment Tool'!D1077,""))</f>
        <v/>
      </c>
    </row>
    <row r="1078" spans="7:7" x14ac:dyDescent="0.3">
      <c r="G1078" t="str">
        <f>IF('Assignment Tool'!C1078="","",IF('Assignment Tool'!C1078="FST",'Assignment Tool'!D1078,""))</f>
        <v/>
      </c>
    </row>
    <row r="1079" spans="7:7" x14ac:dyDescent="0.3">
      <c r="G1079" t="str">
        <f>IF('Assignment Tool'!C1079="","",IF('Assignment Tool'!C1079="FST",'Assignment Tool'!D1079,""))</f>
        <v/>
      </c>
    </row>
    <row r="1080" spans="7:7" x14ac:dyDescent="0.3">
      <c r="G1080" t="str">
        <f>IF('Assignment Tool'!C1080="","",IF('Assignment Tool'!C1080="FST",'Assignment Tool'!D1080,""))</f>
        <v/>
      </c>
    </row>
    <row r="1081" spans="7:7" x14ac:dyDescent="0.3">
      <c r="G1081" t="str">
        <f>IF('Assignment Tool'!C1081="","",IF('Assignment Tool'!C1081="FST",'Assignment Tool'!D1081,""))</f>
        <v/>
      </c>
    </row>
    <row r="1082" spans="7:7" x14ac:dyDescent="0.3">
      <c r="G1082" t="str">
        <f>IF('Assignment Tool'!C1082="","",IF('Assignment Tool'!C1082="FST",'Assignment Tool'!D1082,""))</f>
        <v/>
      </c>
    </row>
    <row r="1083" spans="7:7" x14ac:dyDescent="0.3">
      <c r="G1083" t="str">
        <f>IF('Assignment Tool'!C1083="","",IF('Assignment Tool'!C1083="FST",'Assignment Tool'!D1083,""))</f>
        <v/>
      </c>
    </row>
    <row r="1084" spans="7:7" x14ac:dyDescent="0.3">
      <c r="G1084" t="str">
        <f>IF('Assignment Tool'!C1084="","",IF('Assignment Tool'!C1084="FST",'Assignment Tool'!D1084,""))</f>
        <v/>
      </c>
    </row>
    <row r="1085" spans="7:7" x14ac:dyDescent="0.3">
      <c r="G1085" t="str">
        <f>IF('Assignment Tool'!C1085="","",IF('Assignment Tool'!C1085="FST",'Assignment Tool'!D1085,""))</f>
        <v/>
      </c>
    </row>
    <row r="1086" spans="7:7" x14ac:dyDescent="0.3">
      <c r="G1086" t="str">
        <f>IF('Assignment Tool'!C1086="","",IF('Assignment Tool'!C1086="FST",'Assignment Tool'!D1086,""))</f>
        <v/>
      </c>
    </row>
    <row r="1087" spans="7:7" x14ac:dyDescent="0.3">
      <c r="G1087" t="str">
        <f>IF('Assignment Tool'!C1087="","",IF('Assignment Tool'!C1087="FST",'Assignment Tool'!D1087,""))</f>
        <v/>
      </c>
    </row>
    <row r="1088" spans="7:7" x14ac:dyDescent="0.3">
      <c r="G1088" t="str">
        <f>IF('Assignment Tool'!C1088="","",IF('Assignment Tool'!C1088="FST",'Assignment Tool'!D1088,""))</f>
        <v/>
      </c>
    </row>
    <row r="1089" spans="7:7" x14ac:dyDescent="0.3">
      <c r="G1089" t="str">
        <f>IF('Assignment Tool'!C1089="","",IF('Assignment Tool'!C1089="FST",'Assignment Tool'!D1089,""))</f>
        <v/>
      </c>
    </row>
    <row r="1090" spans="7:7" x14ac:dyDescent="0.3">
      <c r="G1090" t="str">
        <f>IF('Assignment Tool'!C1090="","",IF('Assignment Tool'!C1090="FST",'Assignment Tool'!D1090,""))</f>
        <v/>
      </c>
    </row>
    <row r="1091" spans="7:7" x14ac:dyDescent="0.3">
      <c r="G1091" t="str">
        <f>IF('Assignment Tool'!C1091="","",IF('Assignment Tool'!C1091="FST",'Assignment Tool'!D1091,""))</f>
        <v/>
      </c>
    </row>
    <row r="1092" spans="7:7" x14ac:dyDescent="0.3">
      <c r="G1092" t="str">
        <f>IF('Assignment Tool'!C1092="","",IF('Assignment Tool'!C1092="FST",'Assignment Tool'!D1092,""))</f>
        <v/>
      </c>
    </row>
    <row r="1093" spans="7:7" x14ac:dyDescent="0.3">
      <c r="G1093" t="str">
        <f>IF('Assignment Tool'!C1093="","",IF('Assignment Tool'!C1093="FST",'Assignment Tool'!D1093,""))</f>
        <v/>
      </c>
    </row>
    <row r="1094" spans="7:7" x14ac:dyDescent="0.3">
      <c r="G1094" t="str">
        <f>IF('Assignment Tool'!C1094="","",IF('Assignment Tool'!C1094="FST",'Assignment Tool'!D1094,""))</f>
        <v/>
      </c>
    </row>
    <row r="1095" spans="7:7" x14ac:dyDescent="0.3">
      <c r="G1095" t="str">
        <f>IF('Assignment Tool'!C1095="","",IF('Assignment Tool'!C1095="FST",'Assignment Tool'!D1095,""))</f>
        <v/>
      </c>
    </row>
    <row r="1096" spans="7:7" x14ac:dyDescent="0.3">
      <c r="G1096" t="str">
        <f>IF('Assignment Tool'!C1096="","",IF('Assignment Tool'!C1096="FST",'Assignment Tool'!D1096,""))</f>
        <v/>
      </c>
    </row>
    <row r="1097" spans="7:7" x14ac:dyDescent="0.3">
      <c r="G1097" t="str">
        <f>IF('Assignment Tool'!C1097="","",IF('Assignment Tool'!C1097="FST",'Assignment Tool'!D1097,""))</f>
        <v/>
      </c>
    </row>
    <row r="1098" spans="7:7" x14ac:dyDescent="0.3">
      <c r="G1098" t="str">
        <f>IF('Assignment Tool'!C1098="","",IF('Assignment Tool'!C1098="FST",'Assignment Tool'!D1098,""))</f>
        <v/>
      </c>
    </row>
    <row r="1099" spans="7:7" x14ac:dyDescent="0.3">
      <c r="G1099" t="str">
        <f>IF('Assignment Tool'!C1099="","",IF('Assignment Tool'!C1099="FST",'Assignment Tool'!D1099,""))</f>
        <v/>
      </c>
    </row>
    <row r="1100" spans="7:7" x14ac:dyDescent="0.3">
      <c r="G1100" t="str">
        <f>IF('Assignment Tool'!C1100="","",IF('Assignment Tool'!C1100="FST",'Assignment Tool'!D1100,""))</f>
        <v/>
      </c>
    </row>
    <row r="1101" spans="7:7" x14ac:dyDescent="0.3">
      <c r="G1101" t="str">
        <f>IF('Assignment Tool'!C1101="","",IF('Assignment Tool'!C1101="FST",'Assignment Tool'!D1101,""))</f>
        <v/>
      </c>
    </row>
    <row r="1102" spans="7:7" x14ac:dyDescent="0.3">
      <c r="G1102" t="str">
        <f>IF('Assignment Tool'!C1102="","",IF('Assignment Tool'!C1102="FST",'Assignment Tool'!D1102,""))</f>
        <v/>
      </c>
    </row>
    <row r="1103" spans="7:7" x14ac:dyDescent="0.3">
      <c r="G1103" t="str">
        <f>IF('Assignment Tool'!C1103="","",IF('Assignment Tool'!C1103="FST",'Assignment Tool'!D1103,""))</f>
        <v/>
      </c>
    </row>
    <row r="1104" spans="7:7" x14ac:dyDescent="0.3">
      <c r="G1104" t="str">
        <f>IF('Assignment Tool'!C1104="","",IF('Assignment Tool'!C1104="FST",'Assignment Tool'!D1104,""))</f>
        <v/>
      </c>
    </row>
    <row r="1105" spans="7:7" x14ac:dyDescent="0.3">
      <c r="G1105" t="str">
        <f>IF('Assignment Tool'!C1105="","",IF('Assignment Tool'!C1105="FST",'Assignment Tool'!D1105,""))</f>
        <v/>
      </c>
    </row>
    <row r="1106" spans="7:7" x14ac:dyDescent="0.3">
      <c r="G1106" t="str">
        <f>IF('Assignment Tool'!C1106="","",IF('Assignment Tool'!C1106="FST",'Assignment Tool'!D1106,""))</f>
        <v/>
      </c>
    </row>
    <row r="1107" spans="7:7" x14ac:dyDescent="0.3">
      <c r="G1107" t="str">
        <f>IF('Assignment Tool'!C1107="","",IF('Assignment Tool'!C1107="FST",'Assignment Tool'!D1107,""))</f>
        <v/>
      </c>
    </row>
    <row r="1108" spans="7:7" x14ac:dyDescent="0.3">
      <c r="G1108" t="str">
        <f>IF('Assignment Tool'!C1108="","",IF('Assignment Tool'!C1108="FST",'Assignment Tool'!D1108,""))</f>
        <v/>
      </c>
    </row>
    <row r="1109" spans="7:7" x14ac:dyDescent="0.3">
      <c r="G1109" t="str">
        <f>IF('Assignment Tool'!C1109="","",IF('Assignment Tool'!C1109="FST",'Assignment Tool'!D1109,""))</f>
        <v/>
      </c>
    </row>
    <row r="1110" spans="7:7" x14ac:dyDescent="0.3">
      <c r="G1110" t="str">
        <f>IF('Assignment Tool'!C1110="","",IF('Assignment Tool'!C1110="FST",'Assignment Tool'!D1110,""))</f>
        <v/>
      </c>
    </row>
    <row r="1111" spans="7:7" x14ac:dyDescent="0.3">
      <c r="G1111" t="str">
        <f>IF('Assignment Tool'!C1111="","",IF('Assignment Tool'!C1111="FST",'Assignment Tool'!D1111,""))</f>
        <v/>
      </c>
    </row>
    <row r="1112" spans="7:7" x14ac:dyDescent="0.3">
      <c r="G1112" t="str">
        <f>IF('Assignment Tool'!C1112="","",IF('Assignment Tool'!C1112="FST",'Assignment Tool'!D1112,""))</f>
        <v/>
      </c>
    </row>
    <row r="1113" spans="7:7" x14ac:dyDescent="0.3">
      <c r="G1113" t="str">
        <f>IF('Assignment Tool'!C1113="","",IF('Assignment Tool'!C1113="FST",'Assignment Tool'!D1113,""))</f>
        <v/>
      </c>
    </row>
    <row r="1114" spans="7:7" x14ac:dyDescent="0.3">
      <c r="G1114" t="str">
        <f>IF('Assignment Tool'!C1114="","",IF('Assignment Tool'!C1114="FST",'Assignment Tool'!D1114,""))</f>
        <v/>
      </c>
    </row>
    <row r="1115" spans="7:7" x14ac:dyDescent="0.3">
      <c r="G1115" t="str">
        <f>IF('Assignment Tool'!C1115="","",IF('Assignment Tool'!C1115="FST",'Assignment Tool'!D1115,""))</f>
        <v/>
      </c>
    </row>
    <row r="1116" spans="7:7" x14ac:dyDescent="0.3">
      <c r="G1116" t="str">
        <f>IF('Assignment Tool'!C1116="","",IF('Assignment Tool'!C1116="FST",'Assignment Tool'!D1116,""))</f>
        <v/>
      </c>
    </row>
    <row r="1117" spans="7:7" x14ac:dyDescent="0.3">
      <c r="G1117" t="str">
        <f>IF('Assignment Tool'!C1117="","",IF('Assignment Tool'!C1117="FST",'Assignment Tool'!D1117,""))</f>
        <v/>
      </c>
    </row>
    <row r="1118" spans="7:7" x14ac:dyDescent="0.3">
      <c r="G1118" t="str">
        <f>IF('Assignment Tool'!C1118="","",IF('Assignment Tool'!C1118="FST",'Assignment Tool'!D1118,""))</f>
        <v/>
      </c>
    </row>
    <row r="1119" spans="7:7" x14ac:dyDescent="0.3">
      <c r="G1119" t="str">
        <f>IF('Assignment Tool'!C1119="","",IF('Assignment Tool'!C1119="FST",'Assignment Tool'!D1119,""))</f>
        <v/>
      </c>
    </row>
    <row r="1120" spans="7:7" x14ac:dyDescent="0.3">
      <c r="G1120" t="str">
        <f>IF('Assignment Tool'!C1120="","",IF('Assignment Tool'!C1120="FST",'Assignment Tool'!D1120,""))</f>
        <v/>
      </c>
    </row>
    <row r="1121" spans="7:7" x14ac:dyDescent="0.3">
      <c r="G1121" t="str">
        <f>IF('Assignment Tool'!C1121="","",IF('Assignment Tool'!C1121="FST",'Assignment Tool'!D1121,""))</f>
        <v/>
      </c>
    </row>
    <row r="1122" spans="7:7" x14ac:dyDescent="0.3">
      <c r="G1122" t="str">
        <f>IF('Assignment Tool'!C1122="","",IF('Assignment Tool'!C1122="FST",'Assignment Tool'!D1122,""))</f>
        <v/>
      </c>
    </row>
    <row r="1123" spans="7:7" x14ac:dyDescent="0.3">
      <c r="G1123" t="str">
        <f>IF('Assignment Tool'!C1123="","",IF('Assignment Tool'!C1123="FST",'Assignment Tool'!D1123,""))</f>
        <v/>
      </c>
    </row>
    <row r="1124" spans="7:7" x14ac:dyDescent="0.3">
      <c r="G1124" t="str">
        <f>IF('Assignment Tool'!C1124="","",IF('Assignment Tool'!C1124="FST",'Assignment Tool'!D1124,""))</f>
        <v/>
      </c>
    </row>
    <row r="1125" spans="7:7" x14ac:dyDescent="0.3">
      <c r="G1125" t="str">
        <f>IF('Assignment Tool'!C1125="","",IF('Assignment Tool'!C1125="FST",'Assignment Tool'!D1125,""))</f>
        <v/>
      </c>
    </row>
    <row r="1126" spans="7:7" x14ac:dyDescent="0.3">
      <c r="G1126" t="str">
        <f>IF('Assignment Tool'!C1126="","",IF('Assignment Tool'!C1126="FST",'Assignment Tool'!D1126,""))</f>
        <v/>
      </c>
    </row>
    <row r="1127" spans="7:7" x14ac:dyDescent="0.3">
      <c r="G1127" t="str">
        <f>IF('Assignment Tool'!C1127="","",IF('Assignment Tool'!C1127="FST",'Assignment Tool'!D1127,""))</f>
        <v/>
      </c>
    </row>
    <row r="1128" spans="7:7" x14ac:dyDescent="0.3">
      <c r="G1128" t="str">
        <f>IF('Assignment Tool'!C1128="","",IF('Assignment Tool'!C1128="FST",'Assignment Tool'!D1128,""))</f>
        <v/>
      </c>
    </row>
    <row r="1129" spans="7:7" x14ac:dyDescent="0.3">
      <c r="G1129" t="str">
        <f>IF('Assignment Tool'!C1129="","",IF('Assignment Tool'!C1129="FST",'Assignment Tool'!D1129,""))</f>
        <v/>
      </c>
    </row>
    <row r="1130" spans="7:7" x14ac:dyDescent="0.3">
      <c r="G1130" t="str">
        <f>IF('Assignment Tool'!C1130="","",IF('Assignment Tool'!C1130="FST",'Assignment Tool'!D1130,""))</f>
        <v/>
      </c>
    </row>
    <row r="1131" spans="7:7" x14ac:dyDescent="0.3">
      <c r="G1131" t="str">
        <f>IF('Assignment Tool'!C1131="","",IF('Assignment Tool'!C1131="FST",'Assignment Tool'!D1131,""))</f>
        <v/>
      </c>
    </row>
    <row r="1132" spans="7:7" x14ac:dyDescent="0.3">
      <c r="G1132" t="str">
        <f>IF('Assignment Tool'!C1132="","",IF('Assignment Tool'!C1132="FST",'Assignment Tool'!D1132,""))</f>
        <v/>
      </c>
    </row>
    <row r="1133" spans="7:7" x14ac:dyDescent="0.3">
      <c r="G1133" t="str">
        <f>IF('Assignment Tool'!C1133="","",IF('Assignment Tool'!C1133="FST",'Assignment Tool'!D1133,""))</f>
        <v/>
      </c>
    </row>
    <row r="1134" spans="7:7" x14ac:dyDescent="0.3">
      <c r="G1134" t="str">
        <f>IF('Assignment Tool'!C1134="","",IF('Assignment Tool'!C1134="FST",'Assignment Tool'!D1134,""))</f>
        <v/>
      </c>
    </row>
    <row r="1135" spans="7:7" x14ac:dyDescent="0.3">
      <c r="G1135" t="str">
        <f>IF('Assignment Tool'!C1135="","",IF('Assignment Tool'!C1135="FST",'Assignment Tool'!D1135,""))</f>
        <v/>
      </c>
    </row>
    <row r="1136" spans="7:7" x14ac:dyDescent="0.3">
      <c r="G1136" t="str">
        <f>IF('Assignment Tool'!C1136="","",IF('Assignment Tool'!C1136="FST",'Assignment Tool'!D1136,""))</f>
        <v/>
      </c>
    </row>
    <row r="1137" spans="7:7" x14ac:dyDescent="0.3">
      <c r="G1137" t="str">
        <f>IF('Assignment Tool'!C1137="","",IF('Assignment Tool'!C1137="FST",'Assignment Tool'!D1137,""))</f>
        <v/>
      </c>
    </row>
    <row r="1138" spans="7:7" x14ac:dyDescent="0.3">
      <c r="G1138" t="str">
        <f>IF('Assignment Tool'!C1138="","",IF('Assignment Tool'!C1138="FST",'Assignment Tool'!D1138,""))</f>
        <v/>
      </c>
    </row>
    <row r="1139" spans="7:7" x14ac:dyDescent="0.3">
      <c r="G1139" t="str">
        <f>IF('Assignment Tool'!C1139="","",IF('Assignment Tool'!C1139="FST",'Assignment Tool'!D1139,""))</f>
        <v/>
      </c>
    </row>
    <row r="1140" spans="7:7" x14ac:dyDescent="0.3">
      <c r="G1140" t="str">
        <f>IF('Assignment Tool'!C1140="","",IF('Assignment Tool'!C1140="FST",'Assignment Tool'!D1140,""))</f>
        <v/>
      </c>
    </row>
    <row r="1141" spans="7:7" x14ac:dyDescent="0.3">
      <c r="G1141" t="str">
        <f>IF('Assignment Tool'!C1141="","",IF('Assignment Tool'!C1141="FST",'Assignment Tool'!D1141,""))</f>
        <v/>
      </c>
    </row>
    <row r="1142" spans="7:7" x14ac:dyDescent="0.3">
      <c r="G1142" t="str">
        <f>IF('Assignment Tool'!C1142="","",IF('Assignment Tool'!C1142="FST",'Assignment Tool'!D1142,""))</f>
        <v/>
      </c>
    </row>
    <row r="1143" spans="7:7" x14ac:dyDescent="0.3">
      <c r="G1143" t="str">
        <f>IF('Assignment Tool'!C1143="","",IF('Assignment Tool'!C1143="FST",'Assignment Tool'!D1143,""))</f>
        <v/>
      </c>
    </row>
    <row r="1144" spans="7:7" x14ac:dyDescent="0.3">
      <c r="G1144" t="str">
        <f>IF('Assignment Tool'!C1144="","",IF('Assignment Tool'!C1144="FST",'Assignment Tool'!D1144,""))</f>
        <v/>
      </c>
    </row>
    <row r="1145" spans="7:7" x14ac:dyDescent="0.3">
      <c r="G1145" t="str">
        <f>IF('Assignment Tool'!C1145="","",IF('Assignment Tool'!C1145="FST",'Assignment Tool'!D1145,""))</f>
        <v/>
      </c>
    </row>
    <row r="1146" spans="7:7" x14ac:dyDescent="0.3">
      <c r="G1146" t="str">
        <f>IF('Assignment Tool'!C1146="","",IF('Assignment Tool'!C1146="FST",'Assignment Tool'!D1146,""))</f>
        <v/>
      </c>
    </row>
    <row r="1147" spans="7:7" x14ac:dyDescent="0.3">
      <c r="G1147" t="str">
        <f>IF('Assignment Tool'!C1147="","",IF('Assignment Tool'!C1147="FST",'Assignment Tool'!D1147,""))</f>
        <v/>
      </c>
    </row>
    <row r="1148" spans="7:7" x14ac:dyDescent="0.3">
      <c r="G1148" t="str">
        <f>IF('Assignment Tool'!C1148="","",IF('Assignment Tool'!C1148="FST",'Assignment Tool'!D1148,""))</f>
        <v/>
      </c>
    </row>
    <row r="1149" spans="7:7" x14ac:dyDescent="0.3">
      <c r="G1149" t="str">
        <f>IF('Assignment Tool'!C1149="","",IF('Assignment Tool'!C1149="FST",'Assignment Tool'!D1149,""))</f>
        <v/>
      </c>
    </row>
    <row r="1150" spans="7:7" x14ac:dyDescent="0.3">
      <c r="G1150" t="str">
        <f>IF('Assignment Tool'!C1150="","",IF('Assignment Tool'!C1150="FST",'Assignment Tool'!D1150,""))</f>
        <v/>
      </c>
    </row>
    <row r="1151" spans="7:7" x14ac:dyDescent="0.3">
      <c r="G1151" t="str">
        <f>IF('Assignment Tool'!C1151="","",IF('Assignment Tool'!C1151="FST",'Assignment Tool'!D1151,""))</f>
        <v/>
      </c>
    </row>
    <row r="1152" spans="7:7" x14ac:dyDescent="0.3">
      <c r="G1152" t="str">
        <f>IF('Assignment Tool'!C1152="","",IF('Assignment Tool'!C1152="FST",'Assignment Tool'!D1152,""))</f>
        <v/>
      </c>
    </row>
    <row r="1153" spans="7:7" x14ac:dyDescent="0.3">
      <c r="G1153" t="str">
        <f>IF('Assignment Tool'!C1153="","",IF('Assignment Tool'!C1153="FST",'Assignment Tool'!D1153,""))</f>
        <v/>
      </c>
    </row>
    <row r="1154" spans="7:7" x14ac:dyDescent="0.3">
      <c r="G1154" t="str">
        <f>IF('Assignment Tool'!C1154="","",IF('Assignment Tool'!C1154="FST",'Assignment Tool'!D1154,""))</f>
        <v/>
      </c>
    </row>
    <row r="1155" spans="7:7" x14ac:dyDescent="0.3">
      <c r="G1155" t="str">
        <f>IF('Assignment Tool'!C1155="","",IF('Assignment Tool'!C1155="FST",'Assignment Tool'!D1155,""))</f>
        <v/>
      </c>
    </row>
    <row r="1156" spans="7:7" x14ac:dyDescent="0.3">
      <c r="G1156" t="str">
        <f>IF('Assignment Tool'!C1156="","",IF('Assignment Tool'!C1156="FST",'Assignment Tool'!D1156,""))</f>
        <v/>
      </c>
    </row>
    <row r="1157" spans="7:7" x14ac:dyDescent="0.3">
      <c r="G1157" t="str">
        <f>IF('Assignment Tool'!C1157="","",IF('Assignment Tool'!C1157="FST",'Assignment Tool'!D1157,""))</f>
        <v/>
      </c>
    </row>
    <row r="1158" spans="7:7" x14ac:dyDescent="0.3">
      <c r="G1158" t="str">
        <f>IF('Assignment Tool'!C1158="","",IF('Assignment Tool'!C1158="FST",'Assignment Tool'!D1158,""))</f>
        <v/>
      </c>
    </row>
    <row r="1159" spans="7:7" x14ac:dyDescent="0.3">
      <c r="G1159" t="str">
        <f>IF('Assignment Tool'!C1159="","",IF('Assignment Tool'!C1159="FST",'Assignment Tool'!D1159,""))</f>
        <v/>
      </c>
    </row>
    <row r="1160" spans="7:7" x14ac:dyDescent="0.3">
      <c r="G1160" t="str">
        <f>IF('Assignment Tool'!C1160="","",IF('Assignment Tool'!C1160="FST",'Assignment Tool'!D1160,""))</f>
        <v/>
      </c>
    </row>
    <row r="1161" spans="7:7" x14ac:dyDescent="0.3">
      <c r="G1161" t="str">
        <f>IF('Assignment Tool'!C1161="","",IF('Assignment Tool'!C1161="FST",'Assignment Tool'!D1161,""))</f>
        <v/>
      </c>
    </row>
    <row r="1162" spans="7:7" x14ac:dyDescent="0.3">
      <c r="G1162" t="str">
        <f>IF('Assignment Tool'!C1162="","",IF('Assignment Tool'!C1162="FST",'Assignment Tool'!D1162,""))</f>
        <v/>
      </c>
    </row>
    <row r="1163" spans="7:7" x14ac:dyDescent="0.3">
      <c r="G1163" t="str">
        <f>IF('Assignment Tool'!C1163="","",IF('Assignment Tool'!C1163="FST",'Assignment Tool'!D1163,""))</f>
        <v/>
      </c>
    </row>
    <row r="1164" spans="7:7" x14ac:dyDescent="0.3">
      <c r="G1164" t="str">
        <f>IF('Assignment Tool'!C1164="","",IF('Assignment Tool'!C1164="FST",'Assignment Tool'!D1164,""))</f>
        <v/>
      </c>
    </row>
    <row r="1165" spans="7:7" x14ac:dyDescent="0.3">
      <c r="G1165" t="str">
        <f>IF('Assignment Tool'!C1165="","",IF('Assignment Tool'!C1165="FST",'Assignment Tool'!D1165,""))</f>
        <v/>
      </c>
    </row>
    <row r="1166" spans="7:7" x14ac:dyDescent="0.3">
      <c r="G1166" t="str">
        <f>IF('Assignment Tool'!C1166="","",IF('Assignment Tool'!C1166="FST",'Assignment Tool'!D1166,""))</f>
        <v/>
      </c>
    </row>
    <row r="1167" spans="7:7" x14ac:dyDescent="0.3">
      <c r="G1167" t="str">
        <f>IF('Assignment Tool'!C1167="","",IF('Assignment Tool'!C1167="FST",'Assignment Tool'!D1167,""))</f>
        <v/>
      </c>
    </row>
    <row r="1168" spans="7:7" x14ac:dyDescent="0.3">
      <c r="G1168" t="str">
        <f>IF('Assignment Tool'!C1168="","",IF('Assignment Tool'!C1168="FST",'Assignment Tool'!D1168,""))</f>
        <v/>
      </c>
    </row>
    <row r="1169" spans="7:7" x14ac:dyDescent="0.3">
      <c r="G1169" t="str">
        <f>IF('Assignment Tool'!C1169="","",IF('Assignment Tool'!C1169="FST",'Assignment Tool'!D1169,""))</f>
        <v/>
      </c>
    </row>
    <row r="1170" spans="7:7" x14ac:dyDescent="0.3">
      <c r="G1170" t="str">
        <f>IF('Assignment Tool'!C1170="","",IF('Assignment Tool'!C1170="FST",'Assignment Tool'!D1170,""))</f>
        <v/>
      </c>
    </row>
    <row r="1171" spans="7:7" x14ac:dyDescent="0.3">
      <c r="G1171" t="str">
        <f>IF('Assignment Tool'!C1171="","",IF('Assignment Tool'!C1171="FST",'Assignment Tool'!D1171,""))</f>
        <v/>
      </c>
    </row>
    <row r="1172" spans="7:7" x14ac:dyDescent="0.3">
      <c r="G1172" t="str">
        <f>IF('Assignment Tool'!C1172="","",IF('Assignment Tool'!C1172="FST",'Assignment Tool'!D1172,""))</f>
        <v/>
      </c>
    </row>
    <row r="1173" spans="7:7" x14ac:dyDescent="0.3">
      <c r="G1173" t="str">
        <f>IF('Assignment Tool'!C1173="","",IF('Assignment Tool'!C1173="FST",'Assignment Tool'!D1173,""))</f>
        <v/>
      </c>
    </row>
    <row r="1174" spans="7:7" x14ac:dyDescent="0.3">
      <c r="G1174" t="str">
        <f>IF('Assignment Tool'!C1174="","",IF('Assignment Tool'!C1174="FST",'Assignment Tool'!D1174,""))</f>
        <v/>
      </c>
    </row>
    <row r="1175" spans="7:7" x14ac:dyDescent="0.3">
      <c r="G1175" t="str">
        <f>IF('Assignment Tool'!C1175="","",IF('Assignment Tool'!C1175="FST",'Assignment Tool'!D1175,""))</f>
        <v/>
      </c>
    </row>
    <row r="1176" spans="7:7" x14ac:dyDescent="0.3">
      <c r="G1176" t="str">
        <f>IF('Assignment Tool'!C1176="","",IF('Assignment Tool'!C1176="FST",'Assignment Tool'!D1176,""))</f>
        <v/>
      </c>
    </row>
    <row r="1177" spans="7:7" x14ac:dyDescent="0.3">
      <c r="G1177" t="str">
        <f>IF('Assignment Tool'!C1177="","",IF('Assignment Tool'!C1177="FST",'Assignment Tool'!D1177,""))</f>
        <v/>
      </c>
    </row>
    <row r="1178" spans="7:7" x14ac:dyDescent="0.3">
      <c r="G1178" t="str">
        <f>IF('Assignment Tool'!C1178="","",IF('Assignment Tool'!C1178="FST",'Assignment Tool'!D1178,""))</f>
        <v/>
      </c>
    </row>
    <row r="1179" spans="7:7" x14ac:dyDescent="0.3">
      <c r="G1179" t="str">
        <f>IF('Assignment Tool'!C1179="","",IF('Assignment Tool'!C1179="FST",'Assignment Tool'!D1179,""))</f>
        <v/>
      </c>
    </row>
    <row r="1180" spans="7:7" x14ac:dyDescent="0.3">
      <c r="G1180" t="str">
        <f>IF('Assignment Tool'!C1180="","",IF('Assignment Tool'!C1180="FST",'Assignment Tool'!D1180,""))</f>
        <v/>
      </c>
    </row>
    <row r="1181" spans="7:7" x14ac:dyDescent="0.3">
      <c r="G1181" t="str">
        <f>IF('Assignment Tool'!C1181="","",IF('Assignment Tool'!C1181="FST",'Assignment Tool'!D1181,""))</f>
        <v/>
      </c>
    </row>
    <row r="1182" spans="7:7" x14ac:dyDescent="0.3">
      <c r="G1182" t="str">
        <f>IF('Assignment Tool'!C1182="","",IF('Assignment Tool'!C1182="FST",'Assignment Tool'!D1182,""))</f>
        <v/>
      </c>
    </row>
    <row r="1183" spans="7:7" x14ac:dyDescent="0.3">
      <c r="G1183" t="str">
        <f>IF('Assignment Tool'!C1183="","",IF('Assignment Tool'!C1183="FST",'Assignment Tool'!D1183,""))</f>
        <v/>
      </c>
    </row>
    <row r="1184" spans="7:7" x14ac:dyDescent="0.3">
      <c r="G1184" t="str">
        <f>IF('Assignment Tool'!C1184="","",IF('Assignment Tool'!C1184="FST",'Assignment Tool'!D1184,""))</f>
        <v/>
      </c>
    </row>
    <row r="1185" spans="7:7" x14ac:dyDescent="0.3">
      <c r="G1185" t="str">
        <f>IF('Assignment Tool'!C1185="","",IF('Assignment Tool'!C1185="FST",'Assignment Tool'!D1185,""))</f>
        <v/>
      </c>
    </row>
    <row r="1186" spans="7:7" x14ac:dyDescent="0.3">
      <c r="G1186" t="str">
        <f>IF('Assignment Tool'!C1186="","",IF('Assignment Tool'!C1186="FST",'Assignment Tool'!D1186,""))</f>
        <v/>
      </c>
    </row>
    <row r="1187" spans="7:7" x14ac:dyDescent="0.3">
      <c r="G1187" t="str">
        <f>IF('Assignment Tool'!C1187="","",IF('Assignment Tool'!C1187="FST",'Assignment Tool'!D1187,""))</f>
        <v/>
      </c>
    </row>
    <row r="1188" spans="7:7" x14ac:dyDescent="0.3">
      <c r="G1188" t="str">
        <f>IF('Assignment Tool'!C1188="","",IF('Assignment Tool'!C1188="FST",'Assignment Tool'!D1188,""))</f>
        <v/>
      </c>
    </row>
    <row r="1189" spans="7:7" x14ac:dyDescent="0.3">
      <c r="G1189" t="str">
        <f>IF('Assignment Tool'!C1189="","",IF('Assignment Tool'!C1189="FST",'Assignment Tool'!D1189,""))</f>
        <v/>
      </c>
    </row>
    <row r="1190" spans="7:7" x14ac:dyDescent="0.3">
      <c r="G1190" t="str">
        <f>IF('Assignment Tool'!C1190="","",IF('Assignment Tool'!C1190="FST",'Assignment Tool'!D1190,""))</f>
        <v/>
      </c>
    </row>
    <row r="1191" spans="7:7" x14ac:dyDescent="0.3">
      <c r="G1191" t="str">
        <f>IF('Assignment Tool'!C1191="","",IF('Assignment Tool'!C1191="FST",'Assignment Tool'!D1191,""))</f>
        <v/>
      </c>
    </row>
    <row r="1192" spans="7:7" x14ac:dyDescent="0.3">
      <c r="G1192" t="str">
        <f>IF('Assignment Tool'!C1192="","",IF('Assignment Tool'!C1192="FST",'Assignment Tool'!D1192,""))</f>
        <v/>
      </c>
    </row>
    <row r="1193" spans="7:7" x14ac:dyDescent="0.3">
      <c r="G1193" t="str">
        <f>IF('Assignment Tool'!C1193="","",IF('Assignment Tool'!C1193="FST",'Assignment Tool'!D1193,""))</f>
        <v/>
      </c>
    </row>
    <row r="1194" spans="7:7" x14ac:dyDescent="0.3">
      <c r="G1194" t="str">
        <f>IF('Assignment Tool'!C1194="","",IF('Assignment Tool'!C1194="FST",'Assignment Tool'!D1194,""))</f>
        <v/>
      </c>
    </row>
    <row r="1195" spans="7:7" x14ac:dyDescent="0.3">
      <c r="G1195" t="str">
        <f>IF('Assignment Tool'!C1195="","",IF('Assignment Tool'!C1195="FST",'Assignment Tool'!D1195,""))</f>
        <v/>
      </c>
    </row>
    <row r="1196" spans="7:7" x14ac:dyDescent="0.3">
      <c r="G1196" t="str">
        <f>IF('Assignment Tool'!C1196="","",IF('Assignment Tool'!C1196="FST",'Assignment Tool'!D1196,""))</f>
        <v/>
      </c>
    </row>
    <row r="1197" spans="7:7" x14ac:dyDescent="0.3">
      <c r="G1197" t="str">
        <f>IF('Assignment Tool'!C1197="","",IF('Assignment Tool'!C1197="FST",'Assignment Tool'!D1197,""))</f>
        <v/>
      </c>
    </row>
    <row r="1198" spans="7:7" x14ac:dyDescent="0.3">
      <c r="G1198" t="str">
        <f>IF('Assignment Tool'!C1198="","",IF('Assignment Tool'!C1198="FST",'Assignment Tool'!D1198,""))</f>
        <v/>
      </c>
    </row>
    <row r="1199" spans="7:7" x14ac:dyDescent="0.3">
      <c r="G1199" t="str">
        <f>IF('Assignment Tool'!C1199="","",IF('Assignment Tool'!C1199="FST",'Assignment Tool'!D1199,""))</f>
        <v/>
      </c>
    </row>
    <row r="1200" spans="7:7" x14ac:dyDescent="0.3">
      <c r="G1200" t="str">
        <f>IF('Assignment Tool'!C1200="","",IF('Assignment Tool'!C1200="FST",'Assignment Tool'!D1200,""))</f>
        <v/>
      </c>
    </row>
    <row r="1201" spans="7:7" x14ac:dyDescent="0.3">
      <c r="G1201" t="str">
        <f>IF('Assignment Tool'!C1201="","",IF('Assignment Tool'!C1201="FST",'Assignment Tool'!D1201,""))</f>
        <v/>
      </c>
    </row>
    <row r="1202" spans="7:7" x14ac:dyDescent="0.3">
      <c r="G1202" t="str">
        <f>IF('Assignment Tool'!C1202="","",IF('Assignment Tool'!C1202="FST",'Assignment Tool'!D1202,""))</f>
        <v/>
      </c>
    </row>
    <row r="1203" spans="7:7" x14ac:dyDescent="0.3">
      <c r="G1203" t="str">
        <f>IF('Assignment Tool'!C1203="","",IF('Assignment Tool'!C1203="FST",'Assignment Tool'!D1203,""))</f>
        <v/>
      </c>
    </row>
    <row r="1204" spans="7:7" x14ac:dyDescent="0.3">
      <c r="G1204" t="str">
        <f>IF('Assignment Tool'!C1204="","",IF('Assignment Tool'!C1204="FST",'Assignment Tool'!D1204,""))</f>
        <v/>
      </c>
    </row>
    <row r="1205" spans="7:7" x14ac:dyDescent="0.3">
      <c r="G1205" t="str">
        <f>IF('Assignment Tool'!C1205="","",IF('Assignment Tool'!C1205="FST",'Assignment Tool'!D1205,""))</f>
        <v/>
      </c>
    </row>
    <row r="1206" spans="7:7" x14ac:dyDescent="0.3">
      <c r="G1206" t="str">
        <f>IF('Assignment Tool'!C1206="","",IF('Assignment Tool'!C1206="FST",'Assignment Tool'!D1206,""))</f>
        <v/>
      </c>
    </row>
    <row r="1207" spans="7:7" x14ac:dyDescent="0.3">
      <c r="G1207" t="str">
        <f>IF('Assignment Tool'!C1207="","",IF('Assignment Tool'!C1207="FST",'Assignment Tool'!D1207,""))</f>
        <v/>
      </c>
    </row>
    <row r="1208" spans="7:7" x14ac:dyDescent="0.3">
      <c r="G1208" t="str">
        <f>IF('Assignment Tool'!C1208="","",IF('Assignment Tool'!C1208="FST",'Assignment Tool'!D1208,""))</f>
        <v/>
      </c>
    </row>
    <row r="1209" spans="7:7" x14ac:dyDescent="0.3">
      <c r="G1209" t="str">
        <f>IF('Assignment Tool'!C1209="","",IF('Assignment Tool'!C1209="FST",'Assignment Tool'!D1209,""))</f>
        <v/>
      </c>
    </row>
    <row r="1210" spans="7:7" x14ac:dyDescent="0.3">
      <c r="G1210" t="str">
        <f>IF('Assignment Tool'!C1210="","",IF('Assignment Tool'!C1210="FST",'Assignment Tool'!D1210,""))</f>
        <v/>
      </c>
    </row>
    <row r="1211" spans="7:7" x14ac:dyDescent="0.3">
      <c r="G1211" t="str">
        <f>IF('Assignment Tool'!C1211="","",IF('Assignment Tool'!C1211="FST",'Assignment Tool'!D1211,""))</f>
        <v/>
      </c>
    </row>
    <row r="1212" spans="7:7" x14ac:dyDescent="0.3">
      <c r="G1212" t="str">
        <f>IF('Assignment Tool'!C1212="","",IF('Assignment Tool'!C1212="FST",'Assignment Tool'!D1212,""))</f>
        <v/>
      </c>
    </row>
    <row r="1213" spans="7:7" x14ac:dyDescent="0.3">
      <c r="G1213" t="str">
        <f>IF('Assignment Tool'!C1213="","",IF('Assignment Tool'!C1213="FST",'Assignment Tool'!D1213,""))</f>
        <v/>
      </c>
    </row>
    <row r="1214" spans="7:7" x14ac:dyDescent="0.3">
      <c r="G1214" t="str">
        <f>IF('Assignment Tool'!C1214="","",IF('Assignment Tool'!C1214="FST",'Assignment Tool'!D1214,""))</f>
        <v/>
      </c>
    </row>
    <row r="1215" spans="7:7" x14ac:dyDescent="0.3">
      <c r="G1215" t="str">
        <f>IF('Assignment Tool'!C1215="","",IF('Assignment Tool'!C1215="FST",'Assignment Tool'!D1215,""))</f>
        <v/>
      </c>
    </row>
    <row r="1216" spans="7:7" x14ac:dyDescent="0.3">
      <c r="G1216" t="str">
        <f>IF('Assignment Tool'!C1216="","",IF('Assignment Tool'!C1216="FST",'Assignment Tool'!D1216,""))</f>
        <v/>
      </c>
    </row>
    <row r="1217" spans="7:7" x14ac:dyDescent="0.3">
      <c r="G1217" t="str">
        <f>IF('Assignment Tool'!C1217="","",IF('Assignment Tool'!C1217="FST",'Assignment Tool'!D1217,""))</f>
        <v/>
      </c>
    </row>
    <row r="1218" spans="7:7" x14ac:dyDescent="0.3">
      <c r="G1218" t="str">
        <f>IF('Assignment Tool'!C1218="","",IF('Assignment Tool'!C1218="FST",'Assignment Tool'!D1218,""))</f>
        <v/>
      </c>
    </row>
    <row r="1219" spans="7:7" x14ac:dyDescent="0.3">
      <c r="G1219" t="str">
        <f>IF('Assignment Tool'!C1219="","",IF('Assignment Tool'!C1219="FST",'Assignment Tool'!D1219,""))</f>
        <v/>
      </c>
    </row>
    <row r="1220" spans="7:7" x14ac:dyDescent="0.3">
      <c r="G1220" t="str">
        <f>IF('Assignment Tool'!C1220="","",IF('Assignment Tool'!C1220="FST",'Assignment Tool'!D1220,""))</f>
        <v/>
      </c>
    </row>
    <row r="1221" spans="7:7" x14ac:dyDescent="0.3">
      <c r="G1221" t="str">
        <f>IF('Assignment Tool'!C1221="","",IF('Assignment Tool'!C1221="FST",'Assignment Tool'!D1221,""))</f>
        <v/>
      </c>
    </row>
    <row r="1222" spans="7:7" x14ac:dyDescent="0.3">
      <c r="G1222" t="str">
        <f>IF('Assignment Tool'!C1222="","",IF('Assignment Tool'!C1222="FST",'Assignment Tool'!D1222,""))</f>
        <v/>
      </c>
    </row>
    <row r="1223" spans="7:7" x14ac:dyDescent="0.3">
      <c r="G1223" t="str">
        <f>IF('Assignment Tool'!C1223="","",IF('Assignment Tool'!C1223="FST",'Assignment Tool'!D1223,""))</f>
        <v/>
      </c>
    </row>
    <row r="1224" spans="7:7" x14ac:dyDescent="0.3">
      <c r="G1224" t="str">
        <f>IF('Assignment Tool'!C1224="","",IF('Assignment Tool'!C1224="FST",'Assignment Tool'!D1224,""))</f>
        <v/>
      </c>
    </row>
    <row r="1225" spans="7:7" x14ac:dyDescent="0.3">
      <c r="G1225" t="str">
        <f>IF('Assignment Tool'!C1225="","",IF('Assignment Tool'!C1225="FST",'Assignment Tool'!D1225,""))</f>
        <v/>
      </c>
    </row>
    <row r="1226" spans="7:7" x14ac:dyDescent="0.3">
      <c r="G1226" t="str">
        <f>IF('Assignment Tool'!C1226="","",IF('Assignment Tool'!C1226="FST",'Assignment Tool'!D1226,""))</f>
        <v/>
      </c>
    </row>
    <row r="1227" spans="7:7" x14ac:dyDescent="0.3">
      <c r="G1227" t="str">
        <f>IF('Assignment Tool'!C1227="","",IF('Assignment Tool'!C1227="FST",'Assignment Tool'!D1227,""))</f>
        <v/>
      </c>
    </row>
    <row r="1228" spans="7:7" x14ac:dyDescent="0.3">
      <c r="G1228" t="str">
        <f>IF('Assignment Tool'!C1228="","",IF('Assignment Tool'!C1228="FST",'Assignment Tool'!D1228,""))</f>
        <v/>
      </c>
    </row>
    <row r="1229" spans="7:7" x14ac:dyDescent="0.3">
      <c r="G1229" t="str">
        <f>IF('Assignment Tool'!C1229="","",IF('Assignment Tool'!C1229="FST",'Assignment Tool'!D1229,""))</f>
        <v/>
      </c>
    </row>
    <row r="1230" spans="7:7" x14ac:dyDescent="0.3">
      <c r="G1230" t="str">
        <f>IF('Assignment Tool'!C1230="","",IF('Assignment Tool'!C1230="FST",'Assignment Tool'!D1230,""))</f>
        <v/>
      </c>
    </row>
    <row r="1231" spans="7:7" x14ac:dyDescent="0.3">
      <c r="G1231" t="str">
        <f>IF('Assignment Tool'!C1231="","",IF('Assignment Tool'!C1231="FST",'Assignment Tool'!D1231,""))</f>
        <v/>
      </c>
    </row>
    <row r="1232" spans="7:7" x14ac:dyDescent="0.3">
      <c r="G1232" t="str">
        <f>IF('Assignment Tool'!C1232="","",IF('Assignment Tool'!C1232="FST",'Assignment Tool'!D1232,""))</f>
        <v/>
      </c>
    </row>
    <row r="1233" spans="7:7" x14ac:dyDescent="0.3">
      <c r="G1233" t="str">
        <f>IF('Assignment Tool'!C1233="","",IF('Assignment Tool'!C1233="FST",'Assignment Tool'!D1233,""))</f>
        <v/>
      </c>
    </row>
    <row r="1234" spans="7:7" x14ac:dyDescent="0.3">
      <c r="G1234" t="str">
        <f>IF('Assignment Tool'!C1234="","",IF('Assignment Tool'!C1234="FST",'Assignment Tool'!D1234,""))</f>
        <v/>
      </c>
    </row>
    <row r="1235" spans="7:7" x14ac:dyDescent="0.3">
      <c r="G1235" t="str">
        <f>IF('Assignment Tool'!C1235="","",IF('Assignment Tool'!C1235="FST",'Assignment Tool'!D1235,""))</f>
        <v/>
      </c>
    </row>
    <row r="1236" spans="7:7" x14ac:dyDescent="0.3">
      <c r="G1236" t="str">
        <f>IF('Assignment Tool'!C1236="","",IF('Assignment Tool'!C1236="FST",'Assignment Tool'!D1236,""))</f>
        <v/>
      </c>
    </row>
    <row r="1237" spans="7:7" x14ac:dyDescent="0.3">
      <c r="G1237" t="str">
        <f>IF('Assignment Tool'!C1237="","",IF('Assignment Tool'!C1237="FST",'Assignment Tool'!D1237,""))</f>
        <v/>
      </c>
    </row>
    <row r="1238" spans="7:7" x14ac:dyDescent="0.3">
      <c r="G1238" t="str">
        <f>IF('Assignment Tool'!C1238="","",IF('Assignment Tool'!C1238="FST",'Assignment Tool'!D1238,""))</f>
        <v/>
      </c>
    </row>
    <row r="1239" spans="7:7" x14ac:dyDescent="0.3">
      <c r="G1239" t="str">
        <f>IF('Assignment Tool'!C1239="","",IF('Assignment Tool'!C1239="FST",'Assignment Tool'!D1239,""))</f>
        <v/>
      </c>
    </row>
    <row r="1240" spans="7:7" x14ac:dyDescent="0.3">
      <c r="G1240" t="str">
        <f>IF('Assignment Tool'!C1240="","",IF('Assignment Tool'!C1240="FST",'Assignment Tool'!D1240,""))</f>
        <v/>
      </c>
    </row>
    <row r="1241" spans="7:7" x14ac:dyDescent="0.3">
      <c r="G1241" t="str">
        <f>IF('Assignment Tool'!C1241="","",IF('Assignment Tool'!C1241="FST",'Assignment Tool'!D1241,""))</f>
        <v/>
      </c>
    </row>
    <row r="1242" spans="7:7" x14ac:dyDescent="0.3">
      <c r="G1242" t="str">
        <f>IF('Assignment Tool'!C1242="","",IF('Assignment Tool'!C1242="FST",'Assignment Tool'!D1242,""))</f>
        <v/>
      </c>
    </row>
    <row r="1243" spans="7:7" x14ac:dyDescent="0.3">
      <c r="G1243" t="str">
        <f>IF('Assignment Tool'!C1243="","",IF('Assignment Tool'!C1243="FST",'Assignment Tool'!D1243,""))</f>
        <v/>
      </c>
    </row>
    <row r="1244" spans="7:7" x14ac:dyDescent="0.3">
      <c r="G1244" t="str">
        <f>IF('Assignment Tool'!C1244="","",IF('Assignment Tool'!C1244="FST",'Assignment Tool'!D1244,""))</f>
        <v/>
      </c>
    </row>
    <row r="1245" spans="7:7" x14ac:dyDescent="0.3">
      <c r="G1245" t="str">
        <f>IF('Assignment Tool'!C1245="","",IF('Assignment Tool'!C1245="FST",'Assignment Tool'!D1245,""))</f>
        <v/>
      </c>
    </row>
    <row r="1246" spans="7:7" x14ac:dyDescent="0.3">
      <c r="G1246" t="str">
        <f>IF('Assignment Tool'!C1246="","",IF('Assignment Tool'!C1246="FST",'Assignment Tool'!D1246,""))</f>
        <v/>
      </c>
    </row>
    <row r="1247" spans="7:7" x14ac:dyDescent="0.3">
      <c r="G1247" t="str">
        <f>IF('Assignment Tool'!C1247="","",IF('Assignment Tool'!C1247="FST",'Assignment Tool'!D1247,""))</f>
        <v/>
      </c>
    </row>
    <row r="1248" spans="7:7" x14ac:dyDescent="0.3">
      <c r="G1248" t="str">
        <f>IF('Assignment Tool'!C1248="","",IF('Assignment Tool'!C1248="FST",'Assignment Tool'!D1248,""))</f>
        <v/>
      </c>
    </row>
    <row r="1249" spans="7:7" x14ac:dyDescent="0.3">
      <c r="G1249" t="str">
        <f>IF('Assignment Tool'!C1249="","",IF('Assignment Tool'!C1249="FST",'Assignment Tool'!D1249,""))</f>
        <v/>
      </c>
    </row>
    <row r="1250" spans="7:7" x14ac:dyDescent="0.3">
      <c r="G1250" t="str">
        <f>IF('Assignment Tool'!C1250="","",IF('Assignment Tool'!C1250="FST",'Assignment Tool'!D1250,""))</f>
        <v/>
      </c>
    </row>
    <row r="1251" spans="7:7" x14ac:dyDescent="0.3">
      <c r="G1251" t="str">
        <f>IF('Assignment Tool'!C1251="","",IF('Assignment Tool'!C1251="FST",'Assignment Tool'!D1251,""))</f>
        <v/>
      </c>
    </row>
    <row r="1252" spans="7:7" x14ac:dyDescent="0.3">
      <c r="G1252" t="str">
        <f>IF('Assignment Tool'!C1252="","",IF('Assignment Tool'!C1252="FST",'Assignment Tool'!D1252,""))</f>
        <v/>
      </c>
    </row>
    <row r="1253" spans="7:7" x14ac:dyDescent="0.3">
      <c r="G1253" t="str">
        <f>IF('Assignment Tool'!C1253="","",IF('Assignment Tool'!C1253="FST",'Assignment Tool'!D1253,""))</f>
        <v/>
      </c>
    </row>
    <row r="1254" spans="7:7" x14ac:dyDescent="0.3">
      <c r="G1254" t="str">
        <f>IF('Assignment Tool'!C1254="","",IF('Assignment Tool'!C1254="FST",'Assignment Tool'!D1254,""))</f>
        <v/>
      </c>
    </row>
    <row r="1255" spans="7:7" x14ac:dyDescent="0.3">
      <c r="G1255" t="str">
        <f>IF('Assignment Tool'!C1255="","",IF('Assignment Tool'!C1255="FST",'Assignment Tool'!D1255,""))</f>
        <v/>
      </c>
    </row>
    <row r="1256" spans="7:7" x14ac:dyDescent="0.3">
      <c r="G1256" t="str">
        <f>IF('Assignment Tool'!C1256="","",IF('Assignment Tool'!C1256="FST",'Assignment Tool'!D1256,""))</f>
        <v/>
      </c>
    </row>
    <row r="1257" spans="7:7" x14ac:dyDescent="0.3">
      <c r="G1257" t="str">
        <f>IF('Assignment Tool'!C1257="","",IF('Assignment Tool'!C1257="FST",'Assignment Tool'!D1257,""))</f>
        <v/>
      </c>
    </row>
    <row r="1258" spans="7:7" x14ac:dyDescent="0.3">
      <c r="G1258" t="str">
        <f>IF('Assignment Tool'!C1258="","",IF('Assignment Tool'!C1258="FST",'Assignment Tool'!D1258,""))</f>
        <v/>
      </c>
    </row>
    <row r="1259" spans="7:7" x14ac:dyDescent="0.3">
      <c r="G1259" t="str">
        <f>IF('Assignment Tool'!C1259="","",IF('Assignment Tool'!C1259="FST",'Assignment Tool'!D1259,""))</f>
        <v/>
      </c>
    </row>
    <row r="1260" spans="7:7" x14ac:dyDescent="0.3">
      <c r="G1260" t="str">
        <f>IF('Assignment Tool'!C1260="","",IF('Assignment Tool'!C1260="FST",'Assignment Tool'!D1260,""))</f>
        <v/>
      </c>
    </row>
    <row r="1261" spans="7:7" x14ac:dyDescent="0.3">
      <c r="G1261" t="str">
        <f>IF('Assignment Tool'!C1261="","",IF('Assignment Tool'!C1261="FST",'Assignment Tool'!D1261,""))</f>
        <v/>
      </c>
    </row>
    <row r="1262" spans="7:7" x14ac:dyDescent="0.3">
      <c r="G1262" t="str">
        <f>IF('Assignment Tool'!C1262="","",IF('Assignment Tool'!C1262="FST",'Assignment Tool'!D1262,""))</f>
        <v/>
      </c>
    </row>
    <row r="1263" spans="7:7" x14ac:dyDescent="0.3">
      <c r="G1263" t="str">
        <f>IF('Assignment Tool'!C1263="","",IF('Assignment Tool'!C1263="FST",'Assignment Tool'!D1263,""))</f>
        <v/>
      </c>
    </row>
    <row r="1264" spans="7:7" x14ac:dyDescent="0.3">
      <c r="G1264" t="str">
        <f>IF('Assignment Tool'!C1264="","",IF('Assignment Tool'!C1264="FST",'Assignment Tool'!D1264,""))</f>
        <v/>
      </c>
    </row>
    <row r="1265" spans="7:7" x14ac:dyDescent="0.3">
      <c r="G1265" t="str">
        <f>IF('Assignment Tool'!C1265="","",IF('Assignment Tool'!C1265="FST",'Assignment Tool'!D1265,""))</f>
        <v/>
      </c>
    </row>
    <row r="1266" spans="7:7" x14ac:dyDescent="0.3">
      <c r="G1266" t="str">
        <f>IF('Assignment Tool'!C1266="","",IF('Assignment Tool'!C1266="FST",'Assignment Tool'!D1266,""))</f>
        <v/>
      </c>
    </row>
    <row r="1267" spans="7:7" x14ac:dyDescent="0.3">
      <c r="G1267" t="str">
        <f>IF('Assignment Tool'!C1267="","",IF('Assignment Tool'!C1267="FST",'Assignment Tool'!D1267,""))</f>
        <v/>
      </c>
    </row>
    <row r="1268" spans="7:7" x14ac:dyDescent="0.3">
      <c r="G1268" t="str">
        <f>IF('Assignment Tool'!C1268="","",IF('Assignment Tool'!C1268="FST",'Assignment Tool'!D1268,""))</f>
        <v/>
      </c>
    </row>
    <row r="1269" spans="7:7" x14ac:dyDescent="0.3">
      <c r="G1269" t="str">
        <f>IF('Assignment Tool'!C1269="","",IF('Assignment Tool'!C1269="FST",'Assignment Tool'!D1269,""))</f>
        <v/>
      </c>
    </row>
    <row r="1270" spans="7:7" x14ac:dyDescent="0.3">
      <c r="G1270" t="str">
        <f>IF('Assignment Tool'!C1270="","",IF('Assignment Tool'!C1270="FST",'Assignment Tool'!D1270,""))</f>
        <v/>
      </c>
    </row>
    <row r="1271" spans="7:7" x14ac:dyDescent="0.3">
      <c r="G1271" t="str">
        <f>IF('Assignment Tool'!C1271="","",IF('Assignment Tool'!C1271="FST",'Assignment Tool'!D1271,""))</f>
        <v/>
      </c>
    </row>
    <row r="1272" spans="7:7" x14ac:dyDescent="0.3">
      <c r="G1272" t="str">
        <f>IF('Assignment Tool'!C1272="","",IF('Assignment Tool'!C1272="FST",'Assignment Tool'!D1272,""))</f>
        <v/>
      </c>
    </row>
    <row r="1273" spans="7:7" x14ac:dyDescent="0.3">
      <c r="G1273" t="str">
        <f>IF('Assignment Tool'!C1273="","",IF('Assignment Tool'!C1273="FST",'Assignment Tool'!D1273,""))</f>
        <v/>
      </c>
    </row>
    <row r="1274" spans="7:7" x14ac:dyDescent="0.3">
      <c r="G1274" t="str">
        <f>IF('Assignment Tool'!C1274="","",IF('Assignment Tool'!C1274="FST",'Assignment Tool'!D1274,""))</f>
        <v/>
      </c>
    </row>
    <row r="1275" spans="7:7" x14ac:dyDescent="0.3">
      <c r="G1275" t="str">
        <f>IF('Assignment Tool'!C1275="","",IF('Assignment Tool'!C1275="FST",'Assignment Tool'!D1275,""))</f>
        <v/>
      </c>
    </row>
    <row r="1276" spans="7:7" x14ac:dyDescent="0.3">
      <c r="G1276" t="str">
        <f>IF('Assignment Tool'!C1276="","",IF('Assignment Tool'!C1276="FST",'Assignment Tool'!D1276,""))</f>
        <v/>
      </c>
    </row>
    <row r="1277" spans="7:7" x14ac:dyDescent="0.3">
      <c r="G1277" t="str">
        <f>IF('Assignment Tool'!C1277="","",IF('Assignment Tool'!C1277="FST",'Assignment Tool'!D1277,""))</f>
        <v/>
      </c>
    </row>
    <row r="1278" spans="7:7" x14ac:dyDescent="0.3">
      <c r="G1278" t="str">
        <f>IF('Assignment Tool'!C1278="","",IF('Assignment Tool'!C1278="FST",'Assignment Tool'!D1278,""))</f>
        <v/>
      </c>
    </row>
    <row r="1279" spans="7:7" x14ac:dyDescent="0.3">
      <c r="G1279" t="str">
        <f>IF('Assignment Tool'!C1279="","",IF('Assignment Tool'!C1279="FST",'Assignment Tool'!D1279,""))</f>
        <v/>
      </c>
    </row>
    <row r="1280" spans="7:7" x14ac:dyDescent="0.3">
      <c r="G1280" t="str">
        <f>IF('Assignment Tool'!C1280="","",IF('Assignment Tool'!C1280="FST",'Assignment Tool'!D1280,""))</f>
        <v/>
      </c>
    </row>
    <row r="1281" spans="7:7" x14ac:dyDescent="0.3">
      <c r="G1281" t="str">
        <f>IF('Assignment Tool'!C1281="","",IF('Assignment Tool'!C1281="FST",'Assignment Tool'!D1281,""))</f>
        <v/>
      </c>
    </row>
    <row r="1282" spans="7:7" x14ac:dyDescent="0.3">
      <c r="G1282" t="str">
        <f>IF('Assignment Tool'!C1282="","",IF('Assignment Tool'!C1282="FST",'Assignment Tool'!D1282,""))</f>
        <v/>
      </c>
    </row>
    <row r="1283" spans="7:7" x14ac:dyDescent="0.3">
      <c r="G1283" t="str">
        <f>IF('Assignment Tool'!C1283="","",IF('Assignment Tool'!C1283="FST",'Assignment Tool'!D1283,""))</f>
        <v/>
      </c>
    </row>
    <row r="1284" spans="7:7" x14ac:dyDescent="0.3">
      <c r="G1284" t="str">
        <f>IF('Assignment Tool'!C1284="","",IF('Assignment Tool'!C1284="FST",'Assignment Tool'!D1284,""))</f>
        <v/>
      </c>
    </row>
    <row r="1285" spans="7:7" x14ac:dyDescent="0.3">
      <c r="G1285" t="str">
        <f>IF('Assignment Tool'!C1285="","",IF('Assignment Tool'!C1285="FST",'Assignment Tool'!D1285,""))</f>
        <v/>
      </c>
    </row>
    <row r="1286" spans="7:7" x14ac:dyDescent="0.3">
      <c r="G1286" t="str">
        <f>IF('Assignment Tool'!C1286="","",IF('Assignment Tool'!C1286="FST",'Assignment Tool'!D1286,""))</f>
        <v/>
      </c>
    </row>
    <row r="1287" spans="7:7" x14ac:dyDescent="0.3">
      <c r="G1287" t="str">
        <f>IF('Assignment Tool'!C1287="","",IF('Assignment Tool'!C1287="FST",'Assignment Tool'!D1287,""))</f>
        <v/>
      </c>
    </row>
    <row r="1288" spans="7:7" x14ac:dyDescent="0.3">
      <c r="G1288" t="str">
        <f>IF('Assignment Tool'!C1288="","",IF('Assignment Tool'!C1288="FST",'Assignment Tool'!D1288,""))</f>
        <v/>
      </c>
    </row>
    <row r="1289" spans="7:7" x14ac:dyDescent="0.3">
      <c r="G1289" t="str">
        <f>IF('Assignment Tool'!C1289="","",IF('Assignment Tool'!C1289="FST",'Assignment Tool'!D1289,""))</f>
        <v/>
      </c>
    </row>
    <row r="1290" spans="7:7" x14ac:dyDescent="0.3">
      <c r="G1290" t="str">
        <f>IF('Assignment Tool'!C1290="","",IF('Assignment Tool'!C1290="FST",'Assignment Tool'!D1290,""))</f>
        <v/>
      </c>
    </row>
    <row r="1291" spans="7:7" x14ac:dyDescent="0.3">
      <c r="G1291" t="str">
        <f>IF('Assignment Tool'!C1291="","",IF('Assignment Tool'!C1291="FST",'Assignment Tool'!D1291,""))</f>
        <v/>
      </c>
    </row>
    <row r="1292" spans="7:7" x14ac:dyDescent="0.3">
      <c r="G1292" t="str">
        <f>IF('Assignment Tool'!C1292="","",IF('Assignment Tool'!C1292="FST",'Assignment Tool'!D1292,""))</f>
        <v/>
      </c>
    </row>
    <row r="1293" spans="7:7" x14ac:dyDescent="0.3">
      <c r="G1293" t="str">
        <f>IF('Assignment Tool'!C1293="","",IF('Assignment Tool'!C1293="FST",'Assignment Tool'!D1293,""))</f>
        <v/>
      </c>
    </row>
    <row r="1294" spans="7:7" x14ac:dyDescent="0.3">
      <c r="G1294" t="str">
        <f>IF('Assignment Tool'!C1294="","",IF('Assignment Tool'!C1294="FST",'Assignment Tool'!D1294,""))</f>
        <v/>
      </c>
    </row>
    <row r="1295" spans="7:7" x14ac:dyDescent="0.3">
      <c r="G1295" t="str">
        <f>IF('Assignment Tool'!C1295="","",IF('Assignment Tool'!C1295="FST",'Assignment Tool'!D1295,""))</f>
        <v/>
      </c>
    </row>
    <row r="1296" spans="7:7" x14ac:dyDescent="0.3">
      <c r="G1296" t="str">
        <f>IF('Assignment Tool'!C1296="","",IF('Assignment Tool'!C1296="FST",'Assignment Tool'!D1296,""))</f>
        <v/>
      </c>
    </row>
    <row r="1297" spans="7:7" x14ac:dyDescent="0.3">
      <c r="G1297" t="str">
        <f>IF('Assignment Tool'!C1297="","",IF('Assignment Tool'!C1297="FST",'Assignment Tool'!D1297,""))</f>
        <v/>
      </c>
    </row>
    <row r="1298" spans="7:7" x14ac:dyDescent="0.3">
      <c r="G1298" t="str">
        <f>IF('Assignment Tool'!C1298="","",IF('Assignment Tool'!C1298="FST",'Assignment Tool'!D1298,""))</f>
        <v/>
      </c>
    </row>
    <row r="1299" spans="7:7" x14ac:dyDescent="0.3">
      <c r="G1299" t="str">
        <f>IF('Assignment Tool'!C1299="","",IF('Assignment Tool'!C1299="FST",'Assignment Tool'!D1299,""))</f>
        <v/>
      </c>
    </row>
    <row r="1300" spans="7:7" x14ac:dyDescent="0.3">
      <c r="G1300" t="str">
        <f>IF('Assignment Tool'!C1300="","",IF('Assignment Tool'!C1300="FST",'Assignment Tool'!D1300,""))</f>
        <v/>
      </c>
    </row>
    <row r="1301" spans="7:7" x14ac:dyDescent="0.3">
      <c r="G1301" t="str">
        <f>IF('Assignment Tool'!C1301="","",IF('Assignment Tool'!C1301="FST",'Assignment Tool'!D1301,""))</f>
        <v/>
      </c>
    </row>
    <row r="1302" spans="7:7" x14ac:dyDescent="0.3">
      <c r="G1302" t="str">
        <f>IF('Assignment Tool'!C1302="","",IF('Assignment Tool'!C1302="FST",'Assignment Tool'!D1302,""))</f>
        <v/>
      </c>
    </row>
    <row r="1303" spans="7:7" x14ac:dyDescent="0.3">
      <c r="G1303" t="str">
        <f>IF('Assignment Tool'!C1303="","",IF('Assignment Tool'!C1303="FST",'Assignment Tool'!D1303,""))</f>
        <v/>
      </c>
    </row>
    <row r="1304" spans="7:7" x14ac:dyDescent="0.3">
      <c r="G1304" t="str">
        <f>IF('Assignment Tool'!C1304="","",IF('Assignment Tool'!C1304="FST",'Assignment Tool'!D1304,""))</f>
        <v/>
      </c>
    </row>
    <row r="1305" spans="7:7" x14ac:dyDescent="0.3">
      <c r="G1305" t="str">
        <f>IF('Assignment Tool'!C1305="","",IF('Assignment Tool'!C1305="FST",'Assignment Tool'!D1305,""))</f>
        <v/>
      </c>
    </row>
    <row r="1306" spans="7:7" x14ac:dyDescent="0.3">
      <c r="G1306" t="str">
        <f>IF('Assignment Tool'!C1306="","",IF('Assignment Tool'!C1306="FST",'Assignment Tool'!D1306,""))</f>
        <v/>
      </c>
    </row>
    <row r="1307" spans="7:7" x14ac:dyDescent="0.3">
      <c r="G1307" t="str">
        <f>IF('Assignment Tool'!C1307="","",IF('Assignment Tool'!C1307="FST",'Assignment Tool'!D1307,""))</f>
        <v/>
      </c>
    </row>
    <row r="1308" spans="7:7" x14ac:dyDescent="0.3">
      <c r="G1308" t="str">
        <f>IF('Assignment Tool'!C1308="","",IF('Assignment Tool'!C1308="FST",'Assignment Tool'!D1308,""))</f>
        <v/>
      </c>
    </row>
    <row r="1309" spans="7:7" x14ac:dyDescent="0.3">
      <c r="G1309" t="str">
        <f>IF('Assignment Tool'!C1309="","",IF('Assignment Tool'!C1309="FST",'Assignment Tool'!D1309,""))</f>
        <v/>
      </c>
    </row>
    <row r="1310" spans="7:7" x14ac:dyDescent="0.3">
      <c r="G1310" t="str">
        <f>IF('Assignment Tool'!C1310="","",IF('Assignment Tool'!C1310="FST",'Assignment Tool'!D1310,""))</f>
        <v/>
      </c>
    </row>
    <row r="1311" spans="7:7" x14ac:dyDescent="0.3">
      <c r="G1311" t="str">
        <f>IF('Assignment Tool'!C1311="","",IF('Assignment Tool'!C1311="FST",'Assignment Tool'!D1311,""))</f>
        <v/>
      </c>
    </row>
    <row r="1312" spans="7:7" x14ac:dyDescent="0.3">
      <c r="G1312" t="str">
        <f>IF('Assignment Tool'!C1312="","",IF('Assignment Tool'!C1312="FST",'Assignment Tool'!D1312,""))</f>
        <v/>
      </c>
    </row>
    <row r="1313" spans="7:7" x14ac:dyDescent="0.3">
      <c r="G1313" t="str">
        <f>IF('Assignment Tool'!C1313="","",IF('Assignment Tool'!C1313="FST",'Assignment Tool'!D1313,""))</f>
        <v/>
      </c>
    </row>
    <row r="1314" spans="7:7" x14ac:dyDescent="0.3">
      <c r="G1314" t="str">
        <f>IF('Assignment Tool'!C1314="","",IF('Assignment Tool'!C1314="FST",'Assignment Tool'!D1314,""))</f>
        <v/>
      </c>
    </row>
    <row r="1315" spans="7:7" x14ac:dyDescent="0.3">
      <c r="G1315" t="str">
        <f>IF('Assignment Tool'!C1315="","",IF('Assignment Tool'!C1315="FST",'Assignment Tool'!D1315,""))</f>
        <v/>
      </c>
    </row>
    <row r="1316" spans="7:7" x14ac:dyDescent="0.3">
      <c r="G1316" t="str">
        <f>IF('Assignment Tool'!C1316="","",IF('Assignment Tool'!C1316="FST",'Assignment Tool'!D1316,""))</f>
        <v/>
      </c>
    </row>
    <row r="1317" spans="7:7" x14ac:dyDescent="0.3">
      <c r="G1317" t="str">
        <f>IF('Assignment Tool'!C1317="","",IF('Assignment Tool'!C1317="FST",'Assignment Tool'!D1317,""))</f>
        <v/>
      </c>
    </row>
    <row r="1318" spans="7:7" x14ac:dyDescent="0.3">
      <c r="G1318" t="str">
        <f>IF('Assignment Tool'!C1318="","",IF('Assignment Tool'!C1318="FST",'Assignment Tool'!D1318,""))</f>
        <v/>
      </c>
    </row>
    <row r="1319" spans="7:7" x14ac:dyDescent="0.3">
      <c r="G1319" t="str">
        <f>IF('Assignment Tool'!C1319="","",IF('Assignment Tool'!C1319="FST",'Assignment Tool'!D1319,""))</f>
        <v/>
      </c>
    </row>
    <row r="1320" spans="7:7" x14ac:dyDescent="0.3">
      <c r="G1320" t="str">
        <f>IF('Assignment Tool'!C1320="","",IF('Assignment Tool'!C1320="FST",'Assignment Tool'!D1320,""))</f>
        <v/>
      </c>
    </row>
    <row r="1321" spans="7:7" x14ac:dyDescent="0.3">
      <c r="G1321" t="str">
        <f>IF('Assignment Tool'!C1321="","",IF('Assignment Tool'!C1321="FST",'Assignment Tool'!D1321,""))</f>
        <v/>
      </c>
    </row>
    <row r="1322" spans="7:7" x14ac:dyDescent="0.3">
      <c r="G1322" t="str">
        <f>IF('Assignment Tool'!C1322="","",IF('Assignment Tool'!C1322="FST",'Assignment Tool'!D1322,""))</f>
        <v/>
      </c>
    </row>
    <row r="1323" spans="7:7" x14ac:dyDescent="0.3">
      <c r="G1323" t="str">
        <f>IF('Assignment Tool'!C1323="","",IF('Assignment Tool'!C1323="FST",'Assignment Tool'!D1323,""))</f>
        <v/>
      </c>
    </row>
    <row r="1324" spans="7:7" x14ac:dyDescent="0.3">
      <c r="G1324" t="str">
        <f>IF('Assignment Tool'!C1324="","",IF('Assignment Tool'!C1324="FST",'Assignment Tool'!D1324,""))</f>
        <v/>
      </c>
    </row>
    <row r="1325" spans="7:7" x14ac:dyDescent="0.3">
      <c r="G1325" t="str">
        <f>IF('Assignment Tool'!C1325="","",IF('Assignment Tool'!C1325="FST",'Assignment Tool'!D1325,""))</f>
        <v/>
      </c>
    </row>
    <row r="1326" spans="7:7" x14ac:dyDescent="0.3">
      <c r="G1326" t="str">
        <f>IF('Assignment Tool'!C1326="","",IF('Assignment Tool'!C1326="FST",'Assignment Tool'!D1326,""))</f>
        <v/>
      </c>
    </row>
    <row r="1327" spans="7:7" x14ac:dyDescent="0.3">
      <c r="G1327" t="str">
        <f>IF('Assignment Tool'!C1327="","",IF('Assignment Tool'!C1327="FST",'Assignment Tool'!D1327,""))</f>
        <v/>
      </c>
    </row>
    <row r="1328" spans="7:7" x14ac:dyDescent="0.3">
      <c r="G1328" t="str">
        <f>IF('Assignment Tool'!C1328="","",IF('Assignment Tool'!C1328="FST",'Assignment Tool'!D1328,""))</f>
        <v/>
      </c>
    </row>
    <row r="1329" spans="7:7" x14ac:dyDescent="0.3">
      <c r="G1329" t="str">
        <f>IF('Assignment Tool'!C1329="","",IF('Assignment Tool'!C1329="FST",'Assignment Tool'!D1329,""))</f>
        <v/>
      </c>
    </row>
    <row r="1330" spans="7:7" x14ac:dyDescent="0.3">
      <c r="G1330" t="str">
        <f>IF('Assignment Tool'!C1330="","",IF('Assignment Tool'!C1330="FST",'Assignment Tool'!D1330,""))</f>
        <v/>
      </c>
    </row>
    <row r="1331" spans="7:7" x14ac:dyDescent="0.3">
      <c r="G1331" t="str">
        <f>IF('Assignment Tool'!C1331="","",IF('Assignment Tool'!C1331="FST",'Assignment Tool'!D1331,""))</f>
        <v/>
      </c>
    </row>
    <row r="1332" spans="7:7" x14ac:dyDescent="0.3">
      <c r="G1332" t="str">
        <f>IF('Assignment Tool'!C1332="","",IF('Assignment Tool'!C1332="FST",'Assignment Tool'!D1332,""))</f>
        <v/>
      </c>
    </row>
    <row r="1333" spans="7:7" x14ac:dyDescent="0.3">
      <c r="G1333" t="str">
        <f>IF('Assignment Tool'!C1333="","",IF('Assignment Tool'!C1333="FST",'Assignment Tool'!D1333,""))</f>
        <v/>
      </c>
    </row>
    <row r="1334" spans="7:7" x14ac:dyDescent="0.3">
      <c r="G1334" t="str">
        <f>IF('Assignment Tool'!C1334="","",IF('Assignment Tool'!C1334="FST",'Assignment Tool'!D1334,""))</f>
        <v/>
      </c>
    </row>
    <row r="1335" spans="7:7" x14ac:dyDescent="0.3">
      <c r="G1335" t="str">
        <f>IF('Assignment Tool'!C1335="","",IF('Assignment Tool'!C1335="FST",'Assignment Tool'!D1335,""))</f>
        <v/>
      </c>
    </row>
    <row r="1336" spans="7:7" x14ac:dyDescent="0.3">
      <c r="G1336" t="str">
        <f>IF('Assignment Tool'!C1336="","",IF('Assignment Tool'!C1336="FST",'Assignment Tool'!D1336,""))</f>
        <v/>
      </c>
    </row>
    <row r="1337" spans="7:7" x14ac:dyDescent="0.3">
      <c r="G1337" t="str">
        <f>IF('Assignment Tool'!C1337="","",IF('Assignment Tool'!C1337="FST",'Assignment Tool'!D1337,""))</f>
        <v/>
      </c>
    </row>
    <row r="1338" spans="7:7" x14ac:dyDescent="0.3">
      <c r="G1338" t="str">
        <f>IF('Assignment Tool'!C1338="","",IF('Assignment Tool'!C1338="FST",'Assignment Tool'!D1338,""))</f>
        <v/>
      </c>
    </row>
    <row r="1339" spans="7:7" x14ac:dyDescent="0.3">
      <c r="G1339" t="str">
        <f>IF('Assignment Tool'!C1339="","",IF('Assignment Tool'!C1339="FST",'Assignment Tool'!D1339,""))</f>
        <v/>
      </c>
    </row>
    <row r="1340" spans="7:7" x14ac:dyDescent="0.3">
      <c r="G1340" t="str">
        <f>IF('Assignment Tool'!C1340="","",IF('Assignment Tool'!C1340="FST",'Assignment Tool'!D1340,""))</f>
        <v/>
      </c>
    </row>
    <row r="1341" spans="7:7" x14ac:dyDescent="0.3">
      <c r="G1341" t="str">
        <f>IF('Assignment Tool'!C1341="","",IF('Assignment Tool'!C1341="FST",'Assignment Tool'!D1341,""))</f>
        <v/>
      </c>
    </row>
    <row r="1342" spans="7:7" x14ac:dyDescent="0.3">
      <c r="G1342" t="str">
        <f>IF('Assignment Tool'!C1342="","",IF('Assignment Tool'!C1342="FST",'Assignment Tool'!D1342,""))</f>
        <v/>
      </c>
    </row>
    <row r="1343" spans="7:7" x14ac:dyDescent="0.3">
      <c r="G1343" t="str">
        <f>IF('Assignment Tool'!C1343="","",IF('Assignment Tool'!C1343="FST",'Assignment Tool'!D1343,""))</f>
        <v/>
      </c>
    </row>
    <row r="1344" spans="7:7" x14ac:dyDescent="0.3">
      <c r="G1344" t="str">
        <f>IF('Assignment Tool'!C1344="","",IF('Assignment Tool'!C1344="FST",'Assignment Tool'!D1344,""))</f>
        <v/>
      </c>
    </row>
    <row r="1345" spans="7:7" x14ac:dyDescent="0.3">
      <c r="G1345" t="str">
        <f>IF('Assignment Tool'!C1345="","",IF('Assignment Tool'!C1345="FST",'Assignment Tool'!D1345,""))</f>
        <v/>
      </c>
    </row>
    <row r="1346" spans="7:7" x14ac:dyDescent="0.3">
      <c r="G1346" t="str">
        <f>IF('Assignment Tool'!C1346="","",IF('Assignment Tool'!C1346="FST",'Assignment Tool'!D1346,""))</f>
        <v/>
      </c>
    </row>
    <row r="1347" spans="7:7" x14ac:dyDescent="0.3">
      <c r="G1347" t="str">
        <f>IF('Assignment Tool'!C1347="","",IF('Assignment Tool'!C1347="FST",'Assignment Tool'!D1347,""))</f>
        <v/>
      </c>
    </row>
    <row r="1348" spans="7:7" x14ac:dyDescent="0.3">
      <c r="G1348" t="str">
        <f>IF('Assignment Tool'!C1348="","",IF('Assignment Tool'!C1348="FST",'Assignment Tool'!D1348,""))</f>
        <v/>
      </c>
    </row>
    <row r="1349" spans="7:7" x14ac:dyDescent="0.3">
      <c r="G1349" t="str">
        <f>IF('Assignment Tool'!C1349="","",IF('Assignment Tool'!C1349="FST",'Assignment Tool'!D1349,""))</f>
        <v/>
      </c>
    </row>
    <row r="1350" spans="7:7" x14ac:dyDescent="0.3">
      <c r="G1350" t="str">
        <f>IF('Assignment Tool'!C1350="","",IF('Assignment Tool'!C1350="FST",'Assignment Tool'!D1350,""))</f>
        <v/>
      </c>
    </row>
    <row r="1351" spans="7:7" x14ac:dyDescent="0.3">
      <c r="G1351" t="str">
        <f>IF('Assignment Tool'!C1351="","",IF('Assignment Tool'!C1351="FST",'Assignment Tool'!D1351,""))</f>
        <v/>
      </c>
    </row>
    <row r="1352" spans="7:7" x14ac:dyDescent="0.3">
      <c r="G1352" t="str">
        <f>IF('Assignment Tool'!C1352="","",IF('Assignment Tool'!C1352="FST",'Assignment Tool'!D1352,""))</f>
        <v/>
      </c>
    </row>
    <row r="1353" spans="7:7" x14ac:dyDescent="0.3">
      <c r="G1353" t="str">
        <f>IF('Assignment Tool'!C1353="","",IF('Assignment Tool'!C1353="FST",'Assignment Tool'!D1353,""))</f>
        <v/>
      </c>
    </row>
    <row r="1354" spans="7:7" x14ac:dyDescent="0.3">
      <c r="G1354" t="str">
        <f>IF('Assignment Tool'!C1354="","",IF('Assignment Tool'!C1354="FST",'Assignment Tool'!D1354,""))</f>
        <v/>
      </c>
    </row>
    <row r="1355" spans="7:7" x14ac:dyDescent="0.3">
      <c r="G1355" t="str">
        <f>IF('Assignment Tool'!C1355="","",IF('Assignment Tool'!C1355="FST",'Assignment Tool'!D1355,""))</f>
        <v/>
      </c>
    </row>
    <row r="1356" spans="7:7" x14ac:dyDescent="0.3">
      <c r="G1356" t="str">
        <f>IF('Assignment Tool'!C1356="","",IF('Assignment Tool'!C1356="FST",'Assignment Tool'!D1356,""))</f>
        <v/>
      </c>
    </row>
    <row r="1357" spans="7:7" x14ac:dyDescent="0.3">
      <c r="G1357" t="str">
        <f>IF('Assignment Tool'!C1357="","",IF('Assignment Tool'!C1357="FST",'Assignment Tool'!D1357,""))</f>
        <v/>
      </c>
    </row>
    <row r="1358" spans="7:7" x14ac:dyDescent="0.3">
      <c r="G1358" t="str">
        <f>IF('Assignment Tool'!C1358="","",IF('Assignment Tool'!C1358="FST",'Assignment Tool'!D1358,""))</f>
        <v/>
      </c>
    </row>
    <row r="1359" spans="7:7" x14ac:dyDescent="0.3">
      <c r="G1359" t="str">
        <f>IF('Assignment Tool'!C1359="","",IF('Assignment Tool'!C1359="FST",'Assignment Tool'!D1359,""))</f>
        <v/>
      </c>
    </row>
    <row r="1360" spans="7:7" x14ac:dyDescent="0.3">
      <c r="G1360" t="str">
        <f>IF('Assignment Tool'!C1360="","",IF('Assignment Tool'!C1360="FST",'Assignment Tool'!D1360,""))</f>
        <v/>
      </c>
    </row>
    <row r="1361" spans="7:7" x14ac:dyDescent="0.3">
      <c r="G1361" t="str">
        <f>IF('Assignment Tool'!C1361="","",IF('Assignment Tool'!C1361="FST",'Assignment Tool'!D1361,""))</f>
        <v/>
      </c>
    </row>
    <row r="1362" spans="7:7" x14ac:dyDescent="0.3">
      <c r="G1362" t="str">
        <f>IF('Assignment Tool'!C1362="","",IF('Assignment Tool'!C1362="FST",'Assignment Tool'!D1362,""))</f>
        <v/>
      </c>
    </row>
    <row r="1363" spans="7:7" x14ac:dyDescent="0.3">
      <c r="G1363" t="str">
        <f>IF('Assignment Tool'!C1363="","",IF('Assignment Tool'!C1363="FST",'Assignment Tool'!D1363,""))</f>
        <v/>
      </c>
    </row>
    <row r="1364" spans="7:7" x14ac:dyDescent="0.3">
      <c r="G1364" t="str">
        <f>IF('Assignment Tool'!C1364="","",IF('Assignment Tool'!C1364="FST",'Assignment Tool'!D1364,""))</f>
        <v/>
      </c>
    </row>
    <row r="1365" spans="7:7" x14ac:dyDescent="0.3">
      <c r="G1365" t="str">
        <f>IF('Assignment Tool'!C1365="","",IF('Assignment Tool'!C1365="FST",'Assignment Tool'!D1365,""))</f>
        <v/>
      </c>
    </row>
    <row r="1366" spans="7:7" x14ac:dyDescent="0.3">
      <c r="G1366" t="str">
        <f>IF('Assignment Tool'!C1366="","",IF('Assignment Tool'!C1366="FST",'Assignment Tool'!D1366,""))</f>
        <v/>
      </c>
    </row>
    <row r="1367" spans="7:7" x14ac:dyDescent="0.3">
      <c r="G1367" t="str">
        <f>IF('Assignment Tool'!C1367="","",IF('Assignment Tool'!C1367="FST",'Assignment Tool'!D1367,""))</f>
        <v/>
      </c>
    </row>
    <row r="1368" spans="7:7" x14ac:dyDescent="0.3">
      <c r="G1368" t="str">
        <f>IF('Assignment Tool'!C1368="","",IF('Assignment Tool'!C1368="FST",'Assignment Tool'!D1368,""))</f>
        <v/>
      </c>
    </row>
    <row r="1369" spans="7:7" x14ac:dyDescent="0.3">
      <c r="G1369" t="str">
        <f>IF('Assignment Tool'!C1369="","",IF('Assignment Tool'!C1369="FST",'Assignment Tool'!D1369,""))</f>
        <v/>
      </c>
    </row>
    <row r="1370" spans="7:7" x14ac:dyDescent="0.3">
      <c r="G1370" t="str">
        <f>IF('Assignment Tool'!C1370="","",IF('Assignment Tool'!C1370="FST",'Assignment Tool'!D1370,""))</f>
        <v/>
      </c>
    </row>
    <row r="1371" spans="7:7" x14ac:dyDescent="0.3">
      <c r="G1371" t="str">
        <f>IF('Assignment Tool'!C1371="","",IF('Assignment Tool'!C1371="FST",'Assignment Tool'!D1371,""))</f>
        <v/>
      </c>
    </row>
    <row r="1372" spans="7:7" x14ac:dyDescent="0.3">
      <c r="G1372" t="str">
        <f>IF('Assignment Tool'!C1372="","",IF('Assignment Tool'!C1372="FST",'Assignment Tool'!D1372,""))</f>
        <v/>
      </c>
    </row>
    <row r="1373" spans="7:7" x14ac:dyDescent="0.3">
      <c r="G1373" t="str">
        <f>IF('Assignment Tool'!C1373="","",IF('Assignment Tool'!C1373="FST",'Assignment Tool'!D1373,""))</f>
        <v/>
      </c>
    </row>
    <row r="1374" spans="7:7" x14ac:dyDescent="0.3">
      <c r="G1374" t="str">
        <f>IF('Assignment Tool'!C1374="","",IF('Assignment Tool'!C1374="FST",'Assignment Tool'!D1374,""))</f>
        <v/>
      </c>
    </row>
    <row r="1375" spans="7:7" x14ac:dyDescent="0.3">
      <c r="G1375" t="str">
        <f>IF('Assignment Tool'!C1375="","",IF('Assignment Tool'!C1375="FST",'Assignment Tool'!D1375,""))</f>
        <v/>
      </c>
    </row>
    <row r="1376" spans="7:7" x14ac:dyDescent="0.3">
      <c r="G1376" t="str">
        <f>IF('Assignment Tool'!C1376="","",IF('Assignment Tool'!C1376="FST",'Assignment Tool'!D1376,""))</f>
        <v/>
      </c>
    </row>
    <row r="1377" spans="7:7" x14ac:dyDescent="0.3">
      <c r="G1377" t="str">
        <f>IF('Assignment Tool'!C1377="","",IF('Assignment Tool'!C1377="FST",'Assignment Tool'!D1377,""))</f>
        <v/>
      </c>
    </row>
    <row r="1378" spans="7:7" x14ac:dyDescent="0.3">
      <c r="G1378" t="str">
        <f>IF('Assignment Tool'!C1378="","",IF('Assignment Tool'!C1378="FST",'Assignment Tool'!D1378,""))</f>
        <v/>
      </c>
    </row>
    <row r="1379" spans="7:7" x14ac:dyDescent="0.3">
      <c r="G1379" t="str">
        <f>IF('Assignment Tool'!C1379="","",IF('Assignment Tool'!C1379="FST",'Assignment Tool'!D1379,""))</f>
        <v/>
      </c>
    </row>
    <row r="1380" spans="7:7" x14ac:dyDescent="0.3">
      <c r="G1380" t="str">
        <f>IF('Assignment Tool'!C1380="","",IF('Assignment Tool'!C1380="FST",'Assignment Tool'!D1380,""))</f>
        <v/>
      </c>
    </row>
    <row r="1381" spans="7:7" x14ac:dyDescent="0.3">
      <c r="G1381" t="str">
        <f>IF('Assignment Tool'!C1381="","",IF('Assignment Tool'!C1381="FST",'Assignment Tool'!D1381,""))</f>
        <v/>
      </c>
    </row>
    <row r="1382" spans="7:7" x14ac:dyDescent="0.3">
      <c r="G1382" t="str">
        <f>IF('Assignment Tool'!C1382="","",IF('Assignment Tool'!C1382="FST",'Assignment Tool'!D1382,""))</f>
        <v/>
      </c>
    </row>
    <row r="1383" spans="7:7" x14ac:dyDescent="0.3">
      <c r="G1383" t="str">
        <f>IF('Assignment Tool'!C1383="","",IF('Assignment Tool'!C1383="FST",'Assignment Tool'!D1383,""))</f>
        <v/>
      </c>
    </row>
    <row r="1384" spans="7:7" x14ac:dyDescent="0.3">
      <c r="G1384" t="str">
        <f>IF('Assignment Tool'!C1384="","",IF('Assignment Tool'!C1384="FST",'Assignment Tool'!D1384,""))</f>
        <v/>
      </c>
    </row>
    <row r="1385" spans="7:7" x14ac:dyDescent="0.3">
      <c r="G1385" t="str">
        <f>IF('Assignment Tool'!C1385="","",IF('Assignment Tool'!C1385="FST",'Assignment Tool'!D1385,""))</f>
        <v/>
      </c>
    </row>
    <row r="1386" spans="7:7" x14ac:dyDescent="0.3">
      <c r="G1386" t="str">
        <f>IF('Assignment Tool'!C1386="","",IF('Assignment Tool'!C1386="FST",'Assignment Tool'!D1386,""))</f>
        <v/>
      </c>
    </row>
    <row r="1387" spans="7:7" x14ac:dyDescent="0.3">
      <c r="G1387" t="str">
        <f>IF('Assignment Tool'!C1387="","",IF('Assignment Tool'!C1387="FST",'Assignment Tool'!D1387,""))</f>
        <v/>
      </c>
    </row>
    <row r="1388" spans="7:7" x14ac:dyDescent="0.3">
      <c r="G1388" t="str">
        <f>IF('Assignment Tool'!C1388="","",IF('Assignment Tool'!C1388="FST",'Assignment Tool'!D1388,""))</f>
        <v/>
      </c>
    </row>
    <row r="1389" spans="7:7" x14ac:dyDescent="0.3">
      <c r="G1389" t="str">
        <f>IF('Assignment Tool'!C1389="","",IF('Assignment Tool'!C1389="FST",'Assignment Tool'!D1389,""))</f>
        <v/>
      </c>
    </row>
    <row r="1390" spans="7:7" x14ac:dyDescent="0.3">
      <c r="G1390" t="str">
        <f>IF('Assignment Tool'!C1390="","",IF('Assignment Tool'!C1390="FST",'Assignment Tool'!D1390,""))</f>
        <v/>
      </c>
    </row>
    <row r="1391" spans="7:7" x14ac:dyDescent="0.3">
      <c r="G1391" t="str">
        <f>IF('Assignment Tool'!C1391="","",IF('Assignment Tool'!C1391="FST",'Assignment Tool'!D1391,""))</f>
        <v/>
      </c>
    </row>
    <row r="1392" spans="7:7" x14ac:dyDescent="0.3">
      <c r="G1392" t="str">
        <f>IF('Assignment Tool'!C1392="","",IF('Assignment Tool'!C1392="FST",'Assignment Tool'!D1392,""))</f>
        <v/>
      </c>
    </row>
    <row r="1393" spans="7:7" x14ac:dyDescent="0.3">
      <c r="G1393" t="str">
        <f>IF('Assignment Tool'!C1393="","",IF('Assignment Tool'!C1393="FST",'Assignment Tool'!D1393,""))</f>
        <v/>
      </c>
    </row>
    <row r="1394" spans="7:7" x14ac:dyDescent="0.3">
      <c r="G1394" t="str">
        <f>IF('Assignment Tool'!C1394="","",IF('Assignment Tool'!C1394="FST",'Assignment Tool'!D1394,""))</f>
        <v/>
      </c>
    </row>
    <row r="1395" spans="7:7" x14ac:dyDescent="0.3">
      <c r="G1395" t="str">
        <f>IF('Assignment Tool'!C1395="","",IF('Assignment Tool'!C1395="FST",'Assignment Tool'!D1395,""))</f>
        <v/>
      </c>
    </row>
    <row r="1396" spans="7:7" x14ac:dyDescent="0.3">
      <c r="G1396" t="str">
        <f>IF('Assignment Tool'!C1396="","",IF('Assignment Tool'!C1396="FST",'Assignment Tool'!D1396,""))</f>
        <v/>
      </c>
    </row>
    <row r="1397" spans="7:7" x14ac:dyDescent="0.3">
      <c r="G1397" t="str">
        <f>IF('Assignment Tool'!C1397="","",IF('Assignment Tool'!C1397="FST",'Assignment Tool'!D1397,""))</f>
        <v/>
      </c>
    </row>
    <row r="1398" spans="7:7" x14ac:dyDescent="0.3">
      <c r="G1398" t="str">
        <f>IF('Assignment Tool'!C1398="","",IF('Assignment Tool'!C1398="FST",'Assignment Tool'!D1398,""))</f>
        <v/>
      </c>
    </row>
    <row r="1399" spans="7:7" x14ac:dyDescent="0.3">
      <c r="G1399" t="str">
        <f>IF('Assignment Tool'!C1399="","",IF('Assignment Tool'!C1399="FST",'Assignment Tool'!D1399,""))</f>
        <v/>
      </c>
    </row>
    <row r="1400" spans="7:7" x14ac:dyDescent="0.3">
      <c r="G1400" t="str">
        <f>IF('Assignment Tool'!C1400="","",IF('Assignment Tool'!C1400="FST",'Assignment Tool'!D1400,""))</f>
        <v/>
      </c>
    </row>
    <row r="1401" spans="7:7" x14ac:dyDescent="0.3">
      <c r="G1401" t="str">
        <f>IF('Assignment Tool'!C1401="","",IF('Assignment Tool'!C1401="FST",'Assignment Tool'!D1401,""))</f>
        <v/>
      </c>
    </row>
    <row r="1402" spans="7:7" x14ac:dyDescent="0.3">
      <c r="G1402" t="str">
        <f>IF('Assignment Tool'!C1402="","",IF('Assignment Tool'!C1402="FST",'Assignment Tool'!D1402,""))</f>
        <v/>
      </c>
    </row>
    <row r="1403" spans="7:7" x14ac:dyDescent="0.3">
      <c r="G1403" t="str">
        <f>IF('Assignment Tool'!C1403="","",IF('Assignment Tool'!C1403="FST",'Assignment Tool'!D1403,""))</f>
        <v/>
      </c>
    </row>
    <row r="1404" spans="7:7" x14ac:dyDescent="0.3">
      <c r="G1404" t="str">
        <f>IF('Assignment Tool'!C1404="","",IF('Assignment Tool'!C1404="FST",'Assignment Tool'!D1404,""))</f>
        <v/>
      </c>
    </row>
    <row r="1405" spans="7:7" x14ac:dyDescent="0.3">
      <c r="G1405" t="str">
        <f>IF('Assignment Tool'!C1405="","",IF('Assignment Tool'!C1405="FST",'Assignment Tool'!D1405,""))</f>
        <v/>
      </c>
    </row>
    <row r="1406" spans="7:7" x14ac:dyDescent="0.3">
      <c r="G1406" t="str">
        <f>IF('Assignment Tool'!C1406="","",IF('Assignment Tool'!C1406="FST",'Assignment Tool'!D1406,""))</f>
        <v/>
      </c>
    </row>
    <row r="1407" spans="7:7" x14ac:dyDescent="0.3">
      <c r="G1407" t="str">
        <f>IF('Assignment Tool'!C1407="","",IF('Assignment Tool'!C1407="FST",'Assignment Tool'!D1407,""))</f>
        <v/>
      </c>
    </row>
    <row r="1408" spans="7:7" x14ac:dyDescent="0.3">
      <c r="G1408" t="str">
        <f>IF('Assignment Tool'!C1408="","",IF('Assignment Tool'!C1408="FST",'Assignment Tool'!D1408,""))</f>
        <v/>
      </c>
    </row>
    <row r="1409" spans="7:7" x14ac:dyDescent="0.3">
      <c r="G1409" t="str">
        <f>IF('Assignment Tool'!C1409="","",IF('Assignment Tool'!C1409="FST",'Assignment Tool'!D1409,""))</f>
        <v/>
      </c>
    </row>
    <row r="1410" spans="7:7" x14ac:dyDescent="0.3">
      <c r="G1410" t="str">
        <f>IF('Assignment Tool'!C1410="","",IF('Assignment Tool'!C1410="FST",'Assignment Tool'!D1410,""))</f>
        <v/>
      </c>
    </row>
    <row r="1411" spans="7:7" x14ac:dyDescent="0.3">
      <c r="G1411" t="str">
        <f>IF('Assignment Tool'!C1411="","",IF('Assignment Tool'!C1411="FST",'Assignment Tool'!D1411,""))</f>
        <v/>
      </c>
    </row>
    <row r="1412" spans="7:7" x14ac:dyDescent="0.3">
      <c r="G1412" t="str">
        <f>IF('Assignment Tool'!C1412="","",IF('Assignment Tool'!C1412="FST",'Assignment Tool'!D1412,""))</f>
        <v/>
      </c>
    </row>
    <row r="1413" spans="7:7" x14ac:dyDescent="0.3">
      <c r="G1413" t="str">
        <f>IF('Assignment Tool'!C1413="","",IF('Assignment Tool'!C1413="FST",'Assignment Tool'!D1413,""))</f>
        <v/>
      </c>
    </row>
    <row r="1414" spans="7:7" x14ac:dyDescent="0.3">
      <c r="G1414" t="str">
        <f>IF('Assignment Tool'!C1414="","",IF('Assignment Tool'!C1414="FST",'Assignment Tool'!D1414,""))</f>
        <v/>
      </c>
    </row>
    <row r="1415" spans="7:7" x14ac:dyDescent="0.3">
      <c r="G1415" t="str">
        <f>IF('Assignment Tool'!C1415="","",IF('Assignment Tool'!C1415="FST",'Assignment Tool'!D1415,""))</f>
        <v/>
      </c>
    </row>
    <row r="1416" spans="7:7" x14ac:dyDescent="0.3">
      <c r="G1416" t="str">
        <f>IF('Assignment Tool'!C1416="","",IF('Assignment Tool'!C1416="FST",'Assignment Tool'!D1416,""))</f>
        <v/>
      </c>
    </row>
    <row r="1417" spans="7:7" x14ac:dyDescent="0.3">
      <c r="G1417" t="str">
        <f>IF('Assignment Tool'!C1417="","",IF('Assignment Tool'!C1417="FST",'Assignment Tool'!D1417,""))</f>
        <v/>
      </c>
    </row>
    <row r="1418" spans="7:7" x14ac:dyDescent="0.3">
      <c r="G1418" t="str">
        <f>IF('Assignment Tool'!C1418="","",IF('Assignment Tool'!C1418="FST",'Assignment Tool'!D1418,""))</f>
        <v/>
      </c>
    </row>
    <row r="1419" spans="7:7" x14ac:dyDescent="0.3">
      <c r="G1419" t="str">
        <f>IF('Assignment Tool'!C1419="","",IF('Assignment Tool'!C1419="FST",'Assignment Tool'!D1419,""))</f>
        <v/>
      </c>
    </row>
    <row r="1420" spans="7:7" x14ac:dyDescent="0.3">
      <c r="G1420" t="str">
        <f>IF('Assignment Tool'!C1420="","",IF('Assignment Tool'!C1420="FST",'Assignment Tool'!D1420,""))</f>
        <v/>
      </c>
    </row>
    <row r="1421" spans="7:7" x14ac:dyDescent="0.3">
      <c r="G1421" t="str">
        <f>IF('Assignment Tool'!C1421="","",IF('Assignment Tool'!C1421="FST",'Assignment Tool'!D1421,""))</f>
        <v/>
      </c>
    </row>
    <row r="1422" spans="7:7" x14ac:dyDescent="0.3">
      <c r="G1422" t="str">
        <f>IF('Assignment Tool'!C1422="","",IF('Assignment Tool'!C1422="FST",'Assignment Tool'!D1422,""))</f>
        <v/>
      </c>
    </row>
    <row r="1423" spans="7:7" x14ac:dyDescent="0.3">
      <c r="G1423" t="str">
        <f>IF('Assignment Tool'!C1423="","",IF('Assignment Tool'!C1423="FST",'Assignment Tool'!D1423,""))</f>
        <v/>
      </c>
    </row>
    <row r="1424" spans="7:7" x14ac:dyDescent="0.3">
      <c r="G1424" t="str">
        <f>IF('Assignment Tool'!C1424="","",IF('Assignment Tool'!C1424="FST",'Assignment Tool'!D1424,""))</f>
        <v/>
      </c>
    </row>
    <row r="1425" spans="7:7" x14ac:dyDescent="0.3">
      <c r="G1425" t="str">
        <f>IF('Assignment Tool'!C1425="","",IF('Assignment Tool'!C1425="FST",'Assignment Tool'!D1425,""))</f>
        <v/>
      </c>
    </row>
    <row r="1426" spans="7:7" x14ac:dyDescent="0.3">
      <c r="G1426" t="str">
        <f>IF('Assignment Tool'!C1426="","",IF('Assignment Tool'!C1426="FST",'Assignment Tool'!D1426,""))</f>
        <v/>
      </c>
    </row>
    <row r="1427" spans="7:7" x14ac:dyDescent="0.3">
      <c r="G1427" t="str">
        <f>IF('Assignment Tool'!C1427="","",IF('Assignment Tool'!C1427="FST",'Assignment Tool'!D1427,""))</f>
        <v/>
      </c>
    </row>
    <row r="1428" spans="7:7" x14ac:dyDescent="0.3">
      <c r="G1428" t="str">
        <f>IF('Assignment Tool'!C1428="","",IF('Assignment Tool'!C1428="FST",'Assignment Tool'!D1428,""))</f>
        <v/>
      </c>
    </row>
    <row r="1429" spans="7:7" x14ac:dyDescent="0.3">
      <c r="G1429" t="str">
        <f>IF('Assignment Tool'!C1429="","",IF('Assignment Tool'!C1429="FST",'Assignment Tool'!D1429,""))</f>
        <v/>
      </c>
    </row>
    <row r="1430" spans="7:7" x14ac:dyDescent="0.3">
      <c r="G1430" t="str">
        <f>IF('Assignment Tool'!C1430="","",IF('Assignment Tool'!C1430="FST",'Assignment Tool'!D1430,""))</f>
        <v/>
      </c>
    </row>
    <row r="1431" spans="7:7" x14ac:dyDescent="0.3">
      <c r="G1431" t="str">
        <f>IF('Assignment Tool'!C1431="","",IF('Assignment Tool'!C1431="FST",'Assignment Tool'!D1431,""))</f>
        <v/>
      </c>
    </row>
    <row r="1432" spans="7:7" x14ac:dyDescent="0.3">
      <c r="G1432" t="str">
        <f>IF('Assignment Tool'!C1432="","",IF('Assignment Tool'!C1432="FST",'Assignment Tool'!D1432,""))</f>
        <v/>
      </c>
    </row>
    <row r="1433" spans="7:7" x14ac:dyDescent="0.3">
      <c r="G1433" t="str">
        <f>IF('Assignment Tool'!C1433="","",IF('Assignment Tool'!C1433="FST",'Assignment Tool'!D1433,""))</f>
        <v/>
      </c>
    </row>
    <row r="1434" spans="7:7" x14ac:dyDescent="0.3">
      <c r="G1434" t="str">
        <f>IF('Assignment Tool'!C1434="","",IF('Assignment Tool'!C1434="FST",'Assignment Tool'!D1434,""))</f>
        <v/>
      </c>
    </row>
    <row r="1435" spans="7:7" x14ac:dyDescent="0.3">
      <c r="G1435" t="str">
        <f>IF('Assignment Tool'!C1435="","",IF('Assignment Tool'!C1435="FST",'Assignment Tool'!D1435,""))</f>
        <v/>
      </c>
    </row>
    <row r="1436" spans="7:7" x14ac:dyDescent="0.3">
      <c r="G1436" t="str">
        <f>IF('Assignment Tool'!C1436="","",IF('Assignment Tool'!C1436="FST",'Assignment Tool'!D1436,""))</f>
        <v/>
      </c>
    </row>
    <row r="1437" spans="7:7" x14ac:dyDescent="0.3">
      <c r="G1437" t="str">
        <f>IF('Assignment Tool'!C1437="","",IF('Assignment Tool'!C1437="FST",'Assignment Tool'!D1437,""))</f>
        <v/>
      </c>
    </row>
    <row r="1438" spans="7:7" x14ac:dyDescent="0.3">
      <c r="G1438" t="str">
        <f>IF('Assignment Tool'!C1438="","",IF('Assignment Tool'!C1438="FST",'Assignment Tool'!D1438,""))</f>
        <v/>
      </c>
    </row>
    <row r="1439" spans="7:7" x14ac:dyDescent="0.3">
      <c r="G1439" t="str">
        <f>IF('Assignment Tool'!C1439="","",IF('Assignment Tool'!C1439="FST",'Assignment Tool'!D1439,""))</f>
        <v/>
      </c>
    </row>
    <row r="1440" spans="7:7" x14ac:dyDescent="0.3">
      <c r="G1440" t="str">
        <f>IF('Assignment Tool'!C1440="","",IF('Assignment Tool'!C1440="FST",'Assignment Tool'!D1440,""))</f>
        <v/>
      </c>
    </row>
    <row r="1441" spans="7:7" x14ac:dyDescent="0.3">
      <c r="G1441" t="str">
        <f>IF('Assignment Tool'!C1441="","",IF('Assignment Tool'!C1441="FST",'Assignment Tool'!D1441,""))</f>
        <v/>
      </c>
    </row>
    <row r="1442" spans="7:7" x14ac:dyDescent="0.3">
      <c r="G1442" t="str">
        <f>IF('Assignment Tool'!C1442="","",IF('Assignment Tool'!C1442="FST",'Assignment Tool'!D1442,""))</f>
        <v/>
      </c>
    </row>
    <row r="1443" spans="7:7" x14ac:dyDescent="0.3">
      <c r="G1443" t="str">
        <f>IF('Assignment Tool'!C1443="","",IF('Assignment Tool'!C1443="FST",'Assignment Tool'!D1443,""))</f>
        <v/>
      </c>
    </row>
    <row r="1444" spans="7:7" x14ac:dyDescent="0.3">
      <c r="G1444" t="str">
        <f>IF('Assignment Tool'!C1444="","",IF('Assignment Tool'!C1444="FST",'Assignment Tool'!D1444,""))</f>
        <v/>
      </c>
    </row>
    <row r="1445" spans="7:7" x14ac:dyDescent="0.3">
      <c r="G1445" t="str">
        <f>IF('Assignment Tool'!C1445="","",IF('Assignment Tool'!C1445="FST",'Assignment Tool'!D1445,""))</f>
        <v/>
      </c>
    </row>
    <row r="1446" spans="7:7" x14ac:dyDescent="0.3">
      <c r="G1446" t="str">
        <f>IF('Assignment Tool'!C1446="","",IF('Assignment Tool'!C1446="FST",'Assignment Tool'!D1446,""))</f>
        <v/>
      </c>
    </row>
    <row r="1447" spans="7:7" x14ac:dyDescent="0.3">
      <c r="G1447" t="str">
        <f>IF('Assignment Tool'!C1447="","",IF('Assignment Tool'!C1447="FST",'Assignment Tool'!D1447,""))</f>
        <v/>
      </c>
    </row>
    <row r="1448" spans="7:7" x14ac:dyDescent="0.3">
      <c r="G1448" t="str">
        <f>IF('Assignment Tool'!C1448="","",IF('Assignment Tool'!C1448="FST",'Assignment Tool'!D1448,""))</f>
        <v/>
      </c>
    </row>
    <row r="1449" spans="7:7" x14ac:dyDescent="0.3">
      <c r="G1449" t="str">
        <f>IF('Assignment Tool'!C1449="","",IF('Assignment Tool'!C1449="FST",'Assignment Tool'!D1449,""))</f>
        <v/>
      </c>
    </row>
    <row r="1450" spans="7:7" x14ac:dyDescent="0.3">
      <c r="G1450" t="str">
        <f>IF('Assignment Tool'!C1450="","",IF('Assignment Tool'!C1450="FST",'Assignment Tool'!D1450,""))</f>
        <v/>
      </c>
    </row>
    <row r="1451" spans="7:7" x14ac:dyDescent="0.3">
      <c r="G1451" t="str">
        <f>IF('Assignment Tool'!C1451="","",IF('Assignment Tool'!C1451="FST",'Assignment Tool'!D1451,""))</f>
        <v/>
      </c>
    </row>
    <row r="1452" spans="7:7" x14ac:dyDescent="0.3">
      <c r="G1452" t="str">
        <f>IF('Assignment Tool'!C1452="","",IF('Assignment Tool'!C1452="FST",'Assignment Tool'!D1452,""))</f>
        <v/>
      </c>
    </row>
    <row r="1453" spans="7:7" x14ac:dyDescent="0.3">
      <c r="G1453" t="str">
        <f>IF('Assignment Tool'!C1453="","",IF('Assignment Tool'!C1453="FST",'Assignment Tool'!D1453,""))</f>
        <v/>
      </c>
    </row>
    <row r="1454" spans="7:7" x14ac:dyDescent="0.3">
      <c r="G1454" t="str">
        <f>IF('Assignment Tool'!C1454="","",IF('Assignment Tool'!C1454="FST",'Assignment Tool'!D1454,""))</f>
        <v/>
      </c>
    </row>
    <row r="1455" spans="7:7" x14ac:dyDescent="0.3">
      <c r="G1455" t="str">
        <f>IF('Assignment Tool'!C1455="","",IF('Assignment Tool'!C1455="FST",'Assignment Tool'!D1455,""))</f>
        <v/>
      </c>
    </row>
    <row r="1456" spans="7:7" x14ac:dyDescent="0.3">
      <c r="G1456" t="str">
        <f>IF('Assignment Tool'!C1456="","",IF('Assignment Tool'!C1456="FST",'Assignment Tool'!D1456,""))</f>
        <v/>
      </c>
    </row>
    <row r="1457" spans="7:7" x14ac:dyDescent="0.3">
      <c r="G1457" t="str">
        <f>IF('Assignment Tool'!C1457="","",IF('Assignment Tool'!C1457="FST",'Assignment Tool'!D1457,""))</f>
        <v/>
      </c>
    </row>
    <row r="1458" spans="7:7" x14ac:dyDescent="0.3">
      <c r="G1458" t="str">
        <f>IF('Assignment Tool'!C1458="","",IF('Assignment Tool'!C1458="FST",'Assignment Tool'!D1458,""))</f>
        <v/>
      </c>
    </row>
    <row r="1459" spans="7:7" x14ac:dyDescent="0.3">
      <c r="G1459" t="str">
        <f>IF('Assignment Tool'!C1459="","",IF('Assignment Tool'!C1459="FST",'Assignment Tool'!D1459,""))</f>
        <v/>
      </c>
    </row>
    <row r="1460" spans="7:7" x14ac:dyDescent="0.3">
      <c r="G1460" t="str">
        <f>IF('Assignment Tool'!C1460="","",IF('Assignment Tool'!C1460="FST",'Assignment Tool'!D1460,""))</f>
        <v/>
      </c>
    </row>
    <row r="1461" spans="7:7" x14ac:dyDescent="0.3">
      <c r="G1461" t="str">
        <f>IF('Assignment Tool'!C1461="","",IF('Assignment Tool'!C1461="FST",'Assignment Tool'!D1461,""))</f>
        <v/>
      </c>
    </row>
    <row r="1462" spans="7:7" x14ac:dyDescent="0.3">
      <c r="G1462" t="str">
        <f>IF('Assignment Tool'!C1462="","",IF('Assignment Tool'!C1462="FST",'Assignment Tool'!D1462,""))</f>
        <v/>
      </c>
    </row>
    <row r="1463" spans="7:7" x14ac:dyDescent="0.3">
      <c r="G1463" t="str">
        <f>IF('Assignment Tool'!C1463="","",IF('Assignment Tool'!C1463="FST",'Assignment Tool'!D1463,""))</f>
        <v/>
      </c>
    </row>
    <row r="1464" spans="7:7" x14ac:dyDescent="0.3">
      <c r="G1464" t="str">
        <f>IF('Assignment Tool'!C1464="","",IF('Assignment Tool'!C1464="FST",'Assignment Tool'!D1464,""))</f>
        <v/>
      </c>
    </row>
    <row r="1465" spans="7:7" x14ac:dyDescent="0.3">
      <c r="G1465" t="str">
        <f>IF('Assignment Tool'!C1465="","",IF('Assignment Tool'!C1465="FST",'Assignment Tool'!D1465,""))</f>
        <v/>
      </c>
    </row>
    <row r="1466" spans="7:7" x14ac:dyDescent="0.3">
      <c r="G1466" t="str">
        <f>IF('Assignment Tool'!C1466="","",IF('Assignment Tool'!C1466="FST",'Assignment Tool'!D1466,""))</f>
        <v/>
      </c>
    </row>
    <row r="1467" spans="7:7" x14ac:dyDescent="0.3">
      <c r="G1467" t="str">
        <f>IF('Assignment Tool'!C1467="","",IF('Assignment Tool'!C1467="FST",'Assignment Tool'!D1467,""))</f>
        <v/>
      </c>
    </row>
    <row r="1468" spans="7:7" x14ac:dyDescent="0.3">
      <c r="G1468" t="str">
        <f>IF('Assignment Tool'!C1468="","",IF('Assignment Tool'!C1468="FST",'Assignment Tool'!D1468,""))</f>
        <v/>
      </c>
    </row>
    <row r="1469" spans="7:7" x14ac:dyDescent="0.3">
      <c r="G1469" t="str">
        <f>IF('Assignment Tool'!C1469="","",IF('Assignment Tool'!C1469="FST",'Assignment Tool'!D1469,""))</f>
        <v/>
      </c>
    </row>
    <row r="1470" spans="7:7" x14ac:dyDescent="0.3">
      <c r="G1470" t="str">
        <f>IF('Assignment Tool'!C1470="","",IF('Assignment Tool'!C1470="FST",'Assignment Tool'!D1470,""))</f>
        <v/>
      </c>
    </row>
    <row r="1471" spans="7:7" x14ac:dyDescent="0.3">
      <c r="G1471" t="str">
        <f>IF('Assignment Tool'!C1471="","",IF('Assignment Tool'!C1471="FST",'Assignment Tool'!D1471,""))</f>
        <v/>
      </c>
    </row>
    <row r="1472" spans="7:7" x14ac:dyDescent="0.3">
      <c r="G1472" t="str">
        <f>IF('Assignment Tool'!C1472="","",IF('Assignment Tool'!C1472="FST",'Assignment Tool'!D1472,""))</f>
        <v/>
      </c>
    </row>
    <row r="1473" spans="7:7" x14ac:dyDescent="0.3">
      <c r="G1473" t="str">
        <f>IF('Assignment Tool'!C1473="","",IF('Assignment Tool'!C1473="FST",'Assignment Tool'!D1473,""))</f>
        <v/>
      </c>
    </row>
    <row r="1474" spans="7:7" x14ac:dyDescent="0.3">
      <c r="G1474" t="str">
        <f>IF('Assignment Tool'!C1474="","",IF('Assignment Tool'!C1474="FST",'Assignment Tool'!D1474,""))</f>
        <v/>
      </c>
    </row>
    <row r="1475" spans="7:7" x14ac:dyDescent="0.3">
      <c r="G1475" t="str">
        <f>IF('Assignment Tool'!C1475="","",IF('Assignment Tool'!C1475="FST",'Assignment Tool'!D1475,""))</f>
        <v/>
      </c>
    </row>
    <row r="1476" spans="7:7" x14ac:dyDescent="0.3">
      <c r="G1476" t="str">
        <f>IF('Assignment Tool'!C1476="","",IF('Assignment Tool'!C1476="FST",'Assignment Tool'!D1476,""))</f>
        <v/>
      </c>
    </row>
    <row r="1477" spans="7:7" x14ac:dyDescent="0.3">
      <c r="G1477" t="str">
        <f>IF('Assignment Tool'!C1477="","",IF('Assignment Tool'!C1477="FST",'Assignment Tool'!D1477,""))</f>
        <v/>
      </c>
    </row>
    <row r="1478" spans="7:7" x14ac:dyDescent="0.3">
      <c r="G1478" t="str">
        <f>IF('Assignment Tool'!C1478="","",IF('Assignment Tool'!C1478="FST",'Assignment Tool'!D1478,""))</f>
        <v/>
      </c>
    </row>
    <row r="1479" spans="7:7" x14ac:dyDescent="0.3">
      <c r="G1479" t="str">
        <f>IF('Assignment Tool'!C1479="","",IF('Assignment Tool'!C1479="FST",'Assignment Tool'!D1479,""))</f>
        <v/>
      </c>
    </row>
    <row r="1480" spans="7:7" x14ac:dyDescent="0.3">
      <c r="G1480" t="str">
        <f>IF('Assignment Tool'!C1480="","",IF('Assignment Tool'!C1480="FST",'Assignment Tool'!D1480,""))</f>
        <v/>
      </c>
    </row>
    <row r="1481" spans="7:7" x14ac:dyDescent="0.3">
      <c r="G1481" t="str">
        <f>IF('Assignment Tool'!C1481="","",IF('Assignment Tool'!C1481="FST",'Assignment Tool'!D1481,""))</f>
        <v/>
      </c>
    </row>
    <row r="1482" spans="7:7" x14ac:dyDescent="0.3">
      <c r="G1482" t="str">
        <f>IF('Assignment Tool'!C1482="","",IF('Assignment Tool'!C1482="FST",'Assignment Tool'!D1482,""))</f>
        <v/>
      </c>
    </row>
    <row r="1483" spans="7:7" x14ac:dyDescent="0.3">
      <c r="G1483" t="str">
        <f>IF('Assignment Tool'!C1483="","",IF('Assignment Tool'!C1483="FST",'Assignment Tool'!D1483,""))</f>
        <v/>
      </c>
    </row>
    <row r="1484" spans="7:7" x14ac:dyDescent="0.3">
      <c r="G1484" t="str">
        <f>IF('Assignment Tool'!C1484="","",IF('Assignment Tool'!C1484="FST",'Assignment Tool'!D1484,""))</f>
        <v/>
      </c>
    </row>
    <row r="1485" spans="7:7" x14ac:dyDescent="0.3">
      <c r="G1485" t="str">
        <f>IF('Assignment Tool'!C1485="","",IF('Assignment Tool'!C1485="FST",'Assignment Tool'!D1485,""))</f>
        <v/>
      </c>
    </row>
    <row r="1486" spans="7:7" x14ac:dyDescent="0.3">
      <c r="G1486" t="str">
        <f>IF('Assignment Tool'!C1486="","",IF('Assignment Tool'!C1486="FST",'Assignment Tool'!D1486,""))</f>
        <v/>
      </c>
    </row>
    <row r="1487" spans="7:7" x14ac:dyDescent="0.3">
      <c r="G1487" t="str">
        <f>IF('Assignment Tool'!C1487="","",IF('Assignment Tool'!C1487="FST",'Assignment Tool'!D1487,""))</f>
        <v/>
      </c>
    </row>
    <row r="1488" spans="7:7" x14ac:dyDescent="0.3">
      <c r="G1488" t="str">
        <f>IF('Assignment Tool'!C1488="","",IF('Assignment Tool'!C1488="FST",'Assignment Tool'!D1488,""))</f>
        <v/>
      </c>
    </row>
    <row r="1489" spans="7:7" x14ac:dyDescent="0.3">
      <c r="G1489" t="str">
        <f>IF('Assignment Tool'!C1489="","",IF('Assignment Tool'!C1489="FST",'Assignment Tool'!D1489,""))</f>
        <v/>
      </c>
    </row>
    <row r="1490" spans="7:7" x14ac:dyDescent="0.3">
      <c r="G1490" t="str">
        <f>IF('Assignment Tool'!C1490="","",IF('Assignment Tool'!C1490="FST",'Assignment Tool'!D1490,""))</f>
        <v/>
      </c>
    </row>
    <row r="1491" spans="7:7" x14ac:dyDescent="0.3">
      <c r="G1491" t="str">
        <f>IF('Assignment Tool'!C1491="","",IF('Assignment Tool'!C1491="FST",'Assignment Tool'!D1491,""))</f>
        <v/>
      </c>
    </row>
    <row r="1492" spans="7:7" x14ac:dyDescent="0.3">
      <c r="G1492" t="str">
        <f>IF('Assignment Tool'!C1492="","",IF('Assignment Tool'!C1492="FST",'Assignment Tool'!D1492,""))</f>
        <v/>
      </c>
    </row>
    <row r="1493" spans="7:7" x14ac:dyDescent="0.3">
      <c r="G1493" t="str">
        <f>IF('Assignment Tool'!C1493="","",IF('Assignment Tool'!C1493="FST",'Assignment Tool'!D1493,""))</f>
        <v/>
      </c>
    </row>
    <row r="1494" spans="7:7" x14ac:dyDescent="0.3">
      <c r="G1494" t="str">
        <f>IF('Assignment Tool'!C1494="","",IF('Assignment Tool'!C1494="FST",'Assignment Tool'!D1494,""))</f>
        <v/>
      </c>
    </row>
    <row r="1495" spans="7:7" x14ac:dyDescent="0.3">
      <c r="G1495" t="str">
        <f>IF('Assignment Tool'!C1495="","",IF('Assignment Tool'!C1495="FST",'Assignment Tool'!D1495,""))</f>
        <v/>
      </c>
    </row>
    <row r="1496" spans="7:7" x14ac:dyDescent="0.3">
      <c r="G1496" t="str">
        <f>IF('Assignment Tool'!C1496="","",IF('Assignment Tool'!C1496="FST",'Assignment Tool'!D1496,""))</f>
        <v/>
      </c>
    </row>
    <row r="1497" spans="7:7" x14ac:dyDescent="0.3">
      <c r="G1497" t="str">
        <f>IF('Assignment Tool'!C1497="","",IF('Assignment Tool'!C1497="FST",'Assignment Tool'!D1497,""))</f>
        <v/>
      </c>
    </row>
    <row r="1498" spans="7:7" x14ac:dyDescent="0.3">
      <c r="G1498" t="str">
        <f>IF('Assignment Tool'!C1498="","",IF('Assignment Tool'!C1498="FST",'Assignment Tool'!D1498,""))</f>
        <v/>
      </c>
    </row>
    <row r="1499" spans="7:7" x14ac:dyDescent="0.3">
      <c r="G1499" t="str">
        <f>IF('Assignment Tool'!C1499="","",IF('Assignment Tool'!C1499="FST",'Assignment Tool'!D1499,""))</f>
        <v/>
      </c>
    </row>
    <row r="1500" spans="7:7" x14ac:dyDescent="0.3">
      <c r="G1500" t="str">
        <f>IF('Assignment Tool'!C1500="","",IF('Assignment Tool'!C1500="FST",'Assignment Tool'!D1500,""))</f>
        <v/>
      </c>
    </row>
    <row r="1501" spans="7:7" x14ac:dyDescent="0.3">
      <c r="G1501" t="str">
        <f>IF('Assignment Tool'!C1501="","",IF('Assignment Tool'!C1501="FST",'Assignment Tool'!D1501,""))</f>
        <v/>
      </c>
    </row>
    <row r="1502" spans="7:7" x14ac:dyDescent="0.3">
      <c r="G1502" t="str">
        <f>IF('Assignment Tool'!C1502="","",IF('Assignment Tool'!C1502="FST",'Assignment Tool'!D1502,""))</f>
        <v/>
      </c>
    </row>
    <row r="1503" spans="7:7" x14ac:dyDescent="0.3">
      <c r="G1503" t="str">
        <f>IF('Assignment Tool'!C1503="","",IF('Assignment Tool'!C1503="FST",'Assignment Tool'!D1503,""))</f>
        <v/>
      </c>
    </row>
    <row r="1504" spans="7:7" x14ac:dyDescent="0.3">
      <c r="G1504" t="str">
        <f>IF('Assignment Tool'!C1504="","",IF('Assignment Tool'!C1504="FST",'Assignment Tool'!D1504,""))</f>
        <v/>
      </c>
    </row>
    <row r="1505" spans="7:7" x14ac:dyDescent="0.3">
      <c r="G1505" t="str">
        <f>IF('Assignment Tool'!C1505="","",IF('Assignment Tool'!C1505="FST",'Assignment Tool'!D1505,""))</f>
        <v/>
      </c>
    </row>
    <row r="1506" spans="7:7" x14ac:dyDescent="0.3">
      <c r="G1506" t="str">
        <f>IF('Assignment Tool'!C1506="","",IF('Assignment Tool'!C1506="FST",'Assignment Tool'!D1506,""))</f>
        <v/>
      </c>
    </row>
    <row r="1507" spans="7:7" x14ac:dyDescent="0.3">
      <c r="G1507" t="str">
        <f>IF('Assignment Tool'!C1507="","",IF('Assignment Tool'!C1507="FST",'Assignment Tool'!D1507,""))</f>
        <v/>
      </c>
    </row>
    <row r="1508" spans="7:7" x14ac:dyDescent="0.3">
      <c r="G1508" t="str">
        <f>IF('Assignment Tool'!C1508="","",IF('Assignment Tool'!C1508="FST",'Assignment Tool'!D1508,""))</f>
        <v/>
      </c>
    </row>
    <row r="1509" spans="7:7" x14ac:dyDescent="0.3">
      <c r="G1509" t="str">
        <f>IF('Assignment Tool'!C1509="","",IF('Assignment Tool'!C1509="FST",'Assignment Tool'!D1509,""))</f>
        <v/>
      </c>
    </row>
    <row r="1510" spans="7:7" x14ac:dyDescent="0.3">
      <c r="G1510" t="str">
        <f>IF('Assignment Tool'!C1510="","",IF('Assignment Tool'!C1510="FST",'Assignment Tool'!D1510,""))</f>
        <v/>
      </c>
    </row>
    <row r="1511" spans="7:7" x14ac:dyDescent="0.3">
      <c r="G1511" t="str">
        <f>IF('Assignment Tool'!C1511="","",IF('Assignment Tool'!C1511="FST",'Assignment Tool'!D1511,""))</f>
        <v/>
      </c>
    </row>
    <row r="1512" spans="7:7" x14ac:dyDescent="0.3">
      <c r="G1512" t="str">
        <f>IF('Assignment Tool'!C1512="","",IF('Assignment Tool'!C1512="FST",'Assignment Tool'!D1512,""))</f>
        <v/>
      </c>
    </row>
    <row r="1513" spans="7:7" x14ac:dyDescent="0.3">
      <c r="G1513" t="str">
        <f>IF('Assignment Tool'!C1513="","",IF('Assignment Tool'!C1513="FST",'Assignment Tool'!D1513,""))</f>
        <v/>
      </c>
    </row>
    <row r="1514" spans="7:7" x14ac:dyDescent="0.3">
      <c r="G1514" t="str">
        <f>IF('Assignment Tool'!C1514="","",IF('Assignment Tool'!C1514="FST",'Assignment Tool'!D1514,""))</f>
        <v/>
      </c>
    </row>
    <row r="1515" spans="7:7" x14ac:dyDescent="0.3">
      <c r="G1515" t="str">
        <f>IF('Assignment Tool'!C1515="","",IF('Assignment Tool'!C1515="FST",'Assignment Tool'!D1515,""))</f>
        <v/>
      </c>
    </row>
    <row r="1516" spans="7:7" x14ac:dyDescent="0.3">
      <c r="G1516" t="str">
        <f>IF('Assignment Tool'!C1516="","",IF('Assignment Tool'!C1516="FST",'Assignment Tool'!D1516,""))</f>
        <v/>
      </c>
    </row>
    <row r="1517" spans="7:7" x14ac:dyDescent="0.3">
      <c r="G1517" t="str">
        <f>IF('Assignment Tool'!C1517="","",IF('Assignment Tool'!C1517="FST",'Assignment Tool'!D1517,""))</f>
        <v/>
      </c>
    </row>
    <row r="1518" spans="7:7" x14ac:dyDescent="0.3">
      <c r="G1518" t="str">
        <f>IF('Assignment Tool'!C1518="","",IF('Assignment Tool'!C1518="FST",'Assignment Tool'!D1518,""))</f>
        <v/>
      </c>
    </row>
    <row r="1519" spans="7:7" x14ac:dyDescent="0.3">
      <c r="G1519" t="str">
        <f>IF('Assignment Tool'!C1519="","",IF('Assignment Tool'!C1519="FST",'Assignment Tool'!D1519,""))</f>
        <v/>
      </c>
    </row>
    <row r="1520" spans="7:7" x14ac:dyDescent="0.3">
      <c r="G1520" t="str">
        <f>IF('Assignment Tool'!C1520="","",IF('Assignment Tool'!C1520="FST",'Assignment Tool'!D1520,""))</f>
        <v/>
      </c>
    </row>
    <row r="1521" spans="7:7" x14ac:dyDescent="0.3">
      <c r="G1521" t="str">
        <f>IF('Assignment Tool'!C1521="","",IF('Assignment Tool'!C1521="FST",'Assignment Tool'!D1521,""))</f>
        <v/>
      </c>
    </row>
    <row r="1522" spans="7:7" x14ac:dyDescent="0.3">
      <c r="G1522" t="str">
        <f>IF('Assignment Tool'!C1522="","",IF('Assignment Tool'!C1522="FST",'Assignment Tool'!D1522,""))</f>
        <v/>
      </c>
    </row>
    <row r="1523" spans="7:7" x14ac:dyDescent="0.3">
      <c r="G1523" t="str">
        <f>IF('Assignment Tool'!C1523="","",IF('Assignment Tool'!C1523="FST",'Assignment Tool'!D1523,""))</f>
        <v/>
      </c>
    </row>
    <row r="1524" spans="7:7" x14ac:dyDescent="0.3">
      <c r="G1524" t="str">
        <f>IF('Assignment Tool'!C1524="","",IF('Assignment Tool'!C1524="FST",'Assignment Tool'!D1524,""))</f>
        <v/>
      </c>
    </row>
    <row r="1525" spans="7:7" x14ac:dyDescent="0.3">
      <c r="G1525" t="str">
        <f>IF('Assignment Tool'!C1525="","",IF('Assignment Tool'!C1525="FST",'Assignment Tool'!D1525,""))</f>
        <v/>
      </c>
    </row>
    <row r="1526" spans="7:7" x14ac:dyDescent="0.3">
      <c r="G1526" t="str">
        <f>IF('Assignment Tool'!C1526="","",IF('Assignment Tool'!C1526="FST",'Assignment Tool'!D1526,""))</f>
        <v/>
      </c>
    </row>
    <row r="1527" spans="7:7" x14ac:dyDescent="0.3">
      <c r="G1527" t="str">
        <f>IF('Assignment Tool'!C1527="","",IF('Assignment Tool'!C1527="FST",'Assignment Tool'!D1527,""))</f>
        <v/>
      </c>
    </row>
    <row r="1528" spans="7:7" x14ac:dyDescent="0.3">
      <c r="G1528" t="str">
        <f>IF('Assignment Tool'!C1528="","",IF('Assignment Tool'!C1528="FST",'Assignment Tool'!D1528,""))</f>
        <v/>
      </c>
    </row>
    <row r="1529" spans="7:7" x14ac:dyDescent="0.3">
      <c r="G1529" t="str">
        <f>IF('Assignment Tool'!C1529="","",IF('Assignment Tool'!C1529="FST",'Assignment Tool'!D1529,""))</f>
        <v/>
      </c>
    </row>
    <row r="1530" spans="7:7" x14ac:dyDescent="0.3">
      <c r="G1530" t="str">
        <f>IF('Assignment Tool'!C1530="","",IF('Assignment Tool'!C1530="FST",'Assignment Tool'!D1530,""))</f>
        <v/>
      </c>
    </row>
    <row r="1531" spans="7:7" x14ac:dyDescent="0.3">
      <c r="G1531" t="str">
        <f>IF('Assignment Tool'!C1531="","",IF('Assignment Tool'!C1531="FST",'Assignment Tool'!D1531,""))</f>
        <v/>
      </c>
    </row>
    <row r="1532" spans="7:7" x14ac:dyDescent="0.3">
      <c r="G1532" t="str">
        <f>IF('Assignment Tool'!C1532="","",IF('Assignment Tool'!C1532="FST",'Assignment Tool'!D1532,""))</f>
        <v/>
      </c>
    </row>
    <row r="1533" spans="7:7" x14ac:dyDescent="0.3">
      <c r="G1533" t="str">
        <f>IF('Assignment Tool'!C1533="","",IF('Assignment Tool'!C1533="FST",'Assignment Tool'!D1533,""))</f>
        <v/>
      </c>
    </row>
    <row r="1534" spans="7:7" x14ac:dyDescent="0.3">
      <c r="G1534" t="str">
        <f>IF('Assignment Tool'!C1534="","",IF('Assignment Tool'!C1534="FST",'Assignment Tool'!D1534,""))</f>
        <v/>
      </c>
    </row>
    <row r="1535" spans="7:7" x14ac:dyDescent="0.3">
      <c r="G1535" t="str">
        <f>IF('Assignment Tool'!C1535="","",IF('Assignment Tool'!C1535="FST",'Assignment Tool'!D1535,""))</f>
        <v/>
      </c>
    </row>
    <row r="1536" spans="7:7" x14ac:dyDescent="0.3">
      <c r="G1536" t="str">
        <f>IF('Assignment Tool'!C1536="","",IF('Assignment Tool'!C1536="FST",'Assignment Tool'!D1536,""))</f>
        <v/>
      </c>
    </row>
    <row r="1537" spans="7:7" x14ac:dyDescent="0.3">
      <c r="G1537" t="str">
        <f>IF('Assignment Tool'!C1537="","",IF('Assignment Tool'!C1537="FST",'Assignment Tool'!D1537,""))</f>
        <v/>
      </c>
    </row>
    <row r="1538" spans="7:7" x14ac:dyDescent="0.3">
      <c r="G1538" t="str">
        <f>IF('Assignment Tool'!C1538="","",IF('Assignment Tool'!C1538="FST",'Assignment Tool'!D1538,""))</f>
        <v/>
      </c>
    </row>
    <row r="1539" spans="7:7" x14ac:dyDescent="0.3">
      <c r="G1539" t="str">
        <f>IF('Assignment Tool'!C1539="","",IF('Assignment Tool'!C1539="FST",'Assignment Tool'!D1539,""))</f>
        <v/>
      </c>
    </row>
    <row r="1540" spans="7:7" x14ac:dyDescent="0.3">
      <c r="G1540" t="str">
        <f>IF('Assignment Tool'!C1540="","",IF('Assignment Tool'!C1540="FST",'Assignment Tool'!D1540,""))</f>
        <v/>
      </c>
    </row>
    <row r="1541" spans="7:7" x14ac:dyDescent="0.3">
      <c r="G1541" t="str">
        <f>IF('Assignment Tool'!C1541="","",IF('Assignment Tool'!C1541="FST",'Assignment Tool'!D1541,""))</f>
        <v/>
      </c>
    </row>
    <row r="1542" spans="7:7" x14ac:dyDescent="0.3">
      <c r="G1542" t="str">
        <f>IF('Assignment Tool'!C1542="","",IF('Assignment Tool'!C1542="FST",'Assignment Tool'!D1542,""))</f>
        <v/>
      </c>
    </row>
    <row r="1543" spans="7:7" x14ac:dyDescent="0.3">
      <c r="G1543" t="str">
        <f>IF('Assignment Tool'!C1543="","",IF('Assignment Tool'!C1543="FST",'Assignment Tool'!D1543,""))</f>
        <v/>
      </c>
    </row>
    <row r="1544" spans="7:7" x14ac:dyDescent="0.3">
      <c r="G1544" t="str">
        <f>IF('Assignment Tool'!C1544="","",IF('Assignment Tool'!C1544="FST",'Assignment Tool'!D1544,""))</f>
        <v/>
      </c>
    </row>
    <row r="1545" spans="7:7" x14ac:dyDescent="0.3">
      <c r="G1545" t="str">
        <f>IF('Assignment Tool'!C1545="","",IF('Assignment Tool'!C1545="FST",'Assignment Tool'!D1545,""))</f>
        <v/>
      </c>
    </row>
    <row r="1546" spans="7:7" x14ac:dyDescent="0.3">
      <c r="G1546" t="str">
        <f>IF('Assignment Tool'!C1546="","",IF('Assignment Tool'!C1546="FST",'Assignment Tool'!D1546,""))</f>
        <v/>
      </c>
    </row>
    <row r="1547" spans="7:7" x14ac:dyDescent="0.3">
      <c r="G1547" t="str">
        <f>IF('Assignment Tool'!C1547="","",IF('Assignment Tool'!C1547="FST",'Assignment Tool'!D1547,""))</f>
        <v/>
      </c>
    </row>
    <row r="1548" spans="7:7" x14ac:dyDescent="0.3">
      <c r="G1548" t="str">
        <f>IF('Assignment Tool'!C1548="","",IF('Assignment Tool'!C1548="FST",'Assignment Tool'!D1548,""))</f>
        <v/>
      </c>
    </row>
    <row r="1549" spans="7:7" x14ac:dyDescent="0.3">
      <c r="G1549" t="str">
        <f>IF('Assignment Tool'!C1549="","",IF('Assignment Tool'!C1549="FST",'Assignment Tool'!D1549,""))</f>
        <v/>
      </c>
    </row>
    <row r="1550" spans="7:7" x14ac:dyDescent="0.3">
      <c r="G1550" t="str">
        <f>IF('Assignment Tool'!C1550="","",IF('Assignment Tool'!C1550="FST",'Assignment Tool'!D1550,""))</f>
        <v/>
      </c>
    </row>
    <row r="1551" spans="7:7" x14ac:dyDescent="0.3">
      <c r="G1551" t="str">
        <f>IF('Assignment Tool'!C1551="","",IF('Assignment Tool'!C1551="FST",'Assignment Tool'!D1551,""))</f>
        <v/>
      </c>
    </row>
    <row r="1552" spans="7:7" x14ac:dyDescent="0.3">
      <c r="G1552" t="str">
        <f>IF('Assignment Tool'!C1552="","",IF('Assignment Tool'!C1552="FST",'Assignment Tool'!D1552,""))</f>
        <v/>
      </c>
    </row>
    <row r="1553" spans="7:7" x14ac:dyDescent="0.3">
      <c r="G1553" t="str">
        <f>IF('Assignment Tool'!C1553="","",IF('Assignment Tool'!C1553="FST",'Assignment Tool'!D1553,""))</f>
        <v/>
      </c>
    </row>
    <row r="1554" spans="7:7" x14ac:dyDescent="0.3">
      <c r="G1554" t="str">
        <f>IF('Assignment Tool'!C1554="","",IF('Assignment Tool'!C1554="FST",'Assignment Tool'!D1554,""))</f>
        <v/>
      </c>
    </row>
    <row r="1555" spans="7:7" x14ac:dyDescent="0.3">
      <c r="G1555" t="str">
        <f>IF('Assignment Tool'!C1555="","",IF('Assignment Tool'!C1555="FST",'Assignment Tool'!D1555,""))</f>
        <v/>
      </c>
    </row>
    <row r="1556" spans="7:7" x14ac:dyDescent="0.3">
      <c r="G1556" t="str">
        <f>IF('Assignment Tool'!C1556="","",IF('Assignment Tool'!C1556="FST",'Assignment Tool'!D1556,""))</f>
        <v/>
      </c>
    </row>
    <row r="1557" spans="7:7" x14ac:dyDescent="0.3">
      <c r="G1557" t="str">
        <f>IF('Assignment Tool'!C1557="","",IF('Assignment Tool'!C1557="FST",'Assignment Tool'!D1557,""))</f>
        <v/>
      </c>
    </row>
    <row r="1558" spans="7:7" x14ac:dyDescent="0.3">
      <c r="G1558" t="str">
        <f>IF('Assignment Tool'!C1558="","",IF('Assignment Tool'!C1558="FST",'Assignment Tool'!D1558,""))</f>
        <v/>
      </c>
    </row>
    <row r="1559" spans="7:7" x14ac:dyDescent="0.3">
      <c r="G1559" t="str">
        <f>IF('Assignment Tool'!C1559="","",IF('Assignment Tool'!C1559="FST",'Assignment Tool'!D1559,""))</f>
        <v/>
      </c>
    </row>
    <row r="1560" spans="7:7" x14ac:dyDescent="0.3">
      <c r="G1560" t="str">
        <f>IF('Assignment Tool'!C1560="","",IF('Assignment Tool'!C1560="FST",'Assignment Tool'!D1560,""))</f>
        <v/>
      </c>
    </row>
    <row r="1561" spans="7:7" x14ac:dyDescent="0.3">
      <c r="G1561" t="str">
        <f>IF('Assignment Tool'!C1561="","",IF('Assignment Tool'!C1561="FST",'Assignment Tool'!D1561,""))</f>
        <v/>
      </c>
    </row>
    <row r="1562" spans="7:7" x14ac:dyDescent="0.3">
      <c r="G1562" t="str">
        <f>IF('Assignment Tool'!C1562="","",IF('Assignment Tool'!C1562="FST",'Assignment Tool'!D1562,""))</f>
        <v/>
      </c>
    </row>
    <row r="1563" spans="7:7" x14ac:dyDescent="0.3">
      <c r="G1563" t="str">
        <f>IF('Assignment Tool'!C1563="","",IF('Assignment Tool'!C1563="FST",'Assignment Tool'!D1563,""))</f>
        <v/>
      </c>
    </row>
    <row r="1564" spans="7:7" x14ac:dyDescent="0.3">
      <c r="G1564" t="str">
        <f>IF('Assignment Tool'!C1564="","",IF('Assignment Tool'!C1564="FST",'Assignment Tool'!D1564,""))</f>
        <v/>
      </c>
    </row>
    <row r="1565" spans="7:7" x14ac:dyDescent="0.3">
      <c r="G1565" t="str">
        <f>IF('Assignment Tool'!C1565="","",IF('Assignment Tool'!C1565="FST",'Assignment Tool'!D1565,""))</f>
        <v/>
      </c>
    </row>
    <row r="1566" spans="7:7" x14ac:dyDescent="0.3">
      <c r="G1566" t="str">
        <f>IF('Assignment Tool'!C1566="","",IF('Assignment Tool'!C1566="FST",'Assignment Tool'!D1566,""))</f>
        <v/>
      </c>
    </row>
    <row r="1567" spans="7:7" x14ac:dyDescent="0.3">
      <c r="G1567" t="str">
        <f>IF('Assignment Tool'!C1567="","",IF('Assignment Tool'!C1567="FST",'Assignment Tool'!D1567,""))</f>
        <v/>
      </c>
    </row>
    <row r="1568" spans="7:7" x14ac:dyDescent="0.3">
      <c r="G1568" t="str">
        <f>IF('Assignment Tool'!C1568="","",IF('Assignment Tool'!C1568="FST",'Assignment Tool'!D1568,""))</f>
        <v/>
      </c>
    </row>
    <row r="1569" spans="7:7" x14ac:dyDescent="0.3">
      <c r="G1569" t="str">
        <f>IF('Assignment Tool'!C1569="","",IF('Assignment Tool'!C1569="FST",'Assignment Tool'!D1569,""))</f>
        <v/>
      </c>
    </row>
    <row r="1570" spans="7:7" x14ac:dyDescent="0.3">
      <c r="G1570" t="str">
        <f>IF('Assignment Tool'!C1570="","",IF('Assignment Tool'!C1570="FST",'Assignment Tool'!D1570,""))</f>
        <v/>
      </c>
    </row>
    <row r="1571" spans="7:7" x14ac:dyDescent="0.3">
      <c r="G1571" t="str">
        <f>IF('Assignment Tool'!C1571="","",IF('Assignment Tool'!C1571="FST",'Assignment Tool'!D1571,""))</f>
        <v/>
      </c>
    </row>
    <row r="1572" spans="7:7" x14ac:dyDescent="0.3">
      <c r="G1572" t="str">
        <f>IF('Assignment Tool'!C1572="","",IF('Assignment Tool'!C1572="FST",'Assignment Tool'!D1572,""))</f>
        <v/>
      </c>
    </row>
    <row r="1573" spans="7:7" x14ac:dyDescent="0.3">
      <c r="G1573" t="str">
        <f>IF('Assignment Tool'!C1573="","",IF('Assignment Tool'!C1573="FST",'Assignment Tool'!D1573,""))</f>
        <v/>
      </c>
    </row>
    <row r="1574" spans="7:7" x14ac:dyDescent="0.3">
      <c r="G1574" t="str">
        <f>IF('Assignment Tool'!C1574="","",IF('Assignment Tool'!C1574="FST",'Assignment Tool'!D1574,""))</f>
        <v/>
      </c>
    </row>
    <row r="1575" spans="7:7" x14ac:dyDescent="0.3">
      <c r="G1575" t="str">
        <f>IF('Assignment Tool'!C1575="","",IF('Assignment Tool'!C1575="FST",'Assignment Tool'!D1575,""))</f>
        <v/>
      </c>
    </row>
    <row r="1576" spans="7:7" x14ac:dyDescent="0.3">
      <c r="G1576" t="str">
        <f>IF('Assignment Tool'!C1576="","",IF('Assignment Tool'!C1576="FST",'Assignment Tool'!D1576,""))</f>
        <v/>
      </c>
    </row>
    <row r="1577" spans="7:7" x14ac:dyDescent="0.3">
      <c r="G1577" t="str">
        <f>IF('Assignment Tool'!C1577="","",IF('Assignment Tool'!C1577="FST",'Assignment Tool'!D1577,""))</f>
        <v/>
      </c>
    </row>
    <row r="1578" spans="7:7" x14ac:dyDescent="0.3">
      <c r="G1578" t="str">
        <f>IF('Assignment Tool'!C1578="","",IF('Assignment Tool'!C1578="FST",'Assignment Tool'!D1578,""))</f>
        <v/>
      </c>
    </row>
    <row r="1579" spans="7:7" x14ac:dyDescent="0.3">
      <c r="G1579" t="str">
        <f>IF('Assignment Tool'!C1579="","",IF('Assignment Tool'!C1579="FST",'Assignment Tool'!D1579,""))</f>
        <v/>
      </c>
    </row>
    <row r="1580" spans="7:7" x14ac:dyDescent="0.3">
      <c r="G1580" t="str">
        <f>IF('Assignment Tool'!C1580="","",IF('Assignment Tool'!C1580="FST",'Assignment Tool'!D1580,""))</f>
        <v/>
      </c>
    </row>
    <row r="1581" spans="7:7" x14ac:dyDescent="0.3">
      <c r="G1581" t="str">
        <f>IF('Assignment Tool'!C1581="","",IF('Assignment Tool'!C1581="FST",'Assignment Tool'!D1581,""))</f>
        <v/>
      </c>
    </row>
    <row r="1582" spans="7:7" x14ac:dyDescent="0.3">
      <c r="G1582" t="str">
        <f>IF('Assignment Tool'!C1582="","",IF('Assignment Tool'!C1582="FST",'Assignment Tool'!D1582,""))</f>
        <v/>
      </c>
    </row>
    <row r="1583" spans="7:7" x14ac:dyDescent="0.3">
      <c r="G1583" t="str">
        <f>IF('Assignment Tool'!C1583="","",IF('Assignment Tool'!C1583="FST",'Assignment Tool'!D1583,""))</f>
        <v/>
      </c>
    </row>
    <row r="1584" spans="7:7" x14ac:dyDescent="0.3">
      <c r="G1584" t="str">
        <f>IF('Assignment Tool'!C1584="","",IF('Assignment Tool'!C1584="FST",'Assignment Tool'!D1584,""))</f>
        <v/>
      </c>
    </row>
    <row r="1585" spans="7:7" x14ac:dyDescent="0.3">
      <c r="G1585" t="str">
        <f>IF('Assignment Tool'!C1585="","",IF('Assignment Tool'!C1585="FST",'Assignment Tool'!D1585,""))</f>
        <v/>
      </c>
    </row>
    <row r="1586" spans="7:7" x14ac:dyDescent="0.3">
      <c r="G1586" t="str">
        <f>IF('Assignment Tool'!C1586="","",IF('Assignment Tool'!C1586="FST",'Assignment Tool'!D1586,""))</f>
        <v/>
      </c>
    </row>
    <row r="1587" spans="7:7" x14ac:dyDescent="0.3">
      <c r="G1587" t="str">
        <f>IF('Assignment Tool'!C1587="","",IF('Assignment Tool'!C1587="FST",'Assignment Tool'!D1587,""))</f>
        <v/>
      </c>
    </row>
    <row r="1588" spans="7:7" x14ac:dyDescent="0.3">
      <c r="G1588" t="str">
        <f>IF('Assignment Tool'!C1588="","",IF('Assignment Tool'!C1588="FST",'Assignment Tool'!D1588,""))</f>
        <v/>
      </c>
    </row>
    <row r="1589" spans="7:7" x14ac:dyDescent="0.3">
      <c r="G1589" t="str">
        <f>IF('Assignment Tool'!C1589="","",IF('Assignment Tool'!C1589="FST",'Assignment Tool'!D1589,""))</f>
        <v/>
      </c>
    </row>
    <row r="1590" spans="7:7" x14ac:dyDescent="0.3">
      <c r="G1590" t="str">
        <f>IF('Assignment Tool'!C1590="","",IF('Assignment Tool'!C1590="FST",'Assignment Tool'!D1590,""))</f>
        <v/>
      </c>
    </row>
    <row r="1591" spans="7:7" x14ac:dyDescent="0.3">
      <c r="G1591" t="str">
        <f>IF('Assignment Tool'!C1591="","",IF('Assignment Tool'!C1591="FST",'Assignment Tool'!D1591,""))</f>
        <v/>
      </c>
    </row>
    <row r="1592" spans="7:7" x14ac:dyDescent="0.3">
      <c r="G1592" t="str">
        <f>IF('Assignment Tool'!C1592="","",IF('Assignment Tool'!C1592="FST",'Assignment Tool'!D1592,""))</f>
        <v/>
      </c>
    </row>
    <row r="1593" spans="7:7" x14ac:dyDescent="0.3">
      <c r="G1593" t="str">
        <f>IF('Assignment Tool'!C1593="","",IF('Assignment Tool'!C1593="FST",'Assignment Tool'!D1593,""))</f>
        <v/>
      </c>
    </row>
    <row r="1594" spans="7:7" x14ac:dyDescent="0.3">
      <c r="G1594" t="str">
        <f>IF('Assignment Tool'!C1594="","",IF('Assignment Tool'!C1594="FST",'Assignment Tool'!D1594,""))</f>
        <v/>
      </c>
    </row>
    <row r="1595" spans="7:7" x14ac:dyDescent="0.3">
      <c r="G1595" t="str">
        <f>IF('Assignment Tool'!C1595="","",IF('Assignment Tool'!C1595="FST",'Assignment Tool'!D1595,""))</f>
        <v/>
      </c>
    </row>
    <row r="1596" spans="7:7" x14ac:dyDescent="0.3">
      <c r="G1596" t="str">
        <f>IF('Assignment Tool'!C1596="","",IF('Assignment Tool'!C1596="FST",'Assignment Tool'!D1596,""))</f>
        <v/>
      </c>
    </row>
    <row r="1597" spans="7:7" x14ac:dyDescent="0.3">
      <c r="G1597" t="str">
        <f>IF('Assignment Tool'!C1597="","",IF('Assignment Tool'!C1597="FST",'Assignment Tool'!D1597,""))</f>
        <v/>
      </c>
    </row>
    <row r="1598" spans="7:7" x14ac:dyDescent="0.3">
      <c r="G1598" t="str">
        <f>IF('Assignment Tool'!C1598="","",IF('Assignment Tool'!C1598="FST",'Assignment Tool'!D1598,""))</f>
        <v/>
      </c>
    </row>
    <row r="1599" spans="7:7" x14ac:dyDescent="0.3">
      <c r="G1599" t="str">
        <f>IF('Assignment Tool'!C1599="","",IF('Assignment Tool'!C1599="FST",'Assignment Tool'!D1599,""))</f>
        <v/>
      </c>
    </row>
    <row r="1600" spans="7:7" x14ac:dyDescent="0.3">
      <c r="G1600" t="str">
        <f>IF('Assignment Tool'!C1600="","",IF('Assignment Tool'!C1600="FST",'Assignment Tool'!D1600,""))</f>
        <v/>
      </c>
    </row>
    <row r="1601" spans="7:7" x14ac:dyDescent="0.3">
      <c r="G1601" t="str">
        <f>IF('Assignment Tool'!C1601="","",IF('Assignment Tool'!C1601="FST",'Assignment Tool'!D1601,""))</f>
        <v/>
      </c>
    </row>
    <row r="1602" spans="7:7" x14ac:dyDescent="0.3">
      <c r="G1602" t="str">
        <f>IF('Assignment Tool'!C1602="","",IF('Assignment Tool'!C1602="FST",'Assignment Tool'!D1602,""))</f>
        <v/>
      </c>
    </row>
    <row r="1603" spans="7:7" x14ac:dyDescent="0.3">
      <c r="G1603" t="str">
        <f>IF('Assignment Tool'!C1603="","",IF('Assignment Tool'!C1603="FST",'Assignment Tool'!D1603,""))</f>
        <v/>
      </c>
    </row>
    <row r="1604" spans="7:7" x14ac:dyDescent="0.3">
      <c r="G1604" t="str">
        <f>IF('Assignment Tool'!C1604="","",IF('Assignment Tool'!C1604="FST",'Assignment Tool'!D1604,""))</f>
        <v/>
      </c>
    </row>
    <row r="1605" spans="7:7" x14ac:dyDescent="0.3">
      <c r="G1605" t="str">
        <f>IF('Assignment Tool'!C1605="","",IF('Assignment Tool'!C1605="FST",'Assignment Tool'!D1605,""))</f>
        <v/>
      </c>
    </row>
    <row r="1606" spans="7:7" x14ac:dyDescent="0.3">
      <c r="G1606" t="str">
        <f>IF('Assignment Tool'!C1606="","",IF('Assignment Tool'!C1606="FST",'Assignment Tool'!D1606,""))</f>
        <v/>
      </c>
    </row>
    <row r="1607" spans="7:7" x14ac:dyDescent="0.3">
      <c r="G1607" t="str">
        <f>IF('Assignment Tool'!C1607="","",IF('Assignment Tool'!C1607="FST",'Assignment Tool'!D1607,""))</f>
        <v/>
      </c>
    </row>
    <row r="1608" spans="7:7" x14ac:dyDescent="0.3">
      <c r="G1608" t="str">
        <f>IF('Assignment Tool'!C1608="","",IF('Assignment Tool'!C1608="FST",'Assignment Tool'!D1608,""))</f>
        <v/>
      </c>
    </row>
    <row r="1609" spans="7:7" x14ac:dyDescent="0.3">
      <c r="G1609" t="str">
        <f>IF('Assignment Tool'!C1609="","",IF('Assignment Tool'!C1609="FST",'Assignment Tool'!D1609,""))</f>
        <v/>
      </c>
    </row>
    <row r="1610" spans="7:7" x14ac:dyDescent="0.3">
      <c r="G1610" t="str">
        <f>IF('Assignment Tool'!C1610="","",IF('Assignment Tool'!C1610="FST",'Assignment Tool'!D1610,""))</f>
        <v/>
      </c>
    </row>
    <row r="1611" spans="7:7" x14ac:dyDescent="0.3">
      <c r="G1611" t="str">
        <f>IF('Assignment Tool'!C1611="","",IF('Assignment Tool'!C1611="FST",'Assignment Tool'!D1611,""))</f>
        <v/>
      </c>
    </row>
    <row r="1612" spans="7:7" x14ac:dyDescent="0.3">
      <c r="G1612" t="str">
        <f>IF('Assignment Tool'!C1612="","",IF('Assignment Tool'!C1612="FST",'Assignment Tool'!D1612,""))</f>
        <v/>
      </c>
    </row>
    <row r="1613" spans="7:7" x14ac:dyDescent="0.3">
      <c r="G1613" t="str">
        <f>IF('Assignment Tool'!C1613="","",IF('Assignment Tool'!C1613="FST",'Assignment Tool'!D1613,""))</f>
        <v/>
      </c>
    </row>
    <row r="1614" spans="7:7" x14ac:dyDescent="0.3">
      <c r="G1614" t="str">
        <f>IF('Assignment Tool'!C1614="","",IF('Assignment Tool'!C1614="FST",'Assignment Tool'!D1614,""))</f>
        <v/>
      </c>
    </row>
    <row r="1615" spans="7:7" x14ac:dyDescent="0.3">
      <c r="G1615" t="str">
        <f>IF('Assignment Tool'!C1615="","",IF('Assignment Tool'!C1615="FST",'Assignment Tool'!D1615,""))</f>
        <v/>
      </c>
    </row>
    <row r="1616" spans="7:7" x14ac:dyDescent="0.3">
      <c r="G1616" t="str">
        <f>IF('Assignment Tool'!C1616="","",IF('Assignment Tool'!C1616="FST",'Assignment Tool'!D1616,""))</f>
        <v/>
      </c>
    </row>
    <row r="1617" spans="7:7" x14ac:dyDescent="0.3">
      <c r="G1617" t="str">
        <f>IF('Assignment Tool'!C1617="","",IF('Assignment Tool'!C1617="FST",'Assignment Tool'!D1617,""))</f>
        <v/>
      </c>
    </row>
    <row r="1618" spans="7:7" x14ac:dyDescent="0.3">
      <c r="G1618" t="str">
        <f>IF('Assignment Tool'!C1618="","",IF('Assignment Tool'!C1618="FST",'Assignment Tool'!D1618,""))</f>
        <v/>
      </c>
    </row>
    <row r="1619" spans="7:7" x14ac:dyDescent="0.3">
      <c r="G1619" t="str">
        <f>IF('Assignment Tool'!C1619="","",IF('Assignment Tool'!C1619="FST",'Assignment Tool'!D1619,""))</f>
        <v/>
      </c>
    </row>
    <row r="1620" spans="7:7" x14ac:dyDescent="0.3">
      <c r="G1620" t="str">
        <f>IF('Assignment Tool'!C1620="","",IF('Assignment Tool'!C1620="FST",'Assignment Tool'!D1620,""))</f>
        <v/>
      </c>
    </row>
    <row r="1621" spans="7:7" x14ac:dyDescent="0.3">
      <c r="G1621" t="str">
        <f>IF('Assignment Tool'!C1621="","",IF('Assignment Tool'!C1621="FST",'Assignment Tool'!D1621,""))</f>
        <v/>
      </c>
    </row>
    <row r="1622" spans="7:7" x14ac:dyDescent="0.3">
      <c r="G1622" t="str">
        <f>IF('Assignment Tool'!C1622="","",IF('Assignment Tool'!C1622="FST",'Assignment Tool'!D1622,""))</f>
        <v/>
      </c>
    </row>
    <row r="1623" spans="7:7" x14ac:dyDescent="0.3">
      <c r="G1623" t="str">
        <f>IF('Assignment Tool'!C1623="","",IF('Assignment Tool'!C1623="FST",'Assignment Tool'!D1623,""))</f>
        <v/>
      </c>
    </row>
    <row r="1624" spans="7:7" x14ac:dyDescent="0.3">
      <c r="G1624" t="str">
        <f>IF('Assignment Tool'!C1624="","",IF('Assignment Tool'!C1624="FST",'Assignment Tool'!D1624,""))</f>
        <v/>
      </c>
    </row>
    <row r="1625" spans="7:7" x14ac:dyDescent="0.3">
      <c r="G1625" t="str">
        <f>IF('Assignment Tool'!C1625="","",IF('Assignment Tool'!C1625="FST",'Assignment Tool'!D1625,""))</f>
        <v/>
      </c>
    </row>
    <row r="1626" spans="7:7" x14ac:dyDescent="0.3">
      <c r="G1626" t="str">
        <f>IF('Assignment Tool'!C1626="","",IF('Assignment Tool'!C1626="FST",'Assignment Tool'!D1626,""))</f>
        <v/>
      </c>
    </row>
    <row r="1627" spans="7:7" x14ac:dyDescent="0.3">
      <c r="G1627" t="str">
        <f>IF('Assignment Tool'!C1627="","",IF('Assignment Tool'!C1627="FST",'Assignment Tool'!D1627,""))</f>
        <v/>
      </c>
    </row>
    <row r="1628" spans="7:7" x14ac:dyDescent="0.3">
      <c r="G1628" t="str">
        <f>IF('Assignment Tool'!C1628="","",IF('Assignment Tool'!C1628="FST",'Assignment Tool'!D1628,""))</f>
        <v/>
      </c>
    </row>
    <row r="1629" spans="7:7" x14ac:dyDescent="0.3">
      <c r="G1629" t="str">
        <f>IF('Assignment Tool'!C1629="","",IF('Assignment Tool'!C1629="FST",'Assignment Tool'!D1629,""))</f>
        <v/>
      </c>
    </row>
    <row r="1630" spans="7:7" x14ac:dyDescent="0.3">
      <c r="G1630" t="str">
        <f>IF('Assignment Tool'!C1630="","",IF('Assignment Tool'!C1630="FST",'Assignment Tool'!D1630,""))</f>
        <v/>
      </c>
    </row>
    <row r="1631" spans="7:7" x14ac:dyDescent="0.3">
      <c r="G1631" t="str">
        <f>IF('Assignment Tool'!C1631="","",IF('Assignment Tool'!C1631="FST",'Assignment Tool'!D1631,""))</f>
        <v/>
      </c>
    </row>
    <row r="1632" spans="7:7" x14ac:dyDescent="0.3">
      <c r="G1632" t="str">
        <f>IF('Assignment Tool'!C1632="","",IF('Assignment Tool'!C1632="FST",'Assignment Tool'!D1632,""))</f>
        <v/>
      </c>
    </row>
    <row r="1633" spans="7:7" x14ac:dyDescent="0.3">
      <c r="G1633" t="str">
        <f>IF('Assignment Tool'!C1633="","",IF('Assignment Tool'!C1633="FST",'Assignment Tool'!D1633,""))</f>
        <v/>
      </c>
    </row>
    <row r="1634" spans="7:7" x14ac:dyDescent="0.3">
      <c r="G1634" t="str">
        <f>IF('Assignment Tool'!C1634="","",IF('Assignment Tool'!C1634="FST",'Assignment Tool'!D1634,""))</f>
        <v/>
      </c>
    </row>
    <row r="1635" spans="7:7" x14ac:dyDescent="0.3">
      <c r="G1635" t="str">
        <f>IF('Assignment Tool'!C1635="","",IF('Assignment Tool'!C1635="FST",'Assignment Tool'!D1635,""))</f>
        <v/>
      </c>
    </row>
    <row r="1636" spans="7:7" x14ac:dyDescent="0.3">
      <c r="G1636" t="str">
        <f>IF('Assignment Tool'!C1636="","",IF('Assignment Tool'!C1636="FST",'Assignment Tool'!D1636,""))</f>
        <v/>
      </c>
    </row>
    <row r="1637" spans="7:7" x14ac:dyDescent="0.3">
      <c r="G1637" t="str">
        <f>IF('Assignment Tool'!C1637="","",IF('Assignment Tool'!C1637="FST",'Assignment Tool'!D1637,""))</f>
        <v/>
      </c>
    </row>
    <row r="1638" spans="7:7" x14ac:dyDescent="0.3">
      <c r="G1638" t="str">
        <f>IF('Assignment Tool'!C1638="","",IF('Assignment Tool'!C1638="FST",'Assignment Tool'!D1638,""))</f>
        <v/>
      </c>
    </row>
    <row r="1639" spans="7:7" x14ac:dyDescent="0.3">
      <c r="G1639" t="str">
        <f>IF('Assignment Tool'!C1639="","",IF('Assignment Tool'!C1639="FST",'Assignment Tool'!D1639,""))</f>
        <v/>
      </c>
    </row>
    <row r="1640" spans="7:7" x14ac:dyDescent="0.3">
      <c r="G1640" t="str">
        <f>IF('Assignment Tool'!C1640="","",IF('Assignment Tool'!C1640="FST",'Assignment Tool'!D1640,""))</f>
        <v/>
      </c>
    </row>
    <row r="1641" spans="7:7" x14ac:dyDescent="0.3">
      <c r="G1641" t="str">
        <f>IF('Assignment Tool'!C1641="","",IF('Assignment Tool'!C1641="FST",'Assignment Tool'!D1641,""))</f>
        <v/>
      </c>
    </row>
    <row r="1642" spans="7:7" x14ac:dyDescent="0.3">
      <c r="G1642" t="str">
        <f>IF('Assignment Tool'!C1642="","",IF('Assignment Tool'!C1642="FST",'Assignment Tool'!D1642,""))</f>
        <v/>
      </c>
    </row>
    <row r="1643" spans="7:7" x14ac:dyDescent="0.3">
      <c r="G1643" t="str">
        <f>IF('Assignment Tool'!C1643="","",IF('Assignment Tool'!C1643="FST",'Assignment Tool'!D1643,""))</f>
        <v/>
      </c>
    </row>
    <row r="1644" spans="7:7" x14ac:dyDescent="0.3">
      <c r="G1644" t="str">
        <f>IF('Assignment Tool'!C1644="","",IF('Assignment Tool'!C1644="FST",'Assignment Tool'!D1644,""))</f>
        <v/>
      </c>
    </row>
    <row r="1645" spans="7:7" x14ac:dyDescent="0.3">
      <c r="G1645" t="str">
        <f>IF('Assignment Tool'!C1645="","",IF('Assignment Tool'!C1645="FST",'Assignment Tool'!D1645,""))</f>
        <v/>
      </c>
    </row>
    <row r="1646" spans="7:7" x14ac:dyDescent="0.3">
      <c r="G1646" t="str">
        <f>IF('Assignment Tool'!C1646="","",IF('Assignment Tool'!C1646="FST",'Assignment Tool'!D1646,""))</f>
        <v/>
      </c>
    </row>
    <row r="1647" spans="7:7" x14ac:dyDescent="0.3">
      <c r="G1647" t="str">
        <f>IF('Assignment Tool'!C1647="","",IF('Assignment Tool'!C1647="FST",'Assignment Tool'!D1647,""))</f>
        <v/>
      </c>
    </row>
    <row r="1648" spans="7:7" x14ac:dyDescent="0.3">
      <c r="G1648" t="str">
        <f>IF('Assignment Tool'!C1648="","",IF('Assignment Tool'!C1648="FST",'Assignment Tool'!D1648,""))</f>
        <v/>
      </c>
    </row>
    <row r="1649" spans="7:7" x14ac:dyDescent="0.3">
      <c r="G1649" t="str">
        <f>IF('Assignment Tool'!C1649="","",IF('Assignment Tool'!C1649="FST",'Assignment Tool'!D1649,""))</f>
        <v/>
      </c>
    </row>
    <row r="1650" spans="7:7" x14ac:dyDescent="0.3">
      <c r="G1650" t="str">
        <f>IF('Assignment Tool'!C1650="","",IF('Assignment Tool'!C1650="FST",'Assignment Tool'!D1650,""))</f>
        <v/>
      </c>
    </row>
    <row r="1651" spans="7:7" x14ac:dyDescent="0.3">
      <c r="G1651" t="str">
        <f>IF('Assignment Tool'!C1651="","",IF('Assignment Tool'!C1651="FST",'Assignment Tool'!D1651,""))</f>
        <v/>
      </c>
    </row>
    <row r="1652" spans="7:7" x14ac:dyDescent="0.3">
      <c r="G1652" t="str">
        <f>IF('Assignment Tool'!C1652="","",IF('Assignment Tool'!C1652="FST",'Assignment Tool'!D1652,""))</f>
        <v/>
      </c>
    </row>
    <row r="1653" spans="7:7" x14ac:dyDescent="0.3">
      <c r="G1653" t="str">
        <f>IF('Assignment Tool'!C1653="","",IF('Assignment Tool'!C1653="FST",'Assignment Tool'!D1653,""))</f>
        <v/>
      </c>
    </row>
    <row r="1654" spans="7:7" x14ac:dyDescent="0.3">
      <c r="G1654" t="str">
        <f>IF('Assignment Tool'!C1654="","",IF('Assignment Tool'!C1654="FST",'Assignment Tool'!D1654,""))</f>
        <v/>
      </c>
    </row>
    <row r="1655" spans="7:7" x14ac:dyDescent="0.3">
      <c r="G1655" t="str">
        <f>IF('Assignment Tool'!C1655="","",IF('Assignment Tool'!C1655="FST",'Assignment Tool'!D1655,""))</f>
        <v/>
      </c>
    </row>
    <row r="1656" spans="7:7" x14ac:dyDescent="0.3">
      <c r="G1656" t="str">
        <f>IF('Assignment Tool'!C1656="","",IF('Assignment Tool'!C1656="FST",'Assignment Tool'!D1656,""))</f>
        <v/>
      </c>
    </row>
    <row r="1657" spans="7:7" x14ac:dyDescent="0.3">
      <c r="G1657" t="str">
        <f>IF('Assignment Tool'!C1657="","",IF('Assignment Tool'!C1657="FST",'Assignment Tool'!D1657,""))</f>
        <v/>
      </c>
    </row>
    <row r="1658" spans="7:7" x14ac:dyDescent="0.3">
      <c r="G1658" t="str">
        <f>IF('Assignment Tool'!C1658="","",IF('Assignment Tool'!C1658="FST",'Assignment Tool'!D1658,""))</f>
        <v/>
      </c>
    </row>
    <row r="1659" spans="7:7" x14ac:dyDescent="0.3">
      <c r="G1659" t="str">
        <f>IF('Assignment Tool'!C1659="","",IF('Assignment Tool'!C1659="FST",'Assignment Tool'!D1659,""))</f>
        <v/>
      </c>
    </row>
    <row r="1660" spans="7:7" x14ac:dyDescent="0.3">
      <c r="G1660" t="str">
        <f>IF('Assignment Tool'!C1660="","",IF('Assignment Tool'!C1660="FST",'Assignment Tool'!D1660,""))</f>
        <v/>
      </c>
    </row>
    <row r="1661" spans="7:7" x14ac:dyDescent="0.3">
      <c r="G1661" t="str">
        <f>IF('Assignment Tool'!C1661="","",IF('Assignment Tool'!C1661="FST",'Assignment Tool'!D1661,""))</f>
        <v/>
      </c>
    </row>
    <row r="1662" spans="7:7" x14ac:dyDescent="0.3">
      <c r="G1662" t="str">
        <f>IF('Assignment Tool'!C1662="","",IF('Assignment Tool'!C1662="FST",'Assignment Tool'!D1662,""))</f>
        <v/>
      </c>
    </row>
    <row r="1663" spans="7:7" x14ac:dyDescent="0.3">
      <c r="G1663" t="str">
        <f>IF('Assignment Tool'!C1663="","",IF('Assignment Tool'!C1663="FST",'Assignment Tool'!D1663,""))</f>
        <v/>
      </c>
    </row>
    <row r="1664" spans="7:7" x14ac:dyDescent="0.3">
      <c r="G1664" t="str">
        <f>IF('Assignment Tool'!C1664="","",IF('Assignment Tool'!C1664="FST",'Assignment Tool'!D1664,""))</f>
        <v/>
      </c>
    </row>
    <row r="1665" spans="7:7" x14ac:dyDescent="0.3">
      <c r="G1665" t="str">
        <f>IF('Assignment Tool'!C1665="","",IF('Assignment Tool'!C1665="FST",'Assignment Tool'!D1665,""))</f>
        <v/>
      </c>
    </row>
    <row r="1666" spans="7:7" x14ac:dyDescent="0.3">
      <c r="G1666" t="str">
        <f>IF('Assignment Tool'!C1666="","",IF('Assignment Tool'!C1666="FST",'Assignment Tool'!D1666,""))</f>
        <v/>
      </c>
    </row>
    <row r="1667" spans="7:7" x14ac:dyDescent="0.3">
      <c r="G1667" t="str">
        <f>IF('Assignment Tool'!C1667="","",IF('Assignment Tool'!C1667="FST",'Assignment Tool'!D1667,""))</f>
        <v/>
      </c>
    </row>
    <row r="1668" spans="7:7" x14ac:dyDescent="0.3">
      <c r="G1668" t="str">
        <f>IF('Assignment Tool'!C1668="","",IF('Assignment Tool'!C1668="FST",'Assignment Tool'!D1668,""))</f>
        <v/>
      </c>
    </row>
    <row r="1669" spans="7:7" x14ac:dyDescent="0.3">
      <c r="G1669" t="str">
        <f>IF('Assignment Tool'!C1669="","",IF('Assignment Tool'!C1669="FST",'Assignment Tool'!D1669,""))</f>
        <v/>
      </c>
    </row>
    <row r="1670" spans="7:7" x14ac:dyDescent="0.3">
      <c r="G1670" t="str">
        <f>IF('Assignment Tool'!C1670="","",IF('Assignment Tool'!C1670="FST",'Assignment Tool'!D1670,""))</f>
        <v/>
      </c>
    </row>
    <row r="1671" spans="7:7" x14ac:dyDescent="0.3">
      <c r="G1671" t="str">
        <f>IF('Assignment Tool'!C1671="","",IF('Assignment Tool'!C1671="FST",'Assignment Tool'!D1671,""))</f>
        <v/>
      </c>
    </row>
    <row r="1672" spans="7:7" x14ac:dyDescent="0.3">
      <c r="G1672" t="str">
        <f>IF('Assignment Tool'!C1672="","",IF('Assignment Tool'!C1672="FST",'Assignment Tool'!D1672,""))</f>
        <v/>
      </c>
    </row>
    <row r="1673" spans="7:7" x14ac:dyDescent="0.3">
      <c r="G1673" t="str">
        <f>IF('Assignment Tool'!C1673="","",IF('Assignment Tool'!C1673="FST",'Assignment Tool'!D1673,""))</f>
        <v/>
      </c>
    </row>
    <row r="1674" spans="7:7" x14ac:dyDescent="0.3">
      <c r="G1674" t="str">
        <f>IF('Assignment Tool'!C1674="","",IF('Assignment Tool'!C1674="FST",'Assignment Tool'!D1674,""))</f>
        <v/>
      </c>
    </row>
    <row r="1675" spans="7:7" x14ac:dyDescent="0.3">
      <c r="G1675" t="str">
        <f>IF('Assignment Tool'!C1675="","",IF('Assignment Tool'!C1675="FST",'Assignment Tool'!D1675,""))</f>
        <v/>
      </c>
    </row>
    <row r="1676" spans="7:7" x14ac:dyDescent="0.3">
      <c r="G1676" t="str">
        <f>IF('Assignment Tool'!C1676="","",IF('Assignment Tool'!C1676="FST",'Assignment Tool'!D1676,""))</f>
        <v/>
      </c>
    </row>
    <row r="1677" spans="7:7" x14ac:dyDescent="0.3">
      <c r="G1677" t="str">
        <f>IF('Assignment Tool'!C1677="","",IF('Assignment Tool'!C1677="FST",'Assignment Tool'!D1677,""))</f>
        <v/>
      </c>
    </row>
    <row r="1678" spans="7:7" x14ac:dyDescent="0.3">
      <c r="G1678" t="str">
        <f>IF('Assignment Tool'!C1678="","",IF('Assignment Tool'!C1678="FST",'Assignment Tool'!D1678,""))</f>
        <v/>
      </c>
    </row>
    <row r="1679" spans="7:7" x14ac:dyDescent="0.3">
      <c r="G1679" t="str">
        <f>IF('Assignment Tool'!C1679="","",IF('Assignment Tool'!C1679="FST",'Assignment Tool'!D1679,""))</f>
        <v/>
      </c>
    </row>
    <row r="1680" spans="7:7" x14ac:dyDescent="0.3">
      <c r="G1680" t="str">
        <f>IF('Assignment Tool'!C1680="","",IF('Assignment Tool'!C1680="FST",'Assignment Tool'!D1680,""))</f>
        <v/>
      </c>
    </row>
    <row r="1681" spans="7:7" x14ac:dyDescent="0.3">
      <c r="G1681" t="str">
        <f>IF('Assignment Tool'!C1681="","",IF('Assignment Tool'!C1681="FST",'Assignment Tool'!D1681,""))</f>
        <v/>
      </c>
    </row>
    <row r="1682" spans="7:7" x14ac:dyDescent="0.3">
      <c r="G1682" t="str">
        <f>IF('Assignment Tool'!C1682="","",IF('Assignment Tool'!C1682="FST",'Assignment Tool'!D1682,""))</f>
        <v/>
      </c>
    </row>
    <row r="1683" spans="7:7" x14ac:dyDescent="0.3">
      <c r="G1683" t="str">
        <f>IF('Assignment Tool'!C1683="","",IF('Assignment Tool'!C1683="FST",'Assignment Tool'!D1683,""))</f>
        <v/>
      </c>
    </row>
    <row r="1684" spans="7:7" x14ac:dyDescent="0.3">
      <c r="G1684" t="str">
        <f>IF('Assignment Tool'!C1684="","",IF('Assignment Tool'!C1684="FST",'Assignment Tool'!D1684,""))</f>
        <v/>
      </c>
    </row>
    <row r="1685" spans="7:7" x14ac:dyDescent="0.3">
      <c r="G1685" t="str">
        <f>IF('Assignment Tool'!C1685="","",IF('Assignment Tool'!C1685="FST",'Assignment Tool'!D1685,""))</f>
        <v/>
      </c>
    </row>
    <row r="1686" spans="7:7" x14ac:dyDescent="0.3">
      <c r="G1686" t="str">
        <f>IF('Assignment Tool'!C1686="","",IF('Assignment Tool'!C1686="FST",'Assignment Tool'!D1686,""))</f>
        <v/>
      </c>
    </row>
    <row r="1687" spans="7:7" x14ac:dyDescent="0.3">
      <c r="G1687" t="str">
        <f>IF('Assignment Tool'!C1687="","",IF('Assignment Tool'!C1687="FST",'Assignment Tool'!D1687,""))</f>
        <v/>
      </c>
    </row>
    <row r="1688" spans="7:7" x14ac:dyDescent="0.3">
      <c r="G1688" t="str">
        <f>IF('Assignment Tool'!C1688="","",IF('Assignment Tool'!C1688="FST",'Assignment Tool'!D1688,""))</f>
        <v/>
      </c>
    </row>
    <row r="1689" spans="7:7" x14ac:dyDescent="0.3">
      <c r="G1689" t="str">
        <f>IF('Assignment Tool'!C1689="","",IF('Assignment Tool'!C1689="FST",'Assignment Tool'!D1689,""))</f>
        <v/>
      </c>
    </row>
    <row r="1690" spans="7:7" x14ac:dyDescent="0.3">
      <c r="G1690" t="str">
        <f>IF('Assignment Tool'!C1690="","",IF('Assignment Tool'!C1690="FST",'Assignment Tool'!D1690,""))</f>
        <v/>
      </c>
    </row>
    <row r="1691" spans="7:7" x14ac:dyDescent="0.3">
      <c r="G1691" t="str">
        <f>IF('Assignment Tool'!C1691="","",IF('Assignment Tool'!C1691="FST",'Assignment Tool'!D1691,""))</f>
        <v/>
      </c>
    </row>
    <row r="1692" spans="7:7" x14ac:dyDescent="0.3">
      <c r="G1692" t="str">
        <f>IF('Assignment Tool'!C1692="","",IF('Assignment Tool'!C1692="FST",'Assignment Tool'!D1692,""))</f>
        <v/>
      </c>
    </row>
    <row r="1693" spans="7:7" x14ac:dyDescent="0.3">
      <c r="G1693" t="str">
        <f>IF('Assignment Tool'!C1693="","",IF('Assignment Tool'!C1693="FST",'Assignment Tool'!D1693,""))</f>
        <v/>
      </c>
    </row>
    <row r="1694" spans="7:7" x14ac:dyDescent="0.3">
      <c r="G1694" t="str">
        <f>IF('Assignment Tool'!C1694="","",IF('Assignment Tool'!C1694="FST",'Assignment Tool'!D1694,""))</f>
        <v/>
      </c>
    </row>
    <row r="1695" spans="7:7" x14ac:dyDescent="0.3">
      <c r="G1695" t="str">
        <f>IF('Assignment Tool'!C1695="","",IF('Assignment Tool'!C1695="FST",'Assignment Tool'!D1695,""))</f>
        <v/>
      </c>
    </row>
    <row r="1696" spans="7:7" x14ac:dyDescent="0.3">
      <c r="G1696" t="str">
        <f>IF('Assignment Tool'!C1696="","",IF('Assignment Tool'!C1696="FST",'Assignment Tool'!D1696,""))</f>
        <v/>
      </c>
    </row>
    <row r="1697" spans="7:7" x14ac:dyDescent="0.3">
      <c r="G1697" t="str">
        <f>IF('Assignment Tool'!C1697="","",IF('Assignment Tool'!C1697="FST",'Assignment Tool'!D1697,""))</f>
        <v/>
      </c>
    </row>
    <row r="1698" spans="7:7" x14ac:dyDescent="0.3">
      <c r="G1698" t="str">
        <f>IF('Assignment Tool'!C1698="","",IF('Assignment Tool'!C1698="FST",'Assignment Tool'!D1698,""))</f>
        <v/>
      </c>
    </row>
    <row r="1699" spans="7:7" x14ac:dyDescent="0.3">
      <c r="G1699" t="str">
        <f>IF('Assignment Tool'!C1699="","",IF('Assignment Tool'!C1699="FST",'Assignment Tool'!D1699,""))</f>
        <v/>
      </c>
    </row>
    <row r="1700" spans="7:7" x14ac:dyDescent="0.3">
      <c r="G1700" t="str">
        <f>IF('Assignment Tool'!C1700="","",IF('Assignment Tool'!C1700="FST",'Assignment Tool'!D1700,""))</f>
        <v/>
      </c>
    </row>
    <row r="1701" spans="7:7" x14ac:dyDescent="0.3">
      <c r="G1701" t="str">
        <f>IF('Assignment Tool'!C1701="","",IF('Assignment Tool'!C1701="FST",'Assignment Tool'!D1701,""))</f>
        <v/>
      </c>
    </row>
    <row r="1702" spans="7:7" x14ac:dyDescent="0.3">
      <c r="G1702" t="str">
        <f>IF('Assignment Tool'!C1702="","",IF('Assignment Tool'!C1702="FST",'Assignment Tool'!D1702,""))</f>
        <v/>
      </c>
    </row>
    <row r="1703" spans="7:7" x14ac:dyDescent="0.3">
      <c r="G1703" t="str">
        <f>IF('Assignment Tool'!C1703="","",IF('Assignment Tool'!C1703="FST",'Assignment Tool'!D1703,""))</f>
        <v/>
      </c>
    </row>
    <row r="1704" spans="7:7" x14ac:dyDescent="0.3">
      <c r="G1704" t="str">
        <f>IF('Assignment Tool'!C1704="","",IF('Assignment Tool'!C1704="FST",'Assignment Tool'!D1704,""))</f>
        <v/>
      </c>
    </row>
    <row r="1705" spans="7:7" x14ac:dyDescent="0.3">
      <c r="G1705" t="str">
        <f>IF('Assignment Tool'!C1705="","",IF('Assignment Tool'!C1705="FST",'Assignment Tool'!D1705,""))</f>
        <v/>
      </c>
    </row>
    <row r="1706" spans="7:7" x14ac:dyDescent="0.3">
      <c r="G1706" t="str">
        <f>IF('Assignment Tool'!C1706="","",IF('Assignment Tool'!C1706="FST",'Assignment Tool'!D1706,""))</f>
        <v/>
      </c>
    </row>
    <row r="1707" spans="7:7" x14ac:dyDescent="0.3">
      <c r="G1707" t="str">
        <f>IF('Assignment Tool'!C1707="","",IF('Assignment Tool'!C1707="FST",'Assignment Tool'!D1707,""))</f>
        <v/>
      </c>
    </row>
    <row r="1708" spans="7:7" x14ac:dyDescent="0.3">
      <c r="G1708" t="str">
        <f>IF('Assignment Tool'!C1708="","",IF('Assignment Tool'!C1708="FST",'Assignment Tool'!D1708,""))</f>
        <v/>
      </c>
    </row>
    <row r="1709" spans="7:7" x14ac:dyDescent="0.3">
      <c r="G1709" t="str">
        <f>IF('Assignment Tool'!C1709="","",IF('Assignment Tool'!C1709="FST",'Assignment Tool'!D1709,""))</f>
        <v/>
      </c>
    </row>
    <row r="1710" spans="7:7" x14ac:dyDescent="0.3">
      <c r="G1710" t="str">
        <f>IF('Assignment Tool'!C1710="","",IF('Assignment Tool'!C1710="FST",'Assignment Tool'!D1710,""))</f>
        <v/>
      </c>
    </row>
    <row r="1711" spans="7:7" x14ac:dyDescent="0.3">
      <c r="G1711" t="str">
        <f>IF('Assignment Tool'!C1711="","",IF('Assignment Tool'!C1711="FST",'Assignment Tool'!D1711,""))</f>
        <v/>
      </c>
    </row>
    <row r="1712" spans="7:7" x14ac:dyDescent="0.3">
      <c r="G1712" t="str">
        <f>IF('Assignment Tool'!C1712="","",IF('Assignment Tool'!C1712="FST",'Assignment Tool'!D1712,""))</f>
        <v/>
      </c>
    </row>
    <row r="1713" spans="7:7" x14ac:dyDescent="0.3">
      <c r="G1713" t="str">
        <f>IF('Assignment Tool'!C1713="","",IF('Assignment Tool'!C1713="FST",'Assignment Tool'!D1713,""))</f>
        <v/>
      </c>
    </row>
    <row r="1714" spans="7:7" x14ac:dyDescent="0.3">
      <c r="G1714" t="str">
        <f>IF('Assignment Tool'!C1714="","",IF('Assignment Tool'!C1714="FST",'Assignment Tool'!D1714,""))</f>
        <v/>
      </c>
    </row>
    <row r="1715" spans="7:7" x14ac:dyDescent="0.3">
      <c r="G1715" t="str">
        <f>IF('Assignment Tool'!C1715="","",IF('Assignment Tool'!C1715="FST",'Assignment Tool'!D1715,""))</f>
        <v/>
      </c>
    </row>
    <row r="1716" spans="7:7" x14ac:dyDescent="0.3">
      <c r="G1716" t="str">
        <f>IF('Assignment Tool'!C1716="","",IF('Assignment Tool'!C1716="FST",'Assignment Tool'!D1716,""))</f>
        <v/>
      </c>
    </row>
    <row r="1717" spans="7:7" x14ac:dyDescent="0.3">
      <c r="G1717" t="str">
        <f>IF('Assignment Tool'!C1717="","",IF('Assignment Tool'!C1717="FST",'Assignment Tool'!D1717,""))</f>
        <v/>
      </c>
    </row>
    <row r="1718" spans="7:7" x14ac:dyDescent="0.3">
      <c r="G1718" t="str">
        <f>IF('Assignment Tool'!C1718="","",IF('Assignment Tool'!C1718="FST",'Assignment Tool'!D1718,""))</f>
        <v/>
      </c>
    </row>
    <row r="1719" spans="7:7" x14ac:dyDescent="0.3">
      <c r="G1719" t="str">
        <f>IF('Assignment Tool'!C1719="","",IF('Assignment Tool'!C1719="FST",'Assignment Tool'!D1719,""))</f>
        <v/>
      </c>
    </row>
    <row r="1720" spans="7:7" x14ac:dyDescent="0.3">
      <c r="G1720" t="str">
        <f>IF('Assignment Tool'!C1720="","",IF('Assignment Tool'!C1720="FST",'Assignment Tool'!D1720,""))</f>
        <v/>
      </c>
    </row>
    <row r="1721" spans="7:7" x14ac:dyDescent="0.3">
      <c r="G1721" t="str">
        <f>IF('Assignment Tool'!C1721="","",IF('Assignment Tool'!C1721="FST",'Assignment Tool'!D1721,""))</f>
        <v/>
      </c>
    </row>
    <row r="1722" spans="7:7" x14ac:dyDescent="0.3">
      <c r="G1722" t="str">
        <f>IF('Assignment Tool'!C1722="","",IF('Assignment Tool'!C1722="FST",'Assignment Tool'!D1722,""))</f>
        <v/>
      </c>
    </row>
    <row r="1723" spans="7:7" x14ac:dyDescent="0.3">
      <c r="G1723" t="str">
        <f>IF('Assignment Tool'!C1723="","",IF('Assignment Tool'!C1723="FST",'Assignment Tool'!D1723,""))</f>
        <v/>
      </c>
    </row>
    <row r="1724" spans="7:7" x14ac:dyDescent="0.3">
      <c r="G1724" t="str">
        <f>IF('Assignment Tool'!C1724="","",IF('Assignment Tool'!C1724="FST",'Assignment Tool'!D1724,""))</f>
        <v/>
      </c>
    </row>
    <row r="1725" spans="7:7" x14ac:dyDescent="0.3">
      <c r="G1725" t="str">
        <f>IF('Assignment Tool'!C1725="","",IF('Assignment Tool'!C1725="FST",'Assignment Tool'!D1725,""))</f>
        <v/>
      </c>
    </row>
    <row r="1726" spans="7:7" x14ac:dyDescent="0.3">
      <c r="G1726" t="str">
        <f>IF('Assignment Tool'!C1726="","",IF('Assignment Tool'!C1726="FST",'Assignment Tool'!D1726,""))</f>
        <v/>
      </c>
    </row>
    <row r="1727" spans="7:7" x14ac:dyDescent="0.3">
      <c r="G1727" t="str">
        <f>IF('Assignment Tool'!C1727="","",IF('Assignment Tool'!C1727="FST",'Assignment Tool'!D1727,""))</f>
        <v/>
      </c>
    </row>
    <row r="1728" spans="7:7" x14ac:dyDescent="0.3">
      <c r="G1728" t="str">
        <f>IF('Assignment Tool'!C1728="","",IF('Assignment Tool'!C1728="FST",'Assignment Tool'!D1728,""))</f>
        <v/>
      </c>
    </row>
    <row r="1729" spans="7:7" x14ac:dyDescent="0.3">
      <c r="G1729" t="str">
        <f>IF('Assignment Tool'!C1729="","",IF('Assignment Tool'!C1729="FST",'Assignment Tool'!D1729,""))</f>
        <v/>
      </c>
    </row>
    <row r="1730" spans="7:7" x14ac:dyDescent="0.3">
      <c r="G1730" t="str">
        <f>IF('Assignment Tool'!C1730="","",IF('Assignment Tool'!C1730="FST",'Assignment Tool'!D1730,""))</f>
        <v/>
      </c>
    </row>
    <row r="1731" spans="7:7" x14ac:dyDescent="0.3">
      <c r="G1731" t="str">
        <f>IF('Assignment Tool'!C1731="","",IF('Assignment Tool'!C1731="FST",'Assignment Tool'!D1731,""))</f>
        <v/>
      </c>
    </row>
    <row r="1732" spans="7:7" x14ac:dyDescent="0.3">
      <c r="G1732" t="str">
        <f>IF('Assignment Tool'!C1732="","",IF('Assignment Tool'!C1732="FST",'Assignment Tool'!D1732,""))</f>
        <v/>
      </c>
    </row>
    <row r="1733" spans="7:7" x14ac:dyDescent="0.3">
      <c r="G1733" t="str">
        <f>IF('Assignment Tool'!C1733="","",IF('Assignment Tool'!C1733="FST",'Assignment Tool'!D1733,""))</f>
        <v/>
      </c>
    </row>
    <row r="1734" spans="7:7" x14ac:dyDescent="0.3">
      <c r="G1734" t="str">
        <f>IF('Assignment Tool'!C1734="","",IF('Assignment Tool'!C1734="FST",'Assignment Tool'!D1734,""))</f>
        <v/>
      </c>
    </row>
    <row r="1735" spans="7:7" x14ac:dyDescent="0.3">
      <c r="G1735" t="str">
        <f>IF('Assignment Tool'!C1735="","",IF('Assignment Tool'!C1735="FST",'Assignment Tool'!D1735,""))</f>
        <v/>
      </c>
    </row>
    <row r="1736" spans="7:7" x14ac:dyDescent="0.3">
      <c r="G1736" t="str">
        <f>IF('Assignment Tool'!C1736="","",IF('Assignment Tool'!C1736="FST",'Assignment Tool'!D1736,""))</f>
        <v/>
      </c>
    </row>
    <row r="1737" spans="7:7" x14ac:dyDescent="0.3">
      <c r="G1737" t="str">
        <f>IF('Assignment Tool'!C1737="","",IF('Assignment Tool'!C1737="FST",'Assignment Tool'!D1737,""))</f>
        <v/>
      </c>
    </row>
    <row r="1738" spans="7:7" x14ac:dyDescent="0.3">
      <c r="G1738" t="str">
        <f>IF('Assignment Tool'!C1738="","",IF('Assignment Tool'!C1738="FST",'Assignment Tool'!D1738,""))</f>
        <v/>
      </c>
    </row>
    <row r="1739" spans="7:7" x14ac:dyDescent="0.3">
      <c r="G1739" t="str">
        <f>IF('Assignment Tool'!C1739="","",IF('Assignment Tool'!C1739="FST",'Assignment Tool'!D1739,""))</f>
        <v/>
      </c>
    </row>
    <row r="1740" spans="7:7" x14ac:dyDescent="0.3">
      <c r="G1740" t="str">
        <f>IF('Assignment Tool'!C1740="","",IF('Assignment Tool'!C1740="FST",'Assignment Tool'!D1740,""))</f>
        <v/>
      </c>
    </row>
    <row r="1741" spans="7:7" x14ac:dyDescent="0.3">
      <c r="G1741" t="str">
        <f>IF('Assignment Tool'!C1741="","",IF('Assignment Tool'!C1741="FST",'Assignment Tool'!D1741,""))</f>
        <v/>
      </c>
    </row>
    <row r="1742" spans="7:7" x14ac:dyDescent="0.3">
      <c r="G1742" t="str">
        <f>IF('Assignment Tool'!C1742="","",IF('Assignment Tool'!C1742="FST",'Assignment Tool'!D1742,""))</f>
        <v/>
      </c>
    </row>
    <row r="1743" spans="7:7" x14ac:dyDescent="0.3">
      <c r="G1743" t="str">
        <f>IF('Assignment Tool'!C1743="","",IF('Assignment Tool'!C1743="FST",'Assignment Tool'!D1743,""))</f>
        <v/>
      </c>
    </row>
    <row r="1744" spans="7:7" x14ac:dyDescent="0.3">
      <c r="G1744" t="str">
        <f>IF('Assignment Tool'!C1744="","",IF('Assignment Tool'!C1744="FST",'Assignment Tool'!D1744,""))</f>
        <v/>
      </c>
    </row>
    <row r="1745" spans="7:7" x14ac:dyDescent="0.3">
      <c r="G1745" t="str">
        <f>IF('Assignment Tool'!C1745="","",IF('Assignment Tool'!C1745="FST",'Assignment Tool'!D1745,""))</f>
        <v/>
      </c>
    </row>
    <row r="1746" spans="7:7" x14ac:dyDescent="0.3">
      <c r="G1746" t="str">
        <f>IF('Assignment Tool'!C1746="","",IF('Assignment Tool'!C1746="FST",'Assignment Tool'!D1746,""))</f>
        <v/>
      </c>
    </row>
    <row r="1747" spans="7:7" x14ac:dyDescent="0.3">
      <c r="G1747" t="str">
        <f>IF('Assignment Tool'!C1747="","",IF('Assignment Tool'!C1747="FST",'Assignment Tool'!D1747,""))</f>
        <v/>
      </c>
    </row>
    <row r="1748" spans="7:7" x14ac:dyDescent="0.3">
      <c r="G1748" t="str">
        <f>IF('Assignment Tool'!C1748="","",IF('Assignment Tool'!C1748="FST",'Assignment Tool'!D1748,""))</f>
        <v/>
      </c>
    </row>
    <row r="1749" spans="7:7" x14ac:dyDescent="0.3">
      <c r="G1749" t="str">
        <f>IF('Assignment Tool'!C1749="","",IF('Assignment Tool'!C1749="FST",'Assignment Tool'!D1749,""))</f>
        <v/>
      </c>
    </row>
    <row r="1750" spans="7:7" x14ac:dyDescent="0.3">
      <c r="G1750" t="str">
        <f>IF('Assignment Tool'!C1750="","",IF('Assignment Tool'!C1750="FST",'Assignment Tool'!D1750,""))</f>
        <v/>
      </c>
    </row>
    <row r="1751" spans="7:7" x14ac:dyDescent="0.3">
      <c r="G1751" t="str">
        <f>IF('Assignment Tool'!C1751="","",IF('Assignment Tool'!C1751="FST",'Assignment Tool'!D1751,""))</f>
        <v/>
      </c>
    </row>
    <row r="1752" spans="7:7" x14ac:dyDescent="0.3">
      <c r="G1752" t="str">
        <f>IF('Assignment Tool'!C1752="","",IF('Assignment Tool'!C1752="FST",'Assignment Tool'!D1752,""))</f>
        <v/>
      </c>
    </row>
    <row r="1753" spans="7:7" x14ac:dyDescent="0.3">
      <c r="G1753" t="str">
        <f>IF('Assignment Tool'!C1753="","",IF('Assignment Tool'!C1753="FST",'Assignment Tool'!D1753,""))</f>
        <v/>
      </c>
    </row>
    <row r="1754" spans="7:7" x14ac:dyDescent="0.3">
      <c r="G1754" t="str">
        <f>IF('Assignment Tool'!C1754="","",IF('Assignment Tool'!C1754="FST",'Assignment Tool'!D1754,""))</f>
        <v/>
      </c>
    </row>
    <row r="1755" spans="7:7" x14ac:dyDescent="0.3">
      <c r="G1755" t="str">
        <f>IF('Assignment Tool'!C1755="","",IF('Assignment Tool'!C1755="FST",'Assignment Tool'!D1755,""))</f>
        <v/>
      </c>
    </row>
    <row r="1756" spans="7:7" x14ac:dyDescent="0.3">
      <c r="G1756" t="str">
        <f>IF('Assignment Tool'!C1756="","",IF('Assignment Tool'!C1756="FST",'Assignment Tool'!D1756,""))</f>
        <v/>
      </c>
    </row>
    <row r="1757" spans="7:7" x14ac:dyDescent="0.3">
      <c r="G1757" t="str">
        <f>IF('Assignment Tool'!C1757="","",IF('Assignment Tool'!C1757="FST",'Assignment Tool'!D1757,""))</f>
        <v/>
      </c>
    </row>
    <row r="1758" spans="7:7" x14ac:dyDescent="0.3">
      <c r="G1758" t="str">
        <f>IF('Assignment Tool'!C1758="","",IF('Assignment Tool'!C1758="FST",'Assignment Tool'!D1758,""))</f>
        <v/>
      </c>
    </row>
    <row r="1759" spans="7:7" x14ac:dyDescent="0.3">
      <c r="G1759" t="str">
        <f>IF('Assignment Tool'!C1759="","",IF('Assignment Tool'!C1759="FST",'Assignment Tool'!D1759,""))</f>
        <v/>
      </c>
    </row>
    <row r="1760" spans="7:7" x14ac:dyDescent="0.3">
      <c r="G1760" t="str">
        <f>IF('Assignment Tool'!C1760="","",IF('Assignment Tool'!C1760="FST",'Assignment Tool'!D1760,""))</f>
        <v/>
      </c>
    </row>
    <row r="1761" spans="7:7" x14ac:dyDescent="0.3">
      <c r="G1761" t="str">
        <f>IF('Assignment Tool'!C1761="","",IF('Assignment Tool'!C1761="FST",'Assignment Tool'!D1761,""))</f>
        <v/>
      </c>
    </row>
    <row r="1762" spans="7:7" x14ac:dyDescent="0.3">
      <c r="G1762" t="str">
        <f>IF('Assignment Tool'!C1762="","",IF('Assignment Tool'!C1762="FST",'Assignment Tool'!D1762,""))</f>
        <v/>
      </c>
    </row>
    <row r="1763" spans="7:7" x14ac:dyDescent="0.3">
      <c r="G1763" t="str">
        <f>IF('Assignment Tool'!C1763="","",IF('Assignment Tool'!C1763="FST",'Assignment Tool'!D1763,""))</f>
        <v/>
      </c>
    </row>
    <row r="1764" spans="7:7" x14ac:dyDescent="0.3">
      <c r="G1764" t="str">
        <f>IF('Assignment Tool'!C1764="","",IF('Assignment Tool'!C1764="FST",'Assignment Tool'!D1764,""))</f>
        <v/>
      </c>
    </row>
    <row r="1765" spans="7:7" x14ac:dyDescent="0.3">
      <c r="G1765" t="str">
        <f>IF('Assignment Tool'!C1765="","",IF('Assignment Tool'!C1765="FST",'Assignment Tool'!D1765,""))</f>
        <v/>
      </c>
    </row>
    <row r="1766" spans="7:7" x14ac:dyDescent="0.3">
      <c r="G1766" t="str">
        <f>IF('Assignment Tool'!C1766="","",IF('Assignment Tool'!C1766="FST",'Assignment Tool'!D1766,""))</f>
        <v/>
      </c>
    </row>
    <row r="1767" spans="7:7" x14ac:dyDescent="0.3">
      <c r="G1767" t="str">
        <f>IF('Assignment Tool'!C1767="","",IF('Assignment Tool'!C1767="FST",'Assignment Tool'!D1767,""))</f>
        <v/>
      </c>
    </row>
    <row r="1768" spans="7:7" x14ac:dyDescent="0.3">
      <c r="G1768" t="str">
        <f>IF('Assignment Tool'!C1768="","",IF('Assignment Tool'!C1768="FST",'Assignment Tool'!D1768,""))</f>
        <v/>
      </c>
    </row>
    <row r="1769" spans="7:7" x14ac:dyDescent="0.3">
      <c r="G1769" t="str">
        <f>IF('Assignment Tool'!C1769="","",IF('Assignment Tool'!C1769="FST",'Assignment Tool'!D1769,""))</f>
        <v/>
      </c>
    </row>
    <row r="1770" spans="7:7" x14ac:dyDescent="0.3">
      <c r="G1770" t="str">
        <f>IF('Assignment Tool'!C1770="","",IF('Assignment Tool'!C1770="FST",'Assignment Tool'!D1770,""))</f>
        <v/>
      </c>
    </row>
    <row r="1771" spans="7:7" x14ac:dyDescent="0.3">
      <c r="G1771" t="str">
        <f>IF('Assignment Tool'!C1771="","",IF('Assignment Tool'!C1771="FST",'Assignment Tool'!D1771,""))</f>
        <v/>
      </c>
    </row>
    <row r="1772" spans="7:7" x14ac:dyDescent="0.3">
      <c r="G1772" t="str">
        <f>IF('Assignment Tool'!C1772="","",IF('Assignment Tool'!C1772="FST",'Assignment Tool'!D1772,""))</f>
        <v/>
      </c>
    </row>
    <row r="1773" spans="7:7" x14ac:dyDescent="0.3">
      <c r="G1773" t="str">
        <f>IF('Assignment Tool'!C1773="","",IF('Assignment Tool'!C1773="FST",'Assignment Tool'!D1773,""))</f>
        <v/>
      </c>
    </row>
    <row r="1774" spans="7:7" x14ac:dyDescent="0.3">
      <c r="G1774" t="str">
        <f>IF('Assignment Tool'!C1774="","",IF('Assignment Tool'!C1774="FST",'Assignment Tool'!D1774,""))</f>
        <v/>
      </c>
    </row>
    <row r="1775" spans="7:7" x14ac:dyDescent="0.3">
      <c r="G1775" t="str">
        <f>IF('Assignment Tool'!C1775="","",IF('Assignment Tool'!C1775="FST",'Assignment Tool'!D1775,""))</f>
        <v/>
      </c>
    </row>
    <row r="1776" spans="7:7" x14ac:dyDescent="0.3">
      <c r="G1776" t="str">
        <f>IF('Assignment Tool'!C1776="","",IF('Assignment Tool'!C1776="FST",'Assignment Tool'!D1776,""))</f>
        <v/>
      </c>
    </row>
    <row r="1777" spans="7:7" x14ac:dyDescent="0.3">
      <c r="G1777" t="str">
        <f>IF('Assignment Tool'!C1777="","",IF('Assignment Tool'!C1777="FST",'Assignment Tool'!D1777,""))</f>
        <v/>
      </c>
    </row>
    <row r="1778" spans="7:7" x14ac:dyDescent="0.3">
      <c r="G1778" t="str">
        <f>IF('Assignment Tool'!C1778="","",IF('Assignment Tool'!C1778="FST",'Assignment Tool'!D1778,""))</f>
        <v/>
      </c>
    </row>
    <row r="1779" spans="7:7" x14ac:dyDescent="0.3">
      <c r="G1779" t="str">
        <f>IF('Assignment Tool'!C1779="","",IF('Assignment Tool'!C1779="FST",'Assignment Tool'!D1779,""))</f>
        <v/>
      </c>
    </row>
    <row r="1780" spans="7:7" x14ac:dyDescent="0.3">
      <c r="G1780" t="str">
        <f>IF('Assignment Tool'!C1780="","",IF('Assignment Tool'!C1780="FST",'Assignment Tool'!D1780,""))</f>
        <v/>
      </c>
    </row>
    <row r="1781" spans="7:7" x14ac:dyDescent="0.3">
      <c r="G1781" t="str">
        <f>IF('Assignment Tool'!C1781="","",IF('Assignment Tool'!C1781="FST",'Assignment Tool'!D1781,""))</f>
        <v/>
      </c>
    </row>
    <row r="1782" spans="7:7" x14ac:dyDescent="0.3">
      <c r="G1782" t="str">
        <f>IF('Assignment Tool'!C1782="","",IF('Assignment Tool'!C1782="FST",'Assignment Tool'!D1782,""))</f>
        <v/>
      </c>
    </row>
    <row r="1783" spans="7:7" x14ac:dyDescent="0.3">
      <c r="G1783" t="str">
        <f>IF('Assignment Tool'!C1783="","",IF('Assignment Tool'!C1783="FST",'Assignment Tool'!D1783,""))</f>
        <v/>
      </c>
    </row>
    <row r="1784" spans="7:7" x14ac:dyDescent="0.3">
      <c r="G1784" t="str">
        <f>IF('Assignment Tool'!C1784="","",IF('Assignment Tool'!C1784="FST",'Assignment Tool'!D1784,""))</f>
        <v/>
      </c>
    </row>
    <row r="1785" spans="7:7" x14ac:dyDescent="0.3">
      <c r="G1785" t="str">
        <f>IF('Assignment Tool'!C1785="","",IF('Assignment Tool'!C1785="FST",'Assignment Tool'!D1785,""))</f>
        <v/>
      </c>
    </row>
    <row r="1786" spans="7:7" x14ac:dyDescent="0.3">
      <c r="G1786" t="str">
        <f>IF('Assignment Tool'!C1786="","",IF('Assignment Tool'!C1786="FST",'Assignment Tool'!D1786,""))</f>
        <v/>
      </c>
    </row>
    <row r="1787" spans="7:7" x14ac:dyDescent="0.3">
      <c r="G1787" t="str">
        <f>IF('Assignment Tool'!C1787="","",IF('Assignment Tool'!C1787="FST",'Assignment Tool'!D1787,""))</f>
        <v/>
      </c>
    </row>
    <row r="1788" spans="7:7" x14ac:dyDescent="0.3">
      <c r="G1788" t="str">
        <f>IF('Assignment Tool'!C1788="","",IF('Assignment Tool'!C1788="FST",'Assignment Tool'!D1788,""))</f>
        <v/>
      </c>
    </row>
    <row r="1789" spans="7:7" x14ac:dyDescent="0.3">
      <c r="G1789" t="str">
        <f>IF('Assignment Tool'!C1789="","",IF('Assignment Tool'!C1789="FST",'Assignment Tool'!D1789,""))</f>
        <v/>
      </c>
    </row>
    <row r="1790" spans="7:7" x14ac:dyDescent="0.3">
      <c r="G1790" t="str">
        <f>IF('Assignment Tool'!C1790="","",IF('Assignment Tool'!C1790="FST",'Assignment Tool'!D1790,""))</f>
        <v/>
      </c>
    </row>
    <row r="1791" spans="7:7" x14ac:dyDescent="0.3">
      <c r="G1791" t="str">
        <f>IF('Assignment Tool'!C1791="","",IF('Assignment Tool'!C1791="FST",'Assignment Tool'!D1791,""))</f>
        <v/>
      </c>
    </row>
    <row r="1792" spans="7:7" x14ac:dyDescent="0.3">
      <c r="G1792" t="str">
        <f>IF('Assignment Tool'!C1792="","",IF('Assignment Tool'!C1792="FST",'Assignment Tool'!D1792,""))</f>
        <v/>
      </c>
    </row>
    <row r="1793" spans="7:7" x14ac:dyDescent="0.3">
      <c r="G1793" t="str">
        <f>IF('Assignment Tool'!C1793="","",IF('Assignment Tool'!C1793="FST",'Assignment Tool'!D1793,""))</f>
        <v/>
      </c>
    </row>
    <row r="1794" spans="7:7" x14ac:dyDescent="0.3">
      <c r="G1794" t="str">
        <f>IF('Assignment Tool'!C1794="","",IF('Assignment Tool'!C1794="FST",'Assignment Tool'!D1794,""))</f>
        <v/>
      </c>
    </row>
    <row r="1795" spans="7:7" x14ac:dyDescent="0.3">
      <c r="G1795" t="str">
        <f>IF('Assignment Tool'!C1795="","",IF('Assignment Tool'!C1795="FST",'Assignment Tool'!D1795,""))</f>
        <v/>
      </c>
    </row>
    <row r="1796" spans="7:7" x14ac:dyDescent="0.3">
      <c r="G1796" t="str">
        <f>IF('Assignment Tool'!C1796="","",IF('Assignment Tool'!C1796="FST",'Assignment Tool'!D1796,""))</f>
        <v/>
      </c>
    </row>
    <row r="1797" spans="7:7" x14ac:dyDescent="0.3">
      <c r="G1797" t="str">
        <f>IF('Assignment Tool'!C1797="","",IF('Assignment Tool'!C1797="FST",'Assignment Tool'!D1797,""))</f>
        <v/>
      </c>
    </row>
    <row r="1798" spans="7:7" x14ac:dyDescent="0.3">
      <c r="G1798" t="str">
        <f>IF('Assignment Tool'!C1798="","",IF('Assignment Tool'!C1798="FST",'Assignment Tool'!D1798,""))</f>
        <v/>
      </c>
    </row>
    <row r="1799" spans="7:7" x14ac:dyDescent="0.3">
      <c r="G1799" t="str">
        <f>IF('Assignment Tool'!C1799="","",IF('Assignment Tool'!C1799="FST",'Assignment Tool'!D1799,""))</f>
        <v/>
      </c>
    </row>
    <row r="1800" spans="7:7" x14ac:dyDescent="0.3">
      <c r="G1800" t="str">
        <f>IF('Assignment Tool'!C1800="","",IF('Assignment Tool'!C1800="FST",'Assignment Tool'!D1800,""))</f>
        <v/>
      </c>
    </row>
    <row r="1801" spans="7:7" x14ac:dyDescent="0.3">
      <c r="G1801" t="str">
        <f>IF('Assignment Tool'!C1801="","",IF('Assignment Tool'!C1801="FST",'Assignment Tool'!D1801,""))</f>
        <v/>
      </c>
    </row>
    <row r="1802" spans="7:7" x14ac:dyDescent="0.3">
      <c r="G1802" t="str">
        <f>IF('Assignment Tool'!C1802="","",IF('Assignment Tool'!C1802="FST",'Assignment Tool'!D1802,""))</f>
        <v/>
      </c>
    </row>
    <row r="1803" spans="7:7" x14ac:dyDescent="0.3">
      <c r="G1803" t="str">
        <f>IF('Assignment Tool'!C1803="","",IF('Assignment Tool'!C1803="FST",'Assignment Tool'!D1803,""))</f>
        <v/>
      </c>
    </row>
    <row r="1804" spans="7:7" x14ac:dyDescent="0.3">
      <c r="G1804" t="str">
        <f>IF('Assignment Tool'!C1804="","",IF('Assignment Tool'!C1804="FST",'Assignment Tool'!D1804,""))</f>
        <v/>
      </c>
    </row>
    <row r="1805" spans="7:7" x14ac:dyDescent="0.3">
      <c r="G1805" t="str">
        <f>IF('Assignment Tool'!C1805="","",IF('Assignment Tool'!C1805="FST",'Assignment Tool'!D1805,""))</f>
        <v/>
      </c>
    </row>
    <row r="1806" spans="7:7" x14ac:dyDescent="0.3">
      <c r="G1806" t="str">
        <f>IF('Assignment Tool'!C1806="","",IF('Assignment Tool'!C1806="FST",'Assignment Tool'!D1806,""))</f>
        <v/>
      </c>
    </row>
    <row r="1807" spans="7:7" x14ac:dyDescent="0.3">
      <c r="G1807" t="str">
        <f>IF('Assignment Tool'!C1807="","",IF('Assignment Tool'!C1807="FST",'Assignment Tool'!D1807,""))</f>
        <v/>
      </c>
    </row>
    <row r="1808" spans="7:7" x14ac:dyDescent="0.3">
      <c r="G1808" t="str">
        <f>IF('Assignment Tool'!C1808="","",IF('Assignment Tool'!C1808="FST",'Assignment Tool'!D1808,""))</f>
        <v/>
      </c>
    </row>
    <row r="1809" spans="7:7" x14ac:dyDescent="0.3">
      <c r="G1809" t="str">
        <f>IF('Assignment Tool'!C1809="","",IF('Assignment Tool'!C1809="FST",'Assignment Tool'!D1809,""))</f>
        <v/>
      </c>
    </row>
    <row r="1810" spans="7:7" x14ac:dyDescent="0.3">
      <c r="G1810" t="str">
        <f>IF('Assignment Tool'!C1810="","",IF('Assignment Tool'!C1810="FST",'Assignment Tool'!D1810,""))</f>
        <v/>
      </c>
    </row>
    <row r="1811" spans="7:7" x14ac:dyDescent="0.3">
      <c r="G1811" t="str">
        <f>IF('Assignment Tool'!C1811="","",IF('Assignment Tool'!C1811="FST",'Assignment Tool'!D1811,""))</f>
        <v/>
      </c>
    </row>
    <row r="1812" spans="7:7" x14ac:dyDescent="0.3">
      <c r="G1812" t="str">
        <f>IF('Assignment Tool'!C1812="","",IF('Assignment Tool'!C1812="FST",'Assignment Tool'!D1812,""))</f>
        <v/>
      </c>
    </row>
    <row r="1813" spans="7:7" x14ac:dyDescent="0.3">
      <c r="G1813" t="str">
        <f>IF('Assignment Tool'!C1813="","",IF('Assignment Tool'!C1813="FST",'Assignment Tool'!D1813,""))</f>
        <v/>
      </c>
    </row>
    <row r="1814" spans="7:7" x14ac:dyDescent="0.3">
      <c r="G1814" t="str">
        <f>IF('Assignment Tool'!C1814="","",IF('Assignment Tool'!C1814="FST",'Assignment Tool'!D1814,""))</f>
        <v/>
      </c>
    </row>
    <row r="1815" spans="7:7" x14ac:dyDescent="0.3">
      <c r="G1815" t="str">
        <f>IF('Assignment Tool'!C1815="","",IF('Assignment Tool'!C1815="FST",'Assignment Tool'!D1815,""))</f>
        <v/>
      </c>
    </row>
    <row r="1816" spans="7:7" x14ac:dyDescent="0.3">
      <c r="G1816" t="str">
        <f>IF('Assignment Tool'!C1816="","",IF('Assignment Tool'!C1816="FST",'Assignment Tool'!D1816,""))</f>
        <v/>
      </c>
    </row>
    <row r="1817" spans="7:7" x14ac:dyDescent="0.3">
      <c r="G1817" t="str">
        <f>IF('Assignment Tool'!C1817="","",IF('Assignment Tool'!C1817="FST",'Assignment Tool'!D1817,""))</f>
        <v/>
      </c>
    </row>
    <row r="1818" spans="7:7" x14ac:dyDescent="0.3">
      <c r="G1818" t="str">
        <f>IF('Assignment Tool'!C1818="","",IF('Assignment Tool'!C1818="FST",'Assignment Tool'!D1818,""))</f>
        <v/>
      </c>
    </row>
    <row r="1819" spans="7:7" x14ac:dyDescent="0.3">
      <c r="G1819" t="str">
        <f>IF('Assignment Tool'!C1819="","",IF('Assignment Tool'!C1819="FST",'Assignment Tool'!D1819,""))</f>
        <v/>
      </c>
    </row>
    <row r="1820" spans="7:7" x14ac:dyDescent="0.3">
      <c r="G1820" t="str">
        <f>IF('Assignment Tool'!C1820="","",IF('Assignment Tool'!C1820="FST",'Assignment Tool'!D1820,""))</f>
        <v/>
      </c>
    </row>
    <row r="1821" spans="7:7" x14ac:dyDescent="0.3">
      <c r="G1821" t="str">
        <f>IF('Assignment Tool'!C1821="","",IF('Assignment Tool'!C1821="FST",'Assignment Tool'!D1821,""))</f>
        <v/>
      </c>
    </row>
    <row r="1822" spans="7:7" x14ac:dyDescent="0.3">
      <c r="G1822" t="str">
        <f>IF('Assignment Tool'!C1822="","",IF('Assignment Tool'!C1822="FST",'Assignment Tool'!D1822,""))</f>
        <v/>
      </c>
    </row>
    <row r="1823" spans="7:7" x14ac:dyDescent="0.3">
      <c r="G1823" t="str">
        <f>IF('Assignment Tool'!C1823="","",IF('Assignment Tool'!C1823="FST",'Assignment Tool'!D1823,""))</f>
        <v/>
      </c>
    </row>
    <row r="1824" spans="7:7" x14ac:dyDescent="0.3">
      <c r="G1824" t="str">
        <f>IF('Assignment Tool'!C1824="","",IF('Assignment Tool'!C1824="FST",'Assignment Tool'!D1824,""))</f>
        <v/>
      </c>
    </row>
    <row r="1825" spans="7:7" x14ac:dyDescent="0.3">
      <c r="G1825" t="str">
        <f>IF('Assignment Tool'!C1825="","",IF('Assignment Tool'!C1825="FST",'Assignment Tool'!D1825,""))</f>
        <v/>
      </c>
    </row>
    <row r="1826" spans="7:7" x14ac:dyDescent="0.3">
      <c r="G1826" t="str">
        <f>IF('Assignment Tool'!C1826="","",IF('Assignment Tool'!C1826="FST",'Assignment Tool'!D1826,""))</f>
        <v/>
      </c>
    </row>
    <row r="1827" spans="7:7" x14ac:dyDescent="0.3">
      <c r="G1827" t="str">
        <f>IF('Assignment Tool'!C1827="","",IF('Assignment Tool'!C1827="FST",'Assignment Tool'!D1827,""))</f>
        <v/>
      </c>
    </row>
    <row r="1828" spans="7:7" x14ac:dyDescent="0.3">
      <c r="G1828" t="str">
        <f>IF('Assignment Tool'!C1828="","",IF('Assignment Tool'!C1828="FST",'Assignment Tool'!D1828,""))</f>
        <v/>
      </c>
    </row>
    <row r="1829" spans="7:7" x14ac:dyDescent="0.3">
      <c r="G1829" t="str">
        <f>IF('Assignment Tool'!C1829="","",IF('Assignment Tool'!C1829="FST",'Assignment Tool'!D1829,""))</f>
        <v/>
      </c>
    </row>
    <row r="1830" spans="7:7" x14ac:dyDescent="0.3">
      <c r="G1830" t="str">
        <f>IF('Assignment Tool'!C1830="","",IF('Assignment Tool'!C1830="FST",'Assignment Tool'!D1830,""))</f>
        <v/>
      </c>
    </row>
    <row r="1831" spans="7:7" x14ac:dyDescent="0.3">
      <c r="G1831" t="str">
        <f>IF('Assignment Tool'!C1831="","",IF('Assignment Tool'!C1831="FST",'Assignment Tool'!D1831,""))</f>
        <v/>
      </c>
    </row>
    <row r="1832" spans="7:7" x14ac:dyDescent="0.3">
      <c r="G1832" t="str">
        <f>IF('Assignment Tool'!C1832="","",IF('Assignment Tool'!C1832="FST",'Assignment Tool'!D1832,""))</f>
        <v/>
      </c>
    </row>
    <row r="1833" spans="7:7" x14ac:dyDescent="0.3">
      <c r="G1833" t="str">
        <f>IF('Assignment Tool'!C1833="","",IF('Assignment Tool'!C1833="FST",'Assignment Tool'!D1833,""))</f>
        <v/>
      </c>
    </row>
    <row r="1834" spans="7:7" x14ac:dyDescent="0.3">
      <c r="G1834" t="str">
        <f>IF('Assignment Tool'!C1834="","",IF('Assignment Tool'!C1834="FST",'Assignment Tool'!D1834,""))</f>
        <v/>
      </c>
    </row>
    <row r="1835" spans="7:7" x14ac:dyDescent="0.3">
      <c r="G1835" t="str">
        <f>IF('Assignment Tool'!C1835="","",IF('Assignment Tool'!C1835="FST",'Assignment Tool'!D1835,""))</f>
        <v/>
      </c>
    </row>
    <row r="1836" spans="7:7" x14ac:dyDescent="0.3">
      <c r="G1836" t="str">
        <f>IF('Assignment Tool'!C1836="","",IF('Assignment Tool'!C1836="FST",'Assignment Tool'!D1836,""))</f>
        <v/>
      </c>
    </row>
    <row r="1837" spans="7:7" x14ac:dyDescent="0.3">
      <c r="G1837" t="str">
        <f>IF('Assignment Tool'!C1837="","",IF('Assignment Tool'!C1837="FST",'Assignment Tool'!D1837,""))</f>
        <v/>
      </c>
    </row>
    <row r="1838" spans="7:7" x14ac:dyDescent="0.3">
      <c r="G1838" t="str">
        <f>IF('Assignment Tool'!C1838="","",IF('Assignment Tool'!C1838="FST",'Assignment Tool'!D1838,""))</f>
        <v/>
      </c>
    </row>
    <row r="1839" spans="7:7" x14ac:dyDescent="0.3">
      <c r="G1839" t="str">
        <f>IF('Assignment Tool'!C1839="","",IF('Assignment Tool'!C1839="FST",'Assignment Tool'!D1839,""))</f>
        <v/>
      </c>
    </row>
    <row r="1840" spans="7:7" x14ac:dyDescent="0.3">
      <c r="G1840" t="str">
        <f>IF('Assignment Tool'!C1840="","",IF('Assignment Tool'!C1840="FST",'Assignment Tool'!D1840,""))</f>
        <v/>
      </c>
    </row>
    <row r="1841" spans="7:7" x14ac:dyDescent="0.3">
      <c r="G1841" t="str">
        <f>IF('Assignment Tool'!C1841="","",IF('Assignment Tool'!C1841="FST",'Assignment Tool'!D1841,""))</f>
        <v/>
      </c>
    </row>
    <row r="1842" spans="7:7" x14ac:dyDescent="0.3">
      <c r="G1842" t="str">
        <f>IF('Assignment Tool'!C1842="","",IF('Assignment Tool'!C1842="FST",'Assignment Tool'!D1842,""))</f>
        <v/>
      </c>
    </row>
    <row r="1843" spans="7:7" x14ac:dyDescent="0.3">
      <c r="G1843" t="str">
        <f>IF('Assignment Tool'!C1843="","",IF('Assignment Tool'!C1843="FST",'Assignment Tool'!D1843,""))</f>
        <v/>
      </c>
    </row>
    <row r="1844" spans="7:7" x14ac:dyDescent="0.3">
      <c r="G1844" t="str">
        <f>IF('Assignment Tool'!C1844="","",IF('Assignment Tool'!C1844="FST",'Assignment Tool'!D1844,""))</f>
        <v/>
      </c>
    </row>
    <row r="1845" spans="7:7" x14ac:dyDescent="0.3">
      <c r="G1845" t="str">
        <f>IF('Assignment Tool'!C1845="","",IF('Assignment Tool'!C1845="FST",'Assignment Tool'!D1845,""))</f>
        <v/>
      </c>
    </row>
    <row r="1846" spans="7:7" x14ac:dyDescent="0.3">
      <c r="G1846" t="str">
        <f>IF('Assignment Tool'!C1846="","",IF('Assignment Tool'!C1846="FST",'Assignment Tool'!D1846,""))</f>
        <v/>
      </c>
    </row>
    <row r="1847" spans="7:7" x14ac:dyDescent="0.3">
      <c r="G1847" t="str">
        <f>IF('Assignment Tool'!C1847="","",IF('Assignment Tool'!C1847="FST",'Assignment Tool'!D1847,""))</f>
        <v/>
      </c>
    </row>
    <row r="1848" spans="7:7" x14ac:dyDescent="0.3">
      <c r="G1848" t="str">
        <f>IF('Assignment Tool'!C1848="","",IF('Assignment Tool'!C1848="FST",'Assignment Tool'!D1848,""))</f>
        <v/>
      </c>
    </row>
    <row r="1849" spans="7:7" x14ac:dyDescent="0.3">
      <c r="G1849" t="str">
        <f>IF('Assignment Tool'!C1849="","",IF('Assignment Tool'!C1849="FST",'Assignment Tool'!D1849,""))</f>
        <v/>
      </c>
    </row>
    <row r="1850" spans="7:7" x14ac:dyDescent="0.3">
      <c r="G1850" t="str">
        <f>IF('Assignment Tool'!C1850="","",IF('Assignment Tool'!C1850="FST",'Assignment Tool'!D1850,""))</f>
        <v/>
      </c>
    </row>
    <row r="1851" spans="7:7" x14ac:dyDescent="0.3">
      <c r="G1851" t="str">
        <f>IF('Assignment Tool'!C1851="","",IF('Assignment Tool'!C1851="FST",'Assignment Tool'!D1851,""))</f>
        <v/>
      </c>
    </row>
    <row r="1852" spans="7:7" x14ac:dyDescent="0.3">
      <c r="G1852" t="str">
        <f>IF('Assignment Tool'!C1852="","",IF('Assignment Tool'!C1852="FST",'Assignment Tool'!D1852,""))</f>
        <v/>
      </c>
    </row>
    <row r="1853" spans="7:7" x14ac:dyDescent="0.3">
      <c r="G1853" t="str">
        <f>IF('Assignment Tool'!C1853="","",IF('Assignment Tool'!C1853="FST",'Assignment Tool'!D1853,""))</f>
        <v/>
      </c>
    </row>
    <row r="1854" spans="7:7" x14ac:dyDescent="0.3">
      <c r="G1854" t="str">
        <f>IF('Assignment Tool'!C1854="","",IF('Assignment Tool'!C1854="FST",'Assignment Tool'!D1854,""))</f>
        <v/>
      </c>
    </row>
    <row r="1855" spans="7:7" x14ac:dyDescent="0.3">
      <c r="G1855" t="str">
        <f>IF('Assignment Tool'!C1855="","",IF('Assignment Tool'!C1855="FST",'Assignment Tool'!D1855,""))</f>
        <v/>
      </c>
    </row>
    <row r="1856" spans="7:7" x14ac:dyDescent="0.3">
      <c r="G1856" t="str">
        <f>IF('Assignment Tool'!C1856="","",IF('Assignment Tool'!C1856="FST",'Assignment Tool'!D1856,""))</f>
        <v/>
      </c>
    </row>
    <row r="1857" spans="7:7" x14ac:dyDescent="0.3">
      <c r="G1857" t="str">
        <f>IF('Assignment Tool'!C1857="","",IF('Assignment Tool'!C1857="FST",'Assignment Tool'!D1857,""))</f>
        <v/>
      </c>
    </row>
    <row r="1858" spans="7:7" x14ac:dyDescent="0.3">
      <c r="G1858" t="str">
        <f>IF('Assignment Tool'!C1858="","",IF('Assignment Tool'!C1858="FST",'Assignment Tool'!D1858,""))</f>
        <v/>
      </c>
    </row>
    <row r="1859" spans="7:7" x14ac:dyDescent="0.3">
      <c r="G1859" t="str">
        <f>IF('Assignment Tool'!C1859="","",IF('Assignment Tool'!C1859="FST",'Assignment Tool'!D1859,""))</f>
        <v/>
      </c>
    </row>
    <row r="1860" spans="7:7" x14ac:dyDescent="0.3">
      <c r="G1860" t="str">
        <f>IF('Assignment Tool'!C1860="","",IF('Assignment Tool'!C1860="FST",'Assignment Tool'!D1860,""))</f>
        <v/>
      </c>
    </row>
    <row r="1861" spans="7:7" x14ac:dyDescent="0.3">
      <c r="G1861" t="str">
        <f>IF('Assignment Tool'!C1861="","",IF('Assignment Tool'!C1861="FST",'Assignment Tool'!D1861,""))</f>
        <v/>
      </c>
    </row>
    <row r="1862" spans="7:7" x14ac:dyDescent="0.3">
      <c r="G1862" t="str">
        <f>IF('Assignment Tool'!C1862="","",IF('Assignment Tool'!C1862="FST",'Assignment Tool'!D1862,""))</f>
        <v/>
      </c>
    </row>
    <row r="1863" spans="7:7" x14ac:dyDescent="0.3">
      <c r="G1863" t="str">
        <f>IF('Assignment Tool'!C1863="","",IF('Assignment Tool'!C1863="FST",'Assignment Tool'!D1863,""))</f>
        <v/>
      </c>
    </row>
    <row r="1864" spans="7:7" x14ac:dyDescent="0.3">
      <c r="G1864" t="str">
        <f>IF('Assignment Tool'!C1864="","",IF('Assignment Tool'!C1864="FST",'Assignment Tool'!D1864,""))</f>
        <v/>
      </c>
    </row>
    <row r="1865" spans="7:7" x14ac:dyDescent="0.3">
      <c r="G1865" t="str">
        <f>IF('Assignment Tool'!C1865="","",IF('Assignment Tool'!C1865="FST",'Assignment Tool'!D1865,""))</f>
        <v/>
      </c>
    </row>
    <row r="1866" spans="7:7" x14ac:dyDescent="0.3">
      <c r="G1866" t="str">
        <f>IF('Assignment Tool'!C1866="","",IF('Assignment Tool'!C1866="FST",'Assignment Tool'!D1866,""))</f>
        <v/>
      </c>
    </row>
    <row r="1867" spans="7:7" x14ac:dyDescent="0.3">
      <c r="G1867" t="str">
        <f>IF('Assignment Tool'!C1867="","",IF('Assignment Tool'!C1867="FST",'Assignment Tool'!D1867,""))</f>
        <v/>
      </c>
    </row>
    <row r="1868" spans="7:7" x14ac:dyDescent="0.3">
      <c r="G1868" t="str">
        <f>IF('Assignment Tool'!C1868="","",IF('Assignment Tool'!C1868="FST",'Assignment Tool'!D1868,""))</f>
        <v/>
      </c>
    </row>
    <row r="1869" spans="7:7" x14ac:dyDescent="0.3">
      <c r="G1869" t="str">
        <f>IF('Assignment Tool'!C1869="","",IF('Assignment Tool'!C1869="FST",'Assignment Tool'!D1869,""))</f>
        <v/>
      </c>
    </row>
    <row r="1870" spans="7:7" x14ac:dyDescent="0.3">
      <c r="G1870" t="str">
        <f>IF('Assignment Tool'!C1870="","",IF('Assignment Tool'!C1870="FST",'Assignment Tool'!D1870,""))</f>
        <v/>
      </c>
    </row>
    <row r="1871" spans="7:7" x14ac:dyDescent="0.3">
      <c r="G1871" t="str">
        <f>IF('Assignment Tool'!C1871="","",IF('Assignment Tool'!C1871="FST",'Assignment Tool'!D1871,""))</f>
        <v/>
      </c>
    </row>
    <row r="1872" spans="7:7" x14ac:dyDescent="0.3">
      <c r="G1872" t="str">
        <f>IF('Assignment Tool'!C1872="","",IF('Assignment Tool'!C1872="FST",'Assignment Tool'!D1872,""))</f>
        <v/>
      </c>
    </row>
    <row r="1873" spans="7:7" x14ac:dyDescent="0.3">
      <c r="G1873" t="str">
        <f>IF('Assignment Tool'!C1873="","",IF('Assignment Tool'!C1873="FST",'Assignment Tool'!D1873,""))</f>
        <v/>
      </c>
    </row>
    <row r="1874" spans="7:7" x14ac:dyDescent="0.3">
      <c r="G1874" t="str">
        <f>IF('Assignment Tool'!C1874="","",IF('Assignment Tool'!C1874="FST",'Assignment Tool'!D1874,""))</f>
        <v/>
      </c>
    </row>
    <row r="1875" spans="7:7" x14ac:dyDescent="0.3">
      <c r="G1875" t="str">
        <f>IF('Assignment Tool'!C1875="","",IF('Assignment Tool'!C1875="FST",'Assignment Tool'!D1875,""))</f>
        <v/>
      </c>
    </row>
    <row r="1876" spans="7:7" x14ac:dyDescent="0.3">
      <c r="G1876" t="str">
        <f>IF('Assignment Tool'!C1876="","",IF('Assignment Tool'!C1876="FST",'Assignment Tool'!D1876,""))</f>
        <v/>
      </c>
    </row>
    <row r="1877" spans="7:7" x14ac:dyDescent="0.3">
      <c r="G1877" t="str">
        <f>IF('Assignment Tool'!C1877="","",IF('Assignment Tool'!C1877="FST",'Assignment Tool'!D1877,""))</f>
        <v/>
      </c>
    </row>
    <row r="1878" spans="7:7" x14ac:dyDescent="0.3">
      <c r="G1878" t="str">
        <f>IF('Assignment Tool'!C1878="","",IF('Assignment Tool'!C1878="FST",'Assignment Tool'!D1878,""))</f>
        <v/>
      </c>
    </row>
    <row r="1879" spans="7:7" x14ac:dyDescent="0.3">
      <c r="G1879" t="str">
        <f>IF('Assignment Tool'!C1879="","",IF('Assignment Tool'!C1879="FST",'Assignment Tool'!D1879,""))</f>
        <v/>
      </c>
    </row>
    <row r="1880" spans="7:7" x14ac:dyDescent="0.3">
      <c r="G1880" t="str">
        <f>IF('Assignment Tool'!C1880="","",IF('Assignment Tool'!C1880="FST",'Assignment Tool'!D1880,""))</f>
        <v/>
      </c>
    </row>
    <row r="1881" spans="7:7" x14ac:dyDescent="0.3">
      <c r="G1881" t="str">
        <f>IF('Assignment Tool'!C1881="","",IF('Assignment Tool'!C1881="FST",'Assignment Tool'!D1881,""))</f>
        <v/>
      </c>
    </row>
    <row r="1882" spans="7:7" x14ac:dyDescent="0.3">
      <c r="G1882" t="str">
        <f>IF('Assignment Tool'!C1882="","",IF('Assignment Tool'!C1882="FST",'Assignment Tool'!D1882,""))</f>
        <v/>
      </c>
    </row>
    <row r="1883" spans="7:7" x14ac:dyDescent="0.3">
      <c r="G1883" t="str">
        <f>IF('Assignment Tool'!C1883="","",IF('Assignment Tool'!C1883="FST",'Assignment Tool'!D1883,""))</f>
        <v/>
      </c>
    </row>
    <row r="1884" spans="7:7" x14ac:dyDescent="0.3">
      <c r="G1884" t="str">
        <f>IF('Assignment Tool'!C1884="","",IF('Assignment Tool'!C1884="FST",'Assignment Tool'!D1884,""))</f>
        <v/>
      </c>
    </row>
    <row r="1885" spans="7:7" x14ac:dyDescent="0.3">
      <c r="G1885" t="str">
        <f>IF('Assignment Tool'!C1885="","",IF('Assignment Tool'!C1885="FST",'Assignment Tool'!D1885,""))</f>
        <v/>
      </c>
    </row>
    <row r="1886" spans="7:7" x14ac:dyDescent="0.3">
      <c r="G1886" t="str">
        <f>IF('Assignment Tool'!C1886="","",IF('Assignment Tool'!C1886="FST",'Assignment Tool'!D1886,""))</f>
        <v/>
      </c>
    </row>
    <row r="1887" spans="7:7" x14ac:dyDescent="0.3">
      <c r="G1887" t="str">
        <f>IF('Assignment Tool'!C1887="","",IF('Assignment Tool'!C1887="FST",'Assignment Tool'!D1887,""))</f>
        <v/>
      </c>
    </row>
    <row r="1888" spans="7:7" x14ac:dyDescent="0.3">
      <c r="G1888" t="str">
        <f>IF('Assignment Tool'!C1888="","",IF('Assignment Tool'!C1888="FST",'Assignment Tool'!D1888,""))</f>
        <v/>
      </c>
    </row>
    <row r="1889" spans="7:7" x14ac:dyDescent="0.3">
      <c r="G1889" t="str">
        <f>IF('Assignment Tool'!C1889="","",IF('Assignment Tool'!C1889="FST",'Assignment Tool'!D1889,""))</f>
        <v/>
      </c>
    </row>
    <row r="1890" spans="7:7" x14ac:dyDescent="0.3">
      <c r="G1890" t="str">
        <f>IF('Assignment Tool'!C1890="","",IF('Assignment Tool'!C1890="FST",'Assignment Tool'!D1890,""))</f>
        <v/>
      </c>
    </row>
    <row r="1891" spans="7:7" x14ac:dyDescent="0.3">
      <c r="G1891" t="str">
        <f>IF('Assignment Tool'!C1891="","",IF('Assignment Tool'!C1891="FST",'Assignment Tool'!D1891,""))</f>
        <v/>
      </c>
    </row>
    <row r="1892" spans="7:7" x14ac:dyDescent="0.3">
      <c r="G1892" t="str">
        <f>IF('Assignment Tool'!C1892="","",IF('Assignment Tool'!C1892="FST",'Assignment Tool'!D1892,""))</f>
        <v/>
      </c>
    </row>
    <row r="1893" spans="7:7" x14ac:dyDescent="0.3">
      <c r="G1893" t="str">
        <f>IF('Assignment Tool'!C1893="","",IF('Assignment Tool'!C1893="FST",'Assignment Tool'!D1893,""))</f>
        <v/>
      </c>
    </row>
    <row r="1894" spans="7:7" x14ac:dyDescent="0.3">
      <c r="G1894" t="str">
        <f>IF('Assignment Tool'!C1894="","",IF('Assignment Tool'!C1894="FST",'Assignment Tool'!D1894,""))</f>
        <v/>
      </c>
    </row>
    <row r="1895" spans="7:7" x14ac:dyDescent="0.3">
      <c r="G1895" t="str">
        <f>IF('Assignment Tool'!C1895="","",IF('Assignment Tool'!C1895="FST",'Assignment Tool'!D1895,""))</f>
        <v/>
      </c>
    </row>
    <row r="1896" spans="7:7" x14ac:dyDescent="0.3">
      <c r="G1896" t="str">
        <f>IF('Assignment Tool'!C1896="","",IF('Assignment Tool'!C1896="FST",'Assignment Tool'!D1896,""))</f>
        <v/>
      </c>
    </row>
    <row r="1897" spans="7:7" x14ac:dyDescent="0.3">
      <c r="G1897" t="str">
        <f>IF('Assignment Tool'!C1897="","",IF('Assignment Tool'!C1897="FST",'Assignment Tool'!D1897,""))</f>
        <v/>
      </c>
    </row>
    <row r="1898" spans="7:7" x14ac:dyDescent="0.3">
      <c r="G1898" t="str">
        <f>IF('Assignment Tool'!C1898="","",IF('Assignment Tool'!C1898="FST",'Assignment Tool'!D1898,""))</f>
        <v/>
      </c>
    </row>
    <row r="1899" spans="7:7" x14ac:dyDescent="0.3">
      <c r="G1899" t="str">
        <f>IF('Assignment Tool'!C1899="","",IF('Assignment Tool'!C1899="FST",'Assignment Tool'!D1899,""))</f>
        <v/>
      </c>
    </row>
    <row r="1900" spans="7:7" x14ac:dyDescent="0.3">
      <c r="G1900" t="str">
        <f>IF('Assignment Tool'!C1900="","",IF('Assignment Tool'!C1900="FST",'Assignment Tool'!D1900,""))</f>
        <v/>
      </c>
    </row>
    <row r="1901" spans="7:7" x14ac:dyDescent="0.3">
      <c r="G1901" t="str">
        <f>IF('Assignment Tool'!C1901="","",IF('Assignment Tool'!C1901="FST",'Assignment Tool'!D1901,""))</f>
        <v/>
      </c>
    </row>
    <row r="1902" spans="7:7" x14ac:dyDescent="0.3">
      <c r="G1902" t="str">
        <f>IF('Assignment Tool'!C1902="","",IF('Assignment Tool'!C1902="FST",'Assignment Tool'!D1902,""))</f>
        <v/>
      </c>
    </row>
    <row r="1903" spans="7:7" x14ac:dyDescent="0.3">
      <c r="G1903" t="str">
        <f>IF('Assignment Tool'!C1903="","",IF('Assignment Tool'!C1903="FST",'Assignment Tool'!D1903,""))</f>
        <v/>
      </c>
    </row>
    <row r="1904" spans="7:7" x14ac:dyDescent="0.3">
      <c r="G1904" t="str">
        <f>IF('Assignment Tool'!C1904="","",IF('Assignment Tool'!C1904="FST",'Assignment Tool'!D1904,""))</f>
        <v/>
      </c>
    </row>
    <row r="1905" spans="7:7" x14ac:dyDescent="0.3">
      <c r="G1905" t="str">
        <f>IF('Assignment Tool'!C1905="","",IF('Assignment Tool'!C1905="FST",'Assignment Tool'!D1905,""))</f>
        <v/>
      </c>
    </row>
    <row r="1906" spans="7:7" x14ac:dyDescent="0.3">
      <c r="G1906" t="str">
        <f>IF('Assignment Tool'!C1906="","",IF('Assignment Tool'!C1906="FST",'Assignment Tool'!D1906,""))</f>
        <v/>
      </c>
    </row>
    <row r="1907" spans="7:7" x14ac:dyDescent="0.3">
      <c r="G1907" t="str">
        <f>IF('Assignment Tool'!C1907="","",IF('Assignment Tool'!C1907="FST",'Assignment Tool'!D1907,""))</f>
        <v/>
      </c>
    </row>
    <row r="1908" spans="7:7" x14ac:dyDescent="0.3">
      <c r="G1908" t="str">
        <f>IF('Assignment Tool'!C1908="","",IF('Assignment Tool'!C1908="FST",'Assignment Tool'!D1908,""))</f>
        <v/>
      </c>
    </row>
    <row r="1909" spans="7:7" x14ac:dyDescent="0.3">
      <c r="G1909" t="str">
        <f>IF('Assignment Tool'!C1909="","",IF('Assignment Tool'!C1909="FST",'Assignment Tool'!D1909,""))</f>
        <v/>
      </c>
    </row>
    <row r="1910" spans="7:7" x14ac:dyDescent="0.3">
      <c r="G1910" t="str">
        <f>IF('Assignment Tool'!C1910="","",IF('Assignment Tool'!C1910="FST",'Assignment Tool'!D1910,""))</f>
        <v/>
      </c>
    </row>
    <row r="1911" spans="7:7" x14ac:dyDescent="0.3">
      <c r="G1911" t="str">
        <f>IF('Assignment Tool'!C1911="","",IF('Assignment Tool'!C1911="FST",'Assignment Tool'!D1911,""))</f>
        <v/>
      </c>
    </row>
    <row r="1912" spans="7:7" x14ac:dyDescent="0.3">
      <c r="G1912" t="str">
        <f>IF('Assignment Tool'!C1912="","",IF('Assignment Tool'!C1912="FST",'Assignment Tool'!D1912,""))</f>
        <v/>
      </c>
    </row>
    <row r="1913" spans="7:7" x14ac:dyDescent="0.3">
      <c r="G1913" t="str">
        <f>IF('Assignment Tool'!C1913="","",IF('Assignment Tool'!C1913="FST",'Assignment Tool'!D1913,""))</f>
        <v/>
      </c>
    </row>
    <row r="1914" spans="7:7" x14ac:dyDescent="0.3">
      <c r="G1914" t="str">
        <f>IF('Assignment Tool'!C1914="","",IF('Assignment Tool'!C1914="FST",'Assignment Tool'!D1914,""))</f>
        <v/>
      </c>
    </row>
    <row r="1915" spans="7:7" x14ac:dyDescent="0.3">
      <c r="G1915" t="str">
        <f>IF('Assignment Tool'!C1915="","",IF('Assignment Tool'!C1915="FST",'Assignment Tool'!D1915,""))</f>
        <v/>
      </c>
    </row>
    <row r="1916" spans="7:7" x14ac:dyDescent="0.3">
      <c r="G1916" t="str">
        <f>IF('Assignment Tool'!C1916="","",IF('Assignment Tool'!C1916="FST",'Assignment Tool'!D1916,""))</f>
        <v/>
      </c>
    </row>
    <row r="1917" spans="7:7" x14ac:dyDescent="0.3">
      <c r="G1917" t="str">
        <f>IF('Assignment Tool'!C1917="","",IF('Assignment Tool'!C1917="FST",'Assignment Tool'!D1917,""))</f>
        <v/>
      </c>
    </row>
    <row r="1918" spans="7:7" x14ac:dyDescent="0.3">
      <c r="G1918" t="str">
        <f>IF('Assignment Tool'!C1918="","",IF('Assignment Tool'!C1918="FST",'Assignment Tool'!D1918,""))</f>
        <v/>
      </c>
    </row>
    <row r="1919" spans="7:7" x14ac:dyDescent="0.3">
      <c r="G1919" t="str">
        <f>IF('Assignment Tool'!C1919="","",IF('Assignment Tool'!C1919="FST",'Assignment Tool'!D1919,""))</f>
        <v/>
      </c>
    </row>
    <row r="1920" spans="7:7" x14ac:dyDescent="0.3">
      <c r="G1920" t="str">
        <f>IF('Assignment Tool'!C1920="","",IF('Assignment Tool'!C1920="FST",'Assignment Tool'!D1920,""))</f>
        <v/>
      </c>
    </row>
    <row r="1921" spans="7:7" x14ac:dyDescent="0.3">
      <c r="G1921" t="str">
        <f>IF('Assignment Tool'!C1921="","",IF('Assignment Tool'!C1921="FST",'Assignment Tool'!D1921,""))</f>
        <v/>
      </c>
    </row>
    <row r="1922" spans="7:7" x14ac:dyDescent="0.3">
      <c r="G1922" t="str">
        <f>IF('Assignment Tool'!C1922="","",IF('Assignment Tool'!C1922="FST",'Assignment Tool'!D1922,""))</f>
        <v/>
      </c>
    </row>
    <row r="1923" spans="7:7" x14ac:dyDescent="0.3">
      <c r="G1923" t="str">
        <f>IF('Assignment Tool'!C1923="","",IF('Assignment Tool'!C1923="FST",'Assignment Tool'!D1923,""))</f>
        <v/>
      </c>
    </row>
    <row r="1924" spans="7:7" x14ac:dyDescent="0.3">
      <c r="G1924" t="str">
        <f>IF('Assignment Tool'!C1924="","",IF('Assignment Tool'!C1924="FST",'Assignment Tool'!D1924,""))</f>
        <v/>
      </c>
    </row>
    <row r="1925" spans="7:7" x14ac:dyDescent="0.3">
      <c r="G1925" t="str">
        <f>IF('Assignment Tool'!C1925="","",IF('Assignment Tool'!C1925="FST",'Assignment Tool'!D1925,""))</f>
        <v/>
      </c>
    </row>
    <row r="1926" spans="7:7" x14ac:dyDescent="0.3">
      <c r="G1926" t="str">
        <f>IF('Assignment Tool'!C1926="","",IF('Assignment Tool'!C1926="FST",'Assignment Tool'!D1926,""))</f>
        <v/>
      </c>
    </row>
    <row r="1927" spans="7:7" x14ac:dyDescent="0.3">
      <c r="G1927" t="str">
        <f>IF('Assignment Tool'!C1927="","",IF('Assignment Tool'!C1927="FST",'Assignment Tool'!D1927,""))</f>
        <v/>
      </c>
    </row>
    <row r="1928" spans="7:7" x14ac:dyDescent="0.3">
      <c r="G1928" t="str">
        <f>IF('Assignment Tool'!C1928="","",IF('Assignment Tool'!C1928="FST",'Assignment Tool'!D1928,""))</f>
        <v/>
      </c>
    </row>
    <row r="1929" spans="7:7" x14ac:dyDescent="0.3">
      <c r="G1929" t="str">
        <f>IF('Assignment Tool'!C1929="","",IF('Assignment Tool'!C1929="FST",'Assignment Tool'!D1929,""))</f>
        <v/>
      </c>
    </row>
    <row r="1930" spans="7:7" x14ac:dyDescent="0.3">
      <c r="G1930" t="str">
        <f>IF('Assignment Tool'!C1930="","",IF('Assignment Tool'!C1930="FST",'Assignment Tool'!D1930,""))</f>
        <v/>
      </c>
    </row>
    <row r="1931" spans="7:7" x14ac:dyDescent="0.3">
      <c r="G1931" t="str">
        <f>IF('Assignment Tool'!C1931="","",IF('Assignment Tool'!C1931="FST",'Assignment Tool'!D1931,""))</f>
        <v/>
      </c>
    </row>
    <row r="1932" spans="7:7" x14ac:dyDescent="0.3">
      <c r="G1932" t="str">
        <f>IF('Assignment Tool'!C1932="","",IF('Assignment Tool'!C1932="FST",'Assignment Tool'!D1932,""))</f>
        <v/>
      </c>
    </row>
    <row r="1933" spans="7:7" x14ac:dyDescent="0.3">
      <c r="G1933" t="str">
        <f>IF('Assignment Tool'!C1933="","",IF('Assignment Tool'!C1933="FST",'Assignment Tool'!D1933,""))</f>
        <v/>
      </c>
    </row>
    <row r="1934" spans="7:7" x14ac:dyDescent="0.3">
      <c r="G1934" t="str">
        <f>IF('Assignment Tool'!C1934="","",IF('Assignment Tool'!C1934="FST",'Assignment Tool'!D1934,""))</f>
        <v/>
      </c>
    </row>
    <row r="1935" spans="7:7" x14ac:dyDescent="0.3">
      <c r="G1935" t="str">
        <f>IF('Assignment Tool'!C1935="","",IF('Assignment Tool'!C1935="FST",'Assignment Tool'!D1935,""))</f>
        <v/>
      </c>
    </row>
    <row r="1936" spans="7:7" x14ac:dyDescent="0.3">
      <c r="G1936" t="str">
        <f>IF('Assignment Tool'!C1936="","",IF('Assignment Tool'!C1936="FST",'Assignment Tool'!D1936,""))</f>
        <v/>
      </c>
    </row>
    <row r="1937" spans="7:7" x14ac:dyDescent="0.3">
      <c r="G1937" t="str">
        <f>IF('Assignment Tool'!C1937="","",IF('Assignment Tool'!C1937="FST",'Assignment Tool'!D1937,""))</f>
        <v/>
      </c>
    </row>
    <row r="1938" spans="7:7" x14ac:dyDescent="0.3">
      <c r="G1938" t="str">
        <f>IF('Assignment Tool'!C1938="","",IF('Assignment Tool'!C1938="FST",'Assignment Tool'!D1938,""))</f>
        <v/>
      </c>
    </row>
    <row r="1939" spans="7:7" x14ac:dyDescent="0.3">
      <c r="G1939" t="str">
        <f>IF('Assignment Tool'!C1939="","",IF('Assignment Tool'!C1939="FST",'Assignment Tool'!D1939,""))</f>
        <v/>
      </c>
    </row>
    <row r="1940" spans="7:7" x14ac:dyDescent="0.3">
      <c r="G1940" t="str">
        <f>IF('Assignment Tool'!C1940="","",IF('Assignment Tool'!C1940="FST",'Assignment Tool'!D1940,""))</f>
        <v/>
      </c>
    </row>
    <row r="1941" spans="7:7" x14ac:dyDescent="0.3">
      <c r="G1941" t="str">
        <f>IF('Assignment Tool'!C1941="","",IF('Assignment Tool'!C1941="FST",'Assignment Tool'!D1941,""))</f>
        <v/>
      </c>
    </row>
    <row r="1942" spans="7:7" x14ac:dyDescent="0.3">
      <c r="G1942" t="str">
        <f>IF('Assignment Tool'!C1942="","",IF('Assignment Tool'!C1942="FST",'Assignment Tool'!D1942,""))</f>
        <v/>
      </c>
    </row>
    <row r="1943" spans="7:7" x14ac:dyDescent="0.3">
      <c r="G1943" t="str">
        <f>IF('Assignment Tool'!C1943="","",IF('Assignment Tool'!C1943="FST",'Assignment Tool'!D1943,""))</f>
        <v/>
      </c>
    </row>
    <row r="1944" spans="7:7" x14ac:dyDescent="0.3">
      <c r="G1944" t="str">
        <f>IF('Assignment Tool'!C1944="","",IF('Assignment Tool'!C1944="FST",'Assignment Tool'!D1944,""))</f>
        <v/>
      </c>
    </row>
    <row r="1945" spans="7:7" x14ac:dyDescent="0.3">
      <c r="G1945" t="str">
        <f>IF('Assignment Tool'!C1945="","",IF('Assignment Tool'!C1945="FST",'Assignment Tool'!D1945,""))</f>
        <v/>
      </c>
    </row>
    <row r="1946" spans="7:7" x14ac:dyDescent="0.3">
      <c r="G1946" t="str">
        <f>IF('Assignment Tool'!C1946="","",IF('Assignment Tool'!C1946="FST",'Assignment Tool'!D1946,""))</f>
        <v/>
      </c>
    </row>
    <row r="1947" spans="7:7" x14ac:dyDescent="0.3">
      <c r="G1947" t="str">
        <f>IF('Assignment Tool'!C1947="","",IF('Assignment Tool'!C1947="FST",'Assignment Tool'!D1947,""))</f>
        <v/>
      </c>
    </row>
    <row r="1948" spans="7:7" x14ac:dyDescent="0.3">
      <c r="G1948" t="str">
        <f>IF('Assignment Tool'!C1948="","",IF('Assignment Tool'!C1948="FST",'Assignment Tool'!D1948,""))</f>
        <v/>
      </c>
    </row>
    <row r="1949" spans="7:7" x14ac:dyDescent="0.3">
      <c r="G1949" t="str">
        <f>IF('Assignment Tool'!C1949="","",IF('Assignment Tool'!C1949="FST",'Assignment Tool'!D1949,""))</f>
        <v/>
      </c>
    </row>
    <row r="1950" spans="7:7" x14ac:dyDescent="0.3">
      <c r="G1950" t="str">
        <f>IF('Assignment Tool'!C1950="","",IF('Assignment Tool'!C1950="FST",'Assignment Tool'!D1950,""))</f>
        <v/>
      </c>
    </row>
    <row r="1951" spans="7:7" x14ac:dyDescent="0.3">
      <c r="G1951" t="str">
        <f>IF('Assignment Tool'!C1951="","",IF('Assignment Tool'!C1951="FST",'Assignment Tool'!D1951,""))</f>
        <v/>
      </c>
    </row>
    <row r="1952" spans="7:7" x14ac:dyDescent="0.3">
      <c r="G1952" t="str">
        <f>IF('Assignment Tool'!C1952="","",IF('Assignment Tool'!C1952="FST",'Assignment Tool'!D1952,""))</f>
        <v/>
      </c>
    </row>
    <row r="1953" spans="7:7" x14ac:dyDescent="0.3">
      <c r="G1953" t="str">
        <f>IF('Assignment Tool'!C1953="","",IF('Assignment Tool'!C1953="FST",'Assignment Tool'!D1953,""))</f>
        <v/>
      </c>
    </row>
    <row r="1954" spans="7:7" x14ac:dyDescent="0.3">
      <c r="G1954" t="str">
        <f>IF('Assignment Tool'!C1954="","",IF('Assignment Tool'!C1954="FST",'Assignment Tool'!D1954,""))</f>
        <v/>
      </c>
    </row>
    <row r="1955" spans="7:7" x14ac:dyDescent="0.3">
      <c r="G1955" t="str">
        <f>IF('Assignment Tool'!C1955="","",IF('Assignment Tool'!C1955="FST",'Assignment Tool'!D1955,""))</f>
        <v/>
      </c>
    </row>
    <row r="1956" spans="7:7" x14ac:dyDescent="0.3">
      <c r="G1956" t="str">
        <f>IF('Assignment Tool'!C1956="","",IF('Assignment Tool'!C1956="FST",'Assignment Tool'!D1956,""))</f>
        <v/>
      </c>
    </row>
    <row r="1957" spans="7:7" x14ac:dyDescent="0.3">
      <c r="G1957" t="str">
        <f>IF('Assignment Tool'!C1957="","",IF('Assignment Tool'!C1957="FST",'Assignment Tool'!D1957,""))</f>
        <v/>
      </c>
    </row>
    <row r="1958" spans="7:7" x14ac:dyDescent="0.3">
      <c r="G1958" t="str">
        <f>IF('Assignment Tool'!C1958="","",IF('Assignment Tool'!C1958="FST",'Assignment Tool'!D1958,""))</f>
        <v/>
      </c>
    </row>
    <row r="1959" spans="7:7" x14ac:dyDescent="0.3">
      <c r="G1959" t="str">
        <f>IF('Assignment Tool'!C1959="","",IF('Assignment Tool'!C1959="FST",'Assignment Tool'!D1959,""))</f>
        <v/>
      </c>
    </row>
    <row r="1960" spans="7:7" x14ac:dyDescent="0.3">
      <c r="G1960" t="str">
        <f>IF('Assignment Tool'!C1960="","",IF('Assignment Tool'!C1960="FST",'Assignment Tool'!D1960,""))</f>
        <v/>
      </c>
    </row>
    <row r="1961" spans="7:7" x14ac:dyDescent="0.3">
      <c r="G1961" t="str">
        <f>IF('Assignment Tool'!C1961="","",IF('Assignment Tool'!C1961="FST",'Assignment Tool'!D1961,""))</f>
        <v/>
      </c>
    </row>
    <row r="1962" spans="7:7" x14ac:dyDescent="0.3">
      <c r="G1962" t="str">
        <f>IF('Assignment Tool'!C1962="","",IF('Assignment Tool'!C1962="FST",'Assignment Tool'!D1962,""))</f>
        <v/>
      </c>
    </row>
    <row r="1963" spans="7:7" x14ac:dyDescent="0.3">
      <c r="G1963" t="str">
        <f>IF('Assignment Tool'!C1963="","",IF('Assignment Tool'!C1963="FST",'Assignment Tool'!D1963,""))</f>
        <v/>
      </c>
    </row>
    <row r="1964" spans="7:7" x14ac:dyDescent="0.3">
      <c r="G1964" t="str">
        <f>IF('Assignment Tool'!C1964="","",IF('Assignment Tool'!C1964="FST",'Assignment Tool'!D1964,""))</f>
        <v/>
      </c>
    </row>
    <row r="1965" spans="7:7" x14ac:dyDescent="0.3">
      <c r="G1965" t="str">
        <f>IF('Assignment Tool'!C1965="","",IF('Assignment Tool'!C1965="FST",'Assignment Tool'!D1965,""))</f>
        <v/>
      </c>
    </row>
    <row r="1966" spans="7:7" x14ac:dyDescent="0.3">
      <c r="G1966" t="str">
        <f>IF('Assignment Tool'!C1966="","",IF('Assignment Tool'!C1966="FST",'Assignment Tool'!D1966,""))</f>
        <v/>
      </c>
    </row>
    <row r="1967" spans="7:7" x14ac:dyDescent="0.3">
      <c r="G1967" t="str">
        <f>IF('Assignment Tool'!C1967="","",IF('Assignment Tool'!C1967="FST",'Assignment Tool'!D1967,""))</f>
        <v/>
      </c>
    </row>
    <row r="1968" spans="7:7" x14ac:dyDescent="0.3">
      <c r="G1968" t="str">
        <f>IF('Assignment Tool'!C1968="","",IF('Assignment Tool'!C1968="FST",'Assignment Tool'!D1968,""))</f>
        <v/>
      </c>
    </row>
    <row r="1969" spans="7:7" x14ac:dyDescent="0.3">
      <c r="G1969" t="str">
        <f>IF('Assignment Tool'!C1969="","",IF('Assignment Tool'!C1969="FST",'Assignment Tool'!D1969,""))</f>
        <v/>
      </c>
    </row>
    <row r="1970" spans="7:7" x14ac:dyDescent="0.3">
      <c r="G1970" t="str">
        <f>IF('Assignment Tool'!C1970="","",IF('Assignment Tool'!C1970="FST",'Assignment Tool'!D1970,""))</f>
        <v/>
      </c>
    </row>
    <row r="1971" spans="7:7" x14ac:dyDescent="0.3">
      <c r="G1971" t="str">
        <f>IF('Assignment Tool'!C1971="","",IF('Assignment Tool'!C1971="FST",'Assignment Tool'!D1971,""))</f>
        <v/>
      </c>
    </row>
    <row r="1972" spans="7:7" x14ac:dyDescent="0.3">
      <c r="G1972" t="str">
        <f>IF('Assignment Tool'!C1972="","",IF('Assignment Tool'!C1972="FST",'Assignment Tool'!D1972,""))</f>
        <v/>
      </c>
    </row>
    <row r="1973" spans="7:7" x14ac:dyDescent="0.3">
      <c r="G1973" t="str">
        <f>IF('Assignment Tool'!C1973="","",IF('Assignment Tool'!C1973="FST",'Assignment Tool'!D1973,""))</f>
        <v/>
      </c>
    </row>
    <row r="1974" spans="7:7" x14ac:dyDescent="0.3">
      <c r="G1974" t="str">
        <f>IF('Assignment Tool'!C1974="","",IF('Assignment Tool'!C1974="FST",'Assignment Tool'!D1974,""))</f>
        <v/>
      </c>
    </row>
    <row r="1975" spans="7:7" x14ac:dyDescent="0.3">
      <c r="G1975" t="str">
        <f>IF('Assignment Tool'!C1975="","",IF('Assignment Tool'!C1975="FST",'Assignment Tool'!D1975,""))</f>
        <v/>
      </c>
    </row>
    <row r="1976" spans="7:7" x14ac:dyDescent="0.3">
      <c r="G1976" t="str">
        <f>IF('Assignment Tool'!C1976="","",IF('Assignment Tool'!C1976="FST",'Assignment Tool'!D1976,""))</f>
        <v/>
      </c>
    </row>
    <row r="1977" spans="7:7" x14ac:dyDescent="0.3">
      <c r="G1977" t="str">
        <f>IF('Assignment Tool'!C1977="","",IF('Assignment Tool'!C1977="FST",'Assignment Tool'!D1977,""))</f>
        <v/>
      </c>
    </row>
    <row r="1978" spans="7:7" x14ac:dyDescent="0.3">
      <c r="G1978" t="str">
        <f>IF('Assignment Tool'!C1978="","",IF('Assignment Tool'!C1978="FST",'Assignment Tool'!D1978,""))</f>
        <v/>
      </c>
    </row>
    <row r="1979" spans="7:7" x14ac:dyDescent="0.3">
      <c r="G1979" t="str">
        <f>IF('Assignment Tool'!C1979="","",IF('Assignment Tool'!C1979="FST",'Assignment Tool'!D1979,""))</f>
        <v/>
      </c>
    </row>
    <row r="1980" spans="7:7" x14ac:dyDescent="0.3">
      <c r="G1980" t="str">
        <f>IF('Assignment Tool'!C1980="","",IF('Assignment Tool'!C1980="FST",'Assignment Tool'!D1980,""))</f>
        <v/>
      </c>
    </row>
    <row r="1981" spans="7:7" x14ac:dyDescent="0.3">
      <c r="G1981" t="str">
        <f>IF('Assignment Tool'!C1981="","",IF('Assignment Tool'!C1981="FST",'Assignment Tool'!D1981,""))</f>
        <v/>
      </c>
    </row>
    <row r="1982" spans="7:7" x14ac:dyDescent="0.3">
      <c r="G1982" t="str">
        <f>IF('Assignment Tool'!C1982="","",IF('Assignment Tool'!C1982="FST",'Assignment Tool'!D1982,""))</f>
        <v/>
      </c>
    </row>
    <row r="1983" spans="7:7" x14ac:dyDescent="0.3">
      <c r="G1983" t="str">
        <f>IF('Assignment Tool'!C1983="","",IF('Assignment Tool'!C1983="FST",'Assignment Tool'!D1983,""))</f>
        <v/>
      </c>
    </row>
    <row r="1984" spans="7:7" x14ac:dyDescent="0.3">
      <c r="G1984" t="str">
        <f>IF('Assignment Tool'!C1984="","",IF('Assignment Tool'!C1984="FST",'Assignment Tool'!D1984,""))</f>
        <v/>
      </c>
    </row>
    <row r="1985" spans="7:7" x14ac:dyDescent="0.3">
      <c r="G1985" t="str">
        <f>IF('Assignment Tool'!C1985="","",IF('Assignment Tool'!C1985="FST",'Assignment Tool'!D1985,""))</f>
        <v/>
      </c>
    </row>
    <row r="1986" spans="7:7" x14ac:dyDescent="0.3">
      <c r="G1986" t="str">
        <f>IF('Assignment Tool'!C1986="","",IF('Assignment Tool'!C1986="FST",'Assignment Tool'!D1986,""))</f>
        <v/>
      </c>
    </row>
    <row r="1987" spans="7:7" x14ac:dyDescent="0.3">
      <c r="G1987" t="str">
        <f>IF('Assignment Tool'!C1987="","",IF('Assignment Tool'!C1987="FST",'Assignment Tool'!D1987,""))</f>
        <v/>
      </c>
    </row>
    <row r="1988" spans="7:7" x14ac:dyDescent="0.3">
      <c r="G1988" t="str">
        <f>IF('Assignment Tool'!C1988="","",IF('Assignment Tool'!C1988="FST",'Assignment Tool'!D1988,""))</f>
        <v/>
      </c>
    </row>
    <row r="1989" spans="7:7" x14ac:dyDescent="0.3">
      <c r="G1989" t="str">
        <f>IF('Assignment Tool'!C1989="","",IF('Assignment Tool'!C1989="FST",'Assignment Tool'!D1989,""))</f>
        <v/>
      </c>
    </row>
    <row r="1990" spans="7:7" x14ac:dyDescent="0.3">
      <c r="G1990" t="str">
        <f>IF('Assignment Tool'!C1990="","",IF('Assignment Tool'!C1990="FST",'Assignment Tool'!D1990,""))</f>
        <v/>
      </c>
    </row>
    <row r="1991" spans="7:7" x14ac:dyDescent="0.3">
      <c r="G1991" t="str">
        <f>IF('Assignment Tool'!C1991="","",IF('Assignment Tool'!C1991="FST",'Assignment Tool'!D1991,""))</f>
        <v/>
      </c>
    </row>
    <row r="1992" spans="7:7" x14ac:dyDescent="0.3">
      <c r="G1992" t="str">
        <f>IF('Assignment Tool'!C1992="","",IF('Assignment Tool'!C1992="FST",'Assignment Tool'!D1992,""))</f>
        <v/>
      </c>
    </row>
    <row r="1993" spans="7:7" x14ac:dyDescent="0.3">
      <c r="G1993" t="str">
        <f>IF('Assignment Tool'!C1993="","",IF('Assignment Tool'!C1993="FST",'Assignment Tool'!D1993,""))</f>
        <v/>
      </c>
    </row>
    <row r="1994" spans="7:7" x14ac:dyDescent="0.3">
      <c r="G1994" t="str">
        <f>IF('Assignment Tool'!C1994="","",IF('Assignment Tool'!C1994="FST",'Assignment Tool'!D1994,""))</f>
        <v/>
      </c>
    </row>
    <row r="1995" spans="7:7" x14ac:dyDescent="0.3">
      <c r="G1995" t="str">
        <f>IF('Assignment Tool'!C1995="","",IF('Assignment Tool'!C1995="FST",'Assignment Tool'!D1995,""))</f>
        <v/>
      </c>
    </row>
    <row r="1996" spans="7:7" x14ac:dyDescent="0.3">
      <c r="G1996" t="str">
        <f>IF('Assignment Tool'!C1996="","",IF('Assignment Tool'!C1996="FST",'Assignment Tool'!D1996,""))</f>
        <v/>
      </c>
    </row>
    <row r="1997" spans="7:7" x14ac:dyDescent="0.3">
      <c r="G1997" t="str">
        <f>IF('Assignment Tool'!C1997="","",IF('Assignment Tool'!C1997="FST",'Assignment Tool'!D1997,""))</f>
        <v/>
      </c>
    </row>
    <row r="1998" spans="7:7" x14ac:dyDescent="0.3">
      <c r="G1998" t="str">
        <f>IF('Assignment Tool'!C1998="","",IF('Assignment Tool'!C1998="FST",'Assignment Tool'!D1998,""))</f>
        <v/>
      </c>
    </row>
    <row r="1999" spans="7:7" x14ac:dyDescent="0.3">
      <c r="G1999" t="str">
        <f>IF('Assignment Tool'!C1999="","",IF('Assignment Tool'!C1999="FST",'Assignment Tool'!D1999,""))</f>
        <v/>
      </c>
    </row>
    <row r="2000" spans="7:7" x14ac:dyDescent="0.3">
      <c r="G2000" t="str">
        <f>IF('Assignment Tool'!C2000="","",IF('Assignment Tool'!C2000="FST",'Assignment Tool'!D2000,""))</f>
        <v/>
      </c>
    </row>
    <row r="2001" spans="7:7" x14ac:dyDescent="0.3">
      <c r="G2001" t="str">
        <f>IF('Assignment Tool'!C2001="","",IF('Assignment Tool'!C2001="FST",'Assignment Tool'!D2001,""))</f>
        <v/>
      </c>
    </row>
    <row r="2002" spans="7:7" x14ac:dyDescent="0.3">
      <c r="G2002" t="str">
        <f>IF('Assignment Tool'!C2002="","",IF('Assignment Tool'!C2002="FST",'Assignment Tool'!D2002,""))</f>
        <v/>
      </c>
    </row>
    <row r="2003" spans="7:7" x14ac:dyDescent="0.3">
      <c r="G2003" t="str">
        <f>IF('Assignment Tool'!C2003="","",IF('Assignment Tool'!C2003="FST",'Assignment Tool'!D2003,""))</f>
        <v/>
      </c>
    </row>
    <row r="2004" spans="7:7" x14ac:dyDescent="0.3">
      <c r="G2004" t="str">
        <f>IF('Assignment Tool'!C2004="","",IF('Assignment Tool'!C2004="FST",'Assignment Tool'!D2004,""))</f>
        <v/>
      </c>
    </row>
    <row r="2005" spans="7:7" x14ac:dyDescent="0.3">
      <c r="G2005" t="str">
        <f>IF('Assignment Tool'!C2005="","",IF('Assignment Tool'!C2005="FST",'Assignment Tool'!D2005,""))</f>
        <v/>
      </c>
    </row>
    <row r="2006" spans="7:7" x14ac:dyDescent="0.3">
      <c r="G2006" t="str">
        <f>IF('Assignment Tool'!C2006="","",IF('Assignment Tool'!C2006="FST",'Assignment Tool'!D2006,""))</f>
        <v/>
      </c>
    </row>
    <row r="2007" spans="7:7" x14ac:dyDescent="0.3">
      <c r="G2007" t="str">
        <f>IF('Assignment Tool'!C2007="","",IF('Assignment Tool'!C2007="FST",'Assignment Tool'!D2007,""))</f>
        <v/>
      </c>
    </row>
    <row r="2008" spans="7:7" x14ac:dyDescent="0.3">
      <c r="G2008" t="str">
        <f>IF('Assignment Tool'!C2008="","",IF('Assignment Tool'!C2008="FST",'Assignment Tool'!D2008,""))</f>
        <v/>
      </c>
    </row>
    <row r="2009" spans="7:7" x14ac:dyDescent="0.3">
      <c r="G2009" t="str">
        <f>IF('Assignment Tool'!C2009="","",IF('Assignment Tool'!C2009="FST",'Assignment Tool'!D2009,""))</f>
        <v/>
      </c>
    </row>
    <row r="2010" spans="7:7" x14ac:dyDescent="0.3">
      <c r="G2010" t="str">
        <f>IF('Assignment Tool'!C2010="","",IF('Assignment Tool'!C2010="FST",'Assignment Tool'!D2010,""))</f>
        <v/>
      </c>
    </row>
    <row r="2011" spans="7:7" x14ac:dyDescent="0.3">
      <c r="G2011" t="str">
        <f>IF('Assignment Tool'!C2011="","",IF('Assignment Tool'!C2011="FST",'Assignment Tool'!D2011,""))</f>
        <v/>
      </c>
    </row>
    <row r="2012" spans="7:7" x14ac:dyDescent="0.3">
      <c r="G2012" t="str">
        <f>IF('Assignment Tool'!C2012="","",IF('Assignment Tool'!C2012="FST",'Assignment Tool'!D2012,""))</f>
        <v/>
      </c>
    </row>
    <row r="2013" spans="7:7" x14ac:dyDescent="0.3">
      <c r="G2013" t="str">
        <f>IF('Assignment Tool'!C2013="","",IF('Assignment Tool'!C2013="FST",'Assignment Tool'!D2013,""))</f>
        <v/>
      </c>
    </row>
    <row r="2014" spans="7:7" x14ac:dyDescent="0.3">
      <c r="G2014" t="str">
        <f>IF('Assignment Tool'!C2014="","",IF('Assignment Tool'!C2014="FST",'Assignment Tool'!D2014,""))</f>
        <v/>
      </c>
    </row>
    <row r="2015" spans="7:7" x14ac:dyDescent="0.3">
      <c r="G2015" t="str">
        <f>IF('Assignment Tool'!C2015="","",IF('Assignment Tool'!C2015="FST",'Assignment Tool'!D2015,""))</f>
        <v/>
      </c>
    </row>
    <row r="2016" spans="7:7" x14ac:dyDescent="0.3">
      <c r="G2016" t="str">
        <f>IF('Assignment Tool'!C2016="","",IF('Assignment Tool'!C2016="FST",'Assignment Tool'!D2016,""))</f>
        <v/>
      </c>
    </row>
    <row r="2017" spans="7:7" x14ac:dyDescent="0.3">
      <c r="G2017" t="str">
        <f>IF('Assignment Tool'!C2017="","",IF('Assignment Tool'!C2017="FST",'Assignment Tool'!D2017,""))</f>
        <v/>
      </c>
    </row>
    <row r="2018" spans="7:7" x14ac:dyDescent="0.3">
      <c r="G2018" t="str">
        <f>IF('Assignment Tool'!C2018="","",IF('Assignment Tool'!C2018="FST",'Assignment Tool'!D2018,""))</f>
        <v/>
      </c>
    </row>
    <row r="2019" spans="7:7" x14ac:dyDescent="0.3">
      <c r="G2019" t="str">
        <f>IF('Assignment Tool'!C2019="","",IF('Assignment Tool'!C2019="FST",'Assignment Tool'!D2019,""))</f>
        <v/>
      </c>
    </row>
    <row r="2020" spans="7:7" x14ac:dyDescent="0.3">
      <c r="G2020" t="str">
        <f>IF('Assignment Tool'!C2020="","",IF('Assignment Tool'!C2020="FST",'Assignment Tool'!D2020,""))</f>
        <v/>
      </c>
    </row>
    <row r="2021" spans="7:7" x14ac:dyDescent="0.3">
      <c r="G2021" t="str">
        <f>IF('Assignment Tool'!C2021="","",IF('Assignment Tool'!C2021="FST",'Assignment Tool'!D2021,""))</f>
        <v/>
      </c>
    </row>
    <row r="2022" spans="7:7" x14ac:dyDescent="0.3">
      <c r="G2022" t="str">
        <f>IF('Assignment Tool'!C2022="","",IF('Assignment Tool'!C2022="FST",'Assignment Tool'!D2022,""))</f>
        <v/>
      </c>
    </row>
    <row r="2023" spans="7:7" x14ac:dyDescent="0.3">
      <c r="G2023" t="str">
        <f>IF('Assignment Tool'!C2023="","",IF('Assignment Tool'!C2023="FST",'Assignment Tool'!D2023,""))</f>
        <v/>
      </c>
    </row>
    <row r="2024" spans="7:7" x14ac:dyDescent="0.3">
      <c r="G2024" t="str">
        <f>IF('Assignment Tool'!C2024="","",IF('Assignment Tool'!C2024="FST",'Assignment Tool'!D2024,""))</f>
        <v/>
      </c>
    </row>
    <row r="2025" spans="7:7" x14ac:dyDescent="0.3">
      <c r="G2025" t="str">
        <f>IF('Assignment Tool'!C2025="","",IF('Assignment Tool'!C2025="FST",'Assignment Tool'!D2025,""))</f>
        <v/>
      </c>
    </row>
    <row r="2026" spans="7:7" x14ac:dyDescent="0.3">
      <c r="G2026" t="str">
        <f>IF('Assignment Tool'!C2026="","",IF('Assignment Tool'!C2026="FST",'Assignment Tool'!D2026,""))</f>
        <v/>
      </c>
    </row>
    <row r="2027" spans="7:7" x14ac:dyDescent="0.3">
      <c r="G2027" t="str">
        <f>IF('Assignment Tool'!C2027="","",IF('Assignment Tool'!C2027="FST",'Assignment Tool'!D2027,""))</f>
        <v/>
      </c>
    </row>
    <row r="2028" spans="7:7" x14ac:dyDescent="0.3">
      <c r="G2028" t="str">
        <f>IF('Assignment Tool'!C2028="","",IF('Assignment Tool'!C2028="FST",'Assignment Tool'!D2028,""))</f>
        <v/>
      </c>
    </row>
    <row r="2029" spans="7:7" x14ac:dyDescent="0.3">
      <c r="G2029" t="str">
        <f>IF('Assignment Tool'!C2029="","",IF('Assignment Tool'!C2029="FST",'Assignment Tool'!D2029,""))</f>
        <v/>
      </c>
    </row>
    <row r="2030" spans="7:7" x14ac:dyDescent="0.3">
      <c r="G2030" t="str">
        <f>IF('Assignment Tool'!C2030="","",IF('Assignment Tool'!C2030="FST",'Assignment Tool'!D2030,""))</f>
        <v/>
      </c>
    </row>
    <row r="2031" spans="7:7" x14ac:dyDescent="0.3">
      <c r="G2031" t="str">
        <f>IF('Assignment Tool'!C2031="","",IF('Assignment Tool'!C2031="FST",'Assignment Tool'!D2031,""))</f>
        <v/>
      </c>
    </row>
    <row r="2032" spans="7:7" x14ac:dyDescent="0.3">
      <c r="G2032" t="str">
        <f>IF('Assignment Tool'!C2032="","",IF('Assignment Tool'!C2032="FST",'Assignment Tool'!D2032,""))</f>
        <v/>
      </c>
    </row>
    <row r="2033" spans="7:7" x14ac:dyDescent="0.3">
      <c r="G2033" t="str">
        <f>IF('Assignment Tool'!C2033="","",IF('Assignment Tool'!C2033="FST",'Assignment Tool'!D2033,""))</f>
        <v/>
      </c>
    </row>
    <row r="2034" spans="7:7" x14ac:dyDescent="0.3">
      <c r="G2034" t="str">
        <f>IF('Assignment Tool'!C2034="","",IF('Assignment Tool'!C2034="FST",'Assignment Tool'!D2034,""))</f>
        <v/>
      </c>
    </row>
    <row r="2035" spans="7:7" x14ac:dyDescent="0.3">
      <c r="G2035" t="str">
        <f>IF('Assignment Tool'!C2035="","",IF('Assignment Tool'!C2035="FST",'Assignment Tool'!D2035,""))</f>
        <v/>
      </c>
    </row>
    <row r="2036" spans="7:7" x14ac:dyDescent="0.3">
      <c r="G2036" t="str">
        <f>IF('Assignment Tool'!C2036="","",IF('Assignment Tool'!C2036="FST",'Assignment Tool'!D2036,""))</f>
        <v/>
      </c>
    </row>
    <row r="2037" spans="7:7" x14ac:dyDescent="0.3">
      <c r="G2037" t="str">
        <f>IF('Assignment Tool'!C2037="","",IF('Assignment Tool'!C2037="FST",'Assignment Tool'!D2037,""))</f>
        <v/>
      </c>
    </row>
    <row r="2038" spans="7:7" x14ac:dyDescent="0.3">
      <c r="G2038" t="str">
        <f>IF('Assignment Tool'!C2038="","",IF('Assignment Tool'!C2038="FST",'Assignment Tool'!D2038,""))</f>
        <v/>
      </c>
    </row>
    <row r="2039" spans="7:7" x14ac:dyDescent="0.3">
      <c r="G2039" t="str">
        <f>IF('Assignment Tool'!C2039="","",IF('Assignment Tool'!C2039="FST",'Assignment Tool'!D2039,""))</f>
        <v/>
      </c>
    </row>
    <row r="2040" spans="7:7" x14ac:dyDescent="0.3">
      <c r="G2040" t="str">
        <f>IF('Assignment Tool'!C2040="","",IF('Assignment Tool'!C2040="FST",'Assignment Tool'!D2040,""))</f>
        <v/>
      </c>
    </row>
    <row r="2041" spans="7:7" x14ac:dyDescent="0.3">
      <c r="G2041" t="str">
        <f>IF('Assignment Tool'!C2041="","",IF('Assignment Tool'!C2041="FST",'Assignment Tool'!D2041,""))</f>
        <v/>
      </c>
    </row>
    <row r="2042" spans="7:7" x14ac:dyDescent="0.3">
      <c r="G2042" t="str">
        <f>IF('Assignment Tool'!C2042="","",IF('Assignment Tool'!C2042="FST",'Assignment Tool'!D2042,""))</f>
        <v/>
      </c>
    </row>
    <row r="2043" spans="7:7" x14ac:dyDescent="0.3">
      <c r="G2043" t="str">
        <f>IF('Assignment Tool'!C2043="","",IF('Assignment Tool'!C2043="FST",'Assignment Tool'!D2043,""))</f>
        <v/>
      </c>
    </row>
    <row r="2044" spans="7:7" x14ac:dyDescent="0.3">
      <c r="G2044" t="str">
        <f>IF('Assignment Tool'!C2044="","",IF('Assignment Tool'!C2044="FST",'Assignment Tool'!D2044,""))</f>
        <v/>
      </c>
    </row>
    <row r="2045" spans="7:7" x14ac:dyDescent="0.3">
      <c r="G2045" t="str">
        <f>IF('Assignment Tool'!C2045="","",IF('Assignment Tool'!C2045="FST",'Assignment Tool'!D2045,""))</f>
        <v/>
      </c>
    </row>
    <row r="2046" spans="7:7" x14ac:dyDescent="0.3">
      <c r="G2046" t="str">
        <f>IF('Assignment Tool'!C2046="","",IF('Assignment Tool'!C2046="FST",'Assignment Tool'!D2046,""))</f>
        <v/>
      </c>
    </row>
    <row r="2047" spans="7:7" x14ac:dyDescent="0.3">
      <c r="G2047" t="str">
        <f>IF('Assignment Tool'!C2047="","",IF('Assignment Tool'!C2047="FST",'Assignment Tool'!D2047,""))</f>
        <v/>
      </c>
    </row>
    <row r="2048" spans="7:7" x14ac:dyDescent="0.3">
      <c r="G2048" t="str">
        <f>IF('Assignment Tool'!C2048="","",IF('Assignment Tool'!C2048="FST",'Assignment Tool'!D2048,""))</f>
        <v/>
      </c>
    </row>
    <row r="2049" spans="7:7" x14ac:dyDescent="0.3">
      <c r="G2049" t="str">
        <f>IF('Assignment Tool'!C2049="","",IF('Assignment Tool'!C2049="FST",'Assignment Tool'!D2049,""))</f>
        <v/>
      </c>
    </row>
    <row r="2050" spans="7:7" x14ac:dyDescent="0.3">
      <c r="G2050" t="str">
        <f>IF('Assignment Tool'!C2050="","",IF('Assignment Tool'!C2050="FST",'Assignment Tool'!D2050,""))</f>
        <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A2" sqref="A2"/>
    </sheetView>
  </sheetViews>
  <sheetFormatPr defaultColWidth="8.88671875" defaultRowHeight="14.4" x14ac:dyDescent="0.3"/>
  <cols>
    <col min="1" max="2" width="35.6640625" customWidth="1"/>
    <col min="3" max="5" width="15.6640625" customWidth="1"/>
  </cols>
  <sheetData>
    <row r="1" spans="1:5" x14ac:dyDescent="0.3">
      <c r="A1" s="120" t="s">
        <v>16</v>
      </c>
      <c r="B1" s="120" t="s">
        <v>17</v>
      </c>
      <c r="C1" s="121" t="s">
        <v>18</v>
      </c>
      <c r="D1" s="121" t="s">
        <v>19</v>
      </c>
      <c r="E1" s="121" t="s">
        <v>20</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P499"/>
  <sheetViews>
    <sheetView zoomScale="115" zoomScaleNormal="115" workbookViewId="0">
      <pane xSplit="1" ySplit="1" topLeftCell="B8" activePane="bottomRight" state="frozen"/>
      <selection pane="topRight" activeCell="A9" sqref="A9"/>
      <selection pane="bottomLeft" activeCell="A9" sqref="A9"/>
      <selection pane="bottomRight" activeCell="G21" sqref="G21"/>
    </sheetView>
  </sheetViews>
  <sheetFormatPr defaultColWidth="7.109375" defaultRowHeight="14.4" x14ac:dyDescent="0.3"/>
  <cols>
    <col min="1" max="1" width="8.88671875" customWidth="1"/>
    <col min="2" max="2" width="10.6640625" style="2" customWidth="1"/>
    <col min="3" max="42" width="8.6640625" style="2" customWidth="1"/>
    <col min="43" max="16384" width="7.109375" style="2"/>
  </cols>
  <sheetData>
    <row r="1" spans="1:42" s="20" customFormat="1" ht="52.5" customHeight="1" x14ac:dyDescent="0.3">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3">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3">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3">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3">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3">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3">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3">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3">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3">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3">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3">
      <c r="A12" s="6">
        <v>13</v>
      </c>
      <c r="B12" s="5">
        <v>1</v>
      </c>
      <c r="C12" s="4">
        <v>64</v>
      </c>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3">
      <c r="A13" s="6">
        <v>14</v>
      </c>
      <c r="B13" s="5">
        <v>3</v>
      </c>
      <c r="C13" s="4">
        <v>64</v>
      </c>
      <c r="D13" s="4">
        <v>64</v>
      </c>
      <c r="E13" s="4">
        <v>64</v>
      </c>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3">
      <c r="A14" s="6">
        <v>15</v>
      </c>
      <c r="B14" s="5">
        <v>2</v>
      </c>
      <c r="C14" s="4">
        <v>64</v>
      </c>
      <c r="D14" s="4">
        <v>49</v>
      </c>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3">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3">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3">
      <c r="A17" s="6">
        <v>18</v>
      </c>
      <c r="B17" s="5">
        <v>1</v>
      </c>
      <c r="C17" s="4">
        <v>124</v>
      </c>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3">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3">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3">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3">
      <c r="A21" s="6">
        <v>22</v>
      </c>
      <c r="B21" s="5">
        <v>1</v>
      </c>
      <c r="C21" s="4">
        <v>82</v>
      </c>
      <c r="D21" s="4"/>
      <c r="E21" s="4"/>
      <c r="F21" s="4"/>
      <c r="G21" s="4"/>
      <c r="H21" s="4"/>
      <c r="I21" s="4"/>
      <c r="J21" s="4"/>
      <c r="K21" s="4"/>
      <c r="L21" s="4"/>
      <c r="M21" s="4"/>
      <c r="N21" s="4"/>
      <c r="O21" s="4"/>
      <c r="P21" s="4"/>
      <c r="Q21" s="4"/>
      <c r="R21" s="4"/>
      <c r="S21" s="4"/>
      <c r="T21" s="4"/>
      <c r="U21" s="4"/>
      <c r="V21" s="4"/>
      <c r="W21" s="4">
        <v>417</v>
      </c>
      <c r="X21" s="4"/>
      <c r="Y21" s="4"/>
      <c r="Z21" s="4"/>
      <c r="AA21" s="4"/>
      <c r="AB21" s="4"/>
      <c r="AC21" s="4"/>
      <c r="AD21" s="4"/>
      <c r="AE21" s="4"/>
      <c r="AF21" s="4"/>
      <c r="AG21" s="4"/>
      <c r="AH21" s="4"/>
      <c r="AI21" s="4"/>
      <c r="AJ21" s="4"/>
      <c r="AK21" s="4"/>
      <c r="AL21" s="4"/>
      <c r="AM21" s="4"/>
      <c r="AN21" s="4"/>
      <c r="AO21" s="4"/>
      <c r="AP21" s="4"/>
    </row>
    <row r="22" spans="1:42" x14ac:dyDescent="0.3">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3">
      <c r="A23" s="6">
        <v>24</v>
      </c>
      <c r="B23" s="5">
        <v>1</v>
      </c>
      <c r="C23" s="4">
        <v>308</v>
      </c>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3">
      <c r="A24" s="6">
        <v>25</v>
      </c>
      <c r="B24" s="5">
        <v>1</v>
      </c>
      <c r="C24" s="4">
        <v>274</v>
      </c>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3">
      <c r="A25" s="6">
        <v>26</v>
      </c>
      <c r="B25" s="5">
        <v>1</v>
      </c>
      <c r="C25" s="4">
        <v>330</v>
      </c>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3">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3">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3">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3">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3">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3">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3">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3">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3">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3">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3">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3">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3">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3">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3">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3">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3">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3">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3">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3">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3">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3">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3">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3">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3">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3">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3">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3">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3">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3">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3">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3">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3">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3">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3">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3">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3">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3">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3">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3">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3">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3">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3">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3">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3">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3">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3">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3">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3">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3">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3">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3">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3">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3">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3">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3">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3">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3">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3">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3">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3">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3">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3">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3">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3">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3">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3">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3">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3">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3">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3">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3">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3">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3">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3">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3">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3">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3">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3">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3">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3">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3">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3">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3">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3">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3">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3">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3">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3">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3">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3">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3">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3">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3">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3">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3">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3">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3">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3">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3">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3">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3">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3">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3">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3">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3">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3">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3">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3">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3">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3">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3">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3">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3">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3">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3">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3">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3">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3">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3">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3">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3">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3">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3">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3">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3">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3">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3">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3">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3">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3">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3">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3">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3">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3">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3">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3">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3">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3">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3">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3">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3">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3">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3">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3">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3">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3">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3">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3">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3">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3">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3">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3">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3">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3">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3">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3">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3">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3">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3">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3">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3">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3">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3">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3">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3">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3">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3">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3">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3">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3">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3">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3">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3">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3">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3">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3">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3">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3">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3">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3">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3">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3">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3">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3">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3">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3">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3">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3">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3">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3">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3">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3">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3">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3">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3">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3">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3">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3">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3">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3">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3">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3">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3">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3">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3">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3">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3">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3">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3">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3">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3">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3">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3">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3">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3">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3">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3">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3">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3">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3">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3">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3">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3">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3">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3">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3">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3">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3">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3">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3">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3">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3">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3">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3">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3">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3">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3">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3">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3">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3">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3">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3">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3">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3">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3">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3">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3">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3">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3">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3">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3">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3">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3">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3">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3">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3">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3">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3">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3">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3">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3">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3">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3">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3">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3">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3">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3">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3">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3">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3">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3">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3">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3">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3">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3">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3">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3">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3">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3">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3">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3">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3">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3">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3">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3">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3">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3">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3">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3">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3">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3">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3">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3">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3">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3">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3">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3">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3">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3">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3">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3">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3">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3">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3">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3">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3">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3">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3">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3">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3">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3">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3">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3">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3">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3">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3">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3">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3">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3">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3">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3">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3">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3">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3">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3">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3">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3">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3">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3">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3">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3">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3">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3">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3">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3">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3">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3">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3">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3">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3">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3">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3">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3">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3">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3">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3">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3">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3">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3">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3">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3">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3">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3">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3">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3">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3">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3">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3">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3">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3">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3">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3">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3">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3">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3">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3">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3">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3">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3">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3">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3">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3">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3">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3">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3">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3">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3">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3">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3">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3">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3">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3">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3">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3">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3">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3">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3">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3">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3">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3">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3">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3">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3">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3">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3">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3">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3">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3">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3">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3">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3">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3">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3">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3">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3">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3">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3">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3">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3">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3">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3">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3">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3">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3">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3">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3">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3">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3">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3">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3">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3">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3">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3">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3">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3">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3">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3">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3">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3">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3">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3">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3">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3">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3">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3">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3">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3">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3">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3">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3">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3">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3">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3">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3">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3">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3">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3">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3">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3">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3">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3">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3">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3">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3">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3">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3">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3">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3">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3">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3">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3">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3">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3">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3">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3">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3">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3">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3">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3">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3">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3">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3">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3">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D64"/>
  <sheetViews>
    <sheetView topLeftCell="B2" zoomScaleNormal="100" workbookViewId="0">
      <selection activeCell="D27" sqref="D27"/>
    </sheetView>
  </sheetViews>
  <sheetFormatPr defaultColWidth="9.109375" defaultRowHeight="14.4" x14ac:dyDescent="0.3"/>
  <cols>
    <col min="1" max="1" width="0" style="2" hidden="1" customWidth="1"/>
    <col min="2" max="2" width="9.33203125" style="2" customWidth="1"/>
    <col min="3" max="3" width="20.6640625" style="2" customWidth="1"/>
    <col min="4" max="4" width="10.33203125" style="2" customWidth="1"/>
    <col min="5" max="5" width="9.109375" style="2"/>
    <col min="6" max="6" width="3.88671875" style="2" hidden="1" customWidth="1"/>
    <col min="7" max="9" width="0" style="2" hidden="1" customWidth="1"/>
    <col min="10" max="10" width="0" style="95" hidden="1" customWidth="1"/>
    <col min="11" max="11" width="3.88671875" style="96" hidden="1" customWidth="1"/>
    <col min="12" max="14" width="0" style="2" hidden="1" customWidth="1"/>
    <col min="15" max="15" width="0" style="95" hidden="1" customWidth="1"/>
    <col min="16" max="16" width="3.88671875" style="96" hidden="1" customWidth="1"/>
    <col min="17" max="17" width="10.44140625" style="2" hidden="1" customWidth="1"/>
    <col min="18" max="19" width="0" style="2" hidden="1" customWidth="1"/>
    <col min="20" max="20" width="0" style="95" hidden="1" customWidth="1"/>
    <col min="21" max="21" width="3.88671875" style="96" hidden="1" customWidth="1"/>
    <col min="22" max="24" width="0" style="2" hidden="1" customWidth="1"/>
    <col min="25" max="25" width="0" style="95" hidden="1" customWidth="1"/>
    <col min="26" max="26" width="3.88671875" style="96" hidden="1" customWidth="1"/>
    <col min="27" max="29" width="0" style="2" hidden="1" customWidth="1"/>
    <col min="30" max="30" width="0" style="95" hidden="1" customWidth="1"/>
    <col min="31" max="31" width="4.44140625" style="96" hidden="1" customWidth="1"/>
    <col min="32" max="32" width="0" style="2" hidden="1" customWidth="1"/>
    <col min="33" max="16384" width="9.109375" style="2"/>
  </cols>
  <sheetData>
    <row r="1" spans="1:56" hidden="1" x14ac:dyDescent="0.3">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8.600000000000001" thickBot="1" x14ac:dyDescent="0.4">
      <c r="A2" s="129"/>
      <c r="B2" s="262" t="s">
        <v>63</v>
      </c>
      <c r="C2" s="262"/>
      <c r="D2" s="262"/>
      <c r="E2" s="129"/>
      <c r="F2" s="129"/>
      <c r="G2" s="270" t="s">
        <v>64</v>
      </c>
      <c r="H2" s="270"/>
      <c r="I2" s="270"/>
      <c r="J2" s="130"/>
      <c r="K2" s="131"/>
      <c r="L2" s="270" t="s">
        <v>65</v>
      </c>
      <c r="M2" s="270"/>
      <c r="N2" s="270"/>
      <c r="O2" s="130"/>
      <c r="P2" s="131"/>
      <c r="Q2" s="270" t="s">
        <v>66</v>
      </c>
      <c r="R2" s="270"/>
      <c r="S2" s="270"/>
      <c r="T2" s="130"/>
      <c r="U2" s="131"/>
      <c r="V2" s="270" t="s">
        <v>67</v>
      </c>
      <c r="W2" s="270"/>
      <c r="X2" s="270"/>
      <c r="Y2" s="130"/>
      <c r="Z2" s="131"/>
      <c r="AA2" s="270" t="s">
        <v>68</v>
      </c>
      <c r="AB2" s="270"/>
      <c r="AC2" s="270"/>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 thickBot="1" x14ac:dyDescent="0.35">
      <c r="A3" s="129"/>
      <c r="B3" s="263" t="s">
        <v>69</v>
      </c>
      <c r="C3" s="263"/>
      <c r="D3" s="143">
        <f>SUM('8645C Innerduct'!C2:AF499)</f>
        <v>1904</v>
      </c>
      <c r="E3" s="129"/>
      <c r="F3" s="129"/>
      <c r="G3" s="265" t="s">
        <v>70</v>
      </c>
      <c r="H3" s="266"/>
      <c r="I3" s="137" t="str">
        <f>IFERROR(IF(AND(#REF!="Y",#REF!="N"),I4,IF(AND(I4&gt;0,End_Sections!B2="B"),IF(#REF!&lt;1000,I4+10,I4+20),I4)),"")</f>
        <v/>
      </c>
      <c r="J3" s="130"/>
      <c r="K3" s="131"/>
      <c r="L3" s="265" t="s">
        <v>70</v>
      </c>
      <c r="M3" s="266"/>
      <c r="N3" s="137" t="str">
        <f>IFERROR(IF(AND(#REF!="Y",#REF!="N"),N4,IF(AND(N4&gt;0,End_Sections!C2="B"),IF(#REF!&lt;1000,N4+10,N4+20),N4)),"")</f>
        <v/>
      </c>
      <c r="O3" s="130"/>
      <c r="P3" s="131"/>
      <c r="Q3" s="265" t="s">
        <v>70</v>
      </c>
      <c r="R3" s="266"/>
      <c r="S3" s="137" t="str">
        <f>IFERROR(IF(AND(#REF!="Y",#REF!="N"),S4,IF(AND(S4&gt;0,End_Sections!D2="B"),IF(#REF!&lt;1000,S4+10,S4+20),S4)),"")</f>
        <v/>
      </c>
      <c r="T3" s="130"/>
      <c r="U3" s="131"/>
      <c r="V3" s="265" t="s">
        <v>70</v>
      </c>
      <c r="W3" s="266"/>
      <c r="X3" s="137" t="str">
        <f>IFERROR(IF(AND(#REF!="Y",#REF!="N"),X4,IF(AND(X4&gt;0,End_Sections!E2="B"),IF(#REF!&lt;1000,X4+10,X4+20),X4)),"")</f>
        <v/>
      </c>
      <c r="Y3" s="130"/>
      <c r="Z3" s="131"/>
      <c r="AA3" s="265"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 hidden="1" thickBot="1" x14ac:dyDescent="0.35">
      <c r="A4" s="129"/>
      <c r="B4" s="263" t="s">
        <v>71</v>
      </c>
      <c r="C4" s="263"/>
      <c r="D4" s="143">
        <f>D3-(COUNTA('8645C Innerduct'!C2:V499)*4)</f>
        <v>1860</v>
      </c>
      <c r="E4" s="129"/>
      <c r="F4" s="129"/>
      <c r="G4" s="265" t="s">
        <v>72</v>
      </c>
      <c r="H4" s="266"/>
      <c r="I4" s="137" t="str">
        <f>IFERROR(IF(#REF!="","",IF(Aerial!D2="",#REF!,#REF!-(SUM(Aerial!D2,Aerial!D3,End_Sections!B4,End_Sections!B9)))),"")</f>
        <v/>
      </c>
      <c r="J4" s="130"/>
      <c r="K4" s="131"/>
      <c r="L4" s="265" t="s">
        <v>72</v>
      </c>
      <c r="M4" s="266"/>
      <c r="N4" s="137" t="str">
        <f>IFERROR(IF(#REF!="","",IF(Aerial!H2="",#REF!,#REF!-(SUM(Aerial!H2,Aerial!H3,End_Sections!C4,End_Sections!C9)))),"")</f>
        <v/>
      </c>
      <c r="O4" s="130"/>
      <c r="P4" s="131"/>
      <c r="Q4" s="265" t="s">
        <v>72</v>
      </c>
      <c r="R4" s="266"/>
      <c r="S4" s="137" t="str">
        <f>IFERROR(IF(#REF!="","",IF(Aerial!L2="",#REF!,#REF!-(SUM(Aerial!L2,Aerial!L3,End_Sections!D4,End_Sections!D9)))),"")</f>
        <v/>
      </c>
      <c r="T4" s="130"/>
      <c r="U4" s="131"/>
      <c r="V4" s="265" t="s">
        <v>72</v>
      </c>
      <c r="W4" s="266"/>
      <c r="X4" s="137" t="str">
        <f>IFERROR(IF(#REF!="","",IF(Aerial!P2="",#REF!,#REF!-(SUM(Aerial!P2,Aerial!P3,End_Sections!E4,End_Sections!E9)))),"")</f>
        <v/>
      </c>
      <c r="Y4" s="130"/>
      <c r="Z4" s="131"/>
      <c r="AA4" s="265"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 thickBot="1" x14ac:dyDescent="0.35">
      <c r="A5" s="129"/>
      <c r="B5" s="263" t="s">
        <v>73</v>
      </c>
      <c r="C5" s="263"/>
      <c r="D5" s="143">
        <f>SUM('8645C Innerduct'!W2:AF499)</f>
        <v>417</v>
      </c>
      <c r="E5" s="129"/>
      <c r="F5" s="129"/>
      <c r="G5" s="265" t="s">
        <v>71</v>
      </c>
      <c r="H5" s="267"/>
      <c r="I5" s="137" t="str">
        <f>IFERROR(IF(#REF!="","",I4-(SUM(#REF!))-(SUM(End_Sections!B3,End_Sections!B8))),"")</f>
        <v/>
      </c>
      <c r="J5" s="130"/>
      <c r="K5" s="131"/>
      <c r="L5" s="265" t="s">
        <v>71</v>
      </c>
      <c r="M5" s="267"/>
      <c r="N5" s="137" t="str">
        <f>IFERROR(IF(#REF!="","",N4-(SUM(#REF!))-(SUM(End_Sections!C3,End_Sections!C8))),"")</f>
        <v/>
      </c>
      <c r="O5" s="130"/>
      <c r="P5" s="131"/>
      <c r="Q5" s="265" t="s">
        <v>71</v>
      </c>
      <c r="R5" s="267"/>
      <c r="S5" s="137" t="str">
        <f>IFERROR(IF(#REF!="","",S4-(SUM(#REF!))-(SUM(End_Sections!D3,End_Sections!D8))),"")</f>
        <v/>
      </c>
      <c r="T5" s="130"/>
      <c r="U5" s="131"/>
      <c r="V5" s="265" t="s">
        <v>71</v>
      </c>
      <c r="W5" s="267"/>
      <c r="X5" s="137" t="str">
        <f>IFERROR(IF(#REF!="","",X4-(SUM(#REF!))-(SUM(End_Sections!E3,End_Sections!E8))),"")</f>
        <v/>
      </c>
      <c r="Y5" s="130"/>
      <c r="Z5" s="131"/>
      <c r="AA5" s="265"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 hidden="1" thickBot="1" x14ac:dyDescent="0.35">
      <c r="A6" s="129"/>
      <c r="B6" s="263" t="s">
        <v>74</v>
      </c>
      <c r="C6" s="263"/>
      <c r="D6" s="143">
        <f>SUM('8645C Innerduct'!AG2:AP499)</f>
        <v>0</v>
      </c>
      <c r="E6" s="129"/>
      <c r="F6" s="129"/>
      <c r="G6" s="265" t="s">
        <v>75</v>
      </c>
      <c r="H6" s="267"/>
      <c r="I6" s="137" t="str">
        <f>IFERROR(IF(AND(#REF!="Y",#REF!="N"),J6,IF(End_Sections!B2="A",IF(#REF!&lt;1000,J6+10,J6+20),J6)),"")</f>
        <v/>
      </c>
      <c r="J6" s="138" t="e">
        <f>IF(K6=0,"",K6)</f>
        <v>#REF!</v>
      </c>
      <c r="K6" s="131" t="e">
        <f>IF(I$4=0,#REF!,IF(Aerial!D3="",SUM(Aerial!D2,End_Sections!B4,End_Sections!B9),Aerial!D2))</f>
        <v>#REF!</v>
      </c>
      <c r="L6" s="265" t="s">
        <v>75</v>
      </c>
      <c r="M6" s="267"/>
      <c r="N6" s="137" t="str">
        <f>IFERROR(IF(AND(#REF!="Y",#REF!="N"),O6,IF(End_Sections!C2="A",IF(#REF!&lt;1000,O6+10,O6+20),O6)),"")</f>
        <v/>
      </c>
      <c r="O6" s="138" t="e">
        <f>IF(P6=0,"",P6)</f>
        <v>#REF!</v>
      </c>
      <c r="P6" s="131" t="e">
        <f>IF(N$4=0,#REF!,IF(Aerial!H3="",SUM(Aerial!H2,End_Sections!C4,End_Sections!C9),Aerial!H2))</f>
        <v>#REF!</v>
      </c>
      <c r="Q6" s="265" t="s">
        <v>75</v>
      </c>
      <c r="R6" s="267"/>
      <c r="S6" s="137" t="str">
        <f>IFERROR(IF(AND(#REF!="Y",#REF!="N"),T6,IF(End_Sections!D2="A",IF(#REF!&lt;1000,T6+10,T6+20),T6)),"")</f>
        <v/>
      </c>
      <c r="T6" s="138" t="e">
        <f>IF(U6=0,"",U6)</f>
        <v>#REF!</v>
      </c>
      <c r="U6" s="131" t="e">
        <f>IF(S$4=0,#REF!,IF(Aerial!L3="",SUM(Aerial!L2,End_Sections!D4,End_Sections!D9),Aerial!L2))</f>
        <v>#REF!</v>
      </c>
      <c r="V6" s="265" t="s">
        <v>75</v>
      </c>
      <c r="W6" s="267"/>
      <c r="X6" s="137" t="str">
        <f>IFERROR(IF(AND(#REF!="Y",#REF!="N"),Y6,IF(End_Sections!E2="A",IF(#REF!&lt;1000,Y6+10,Y6+20),Y6)),"")</f>
        <v/>
      </c>
      <c r="Y6" s="138" t="e">
        <f>IF(Z6=0,"",Z6)</f>
        <v>#REF!</v>
      </c>
      <c r="Z6" s="131" t="e">
        <f>IF(X$4=0,#REF!,IF(Aerial!P3="",SUM(Aerial!P2,End_Sections!E4,End_Sections!E9),Aerial!P2))</f>
        <v>#REF!</v>
      </c>
      <c r="AA6" s="265"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 thickBot="1" x14ac:dyDescent="0.35">
      <c r="A7" s="129"/>
      <c r="B7" s="263" t="s">
        <v>76</v>
      </c>
      <c r="C7" s="263"/>
      <c r="D7" s="144">
        <f>SUM('8645C Innerduct'!B:B)</f>
        <v>11</v>
      </c>
      <c r="E7" s="129"/>
      <c r="F7" s="129"/>
      <c r="G7" s="265" t="s">
        <v>77</v>
      </c>
      <c r="H7" s="267"/>
      <c r="I7" s="137" t="e">
        <f>J7</f>
        <v>#REF!</v>
      </c>
      <c r="J7" s="138" t="e">
        <f>IF(K7="","",K7)</f>
        <v>#REF!</v>
      </c>
      <c r="K7" s="131" t="e">
        <f>IF(J6="","",IF(Aerial!D3="","",SUM(Aerial!D3,End_Sections!B9)))</f>
        <v>#REF!</v>
      </c>
      <c r="L7" s="265" t="s">
        <v>77</v>
      </c>
      <c r="M7" s="267"/>
      <c r="N7" s="137" t="e">
        <f>O7</f>
        <v>#REF!</v>
      </c>
      <c r="O7" s="138" t="e">
        <f>IF(P7="","",P7)</f>
        <v>#REF!</v>
      </c>
      <c r="P7" s="131" t="e">
        <f>IF(O6="","",IF(Aerial!H3="","",SUM(Aerial!H3,End_Sections!C9)))</f>
        <v>#REF!</v>
      </c>
      <c r="Q7" s="265" t="s">
        <v>77</v>
      </c>
      <c r="R7" s="267"/>
      <c r="S7" s="137" t="e">
        <f>T7</f>
        <v>#REF!</v>
      </c>
      <c r="T7" s="138" t="e">
        <f>IF(U7="","",U7)</f>
        <v>#REF!</v>
      </c>
      <c r="U7" s="131" t="e">
        <f>IF(T6="","",IF(Aerial!L3="","",SUM(Aerial!L3,End_Sections!D9)))</f>
        <v>#REF!</v>
      </c>
      <c r="V7" s="265" t="s">
        <v>77</v>
      </c>
      <c r="W7" s="267"/>
      <c r="X7" s="137" t="e">
        <f>Y7</f>
        <v>#REF!</v>
      </c>
      <c r="Y7" s="138" t="e">
        <f>IF(Z7="","",Z7)</f>
        <v>#REF!</v>
      </c>
      <c r="Z7" s="131" t="e">
        <f>IF(Y6="","",IF(Aerial!P3="","",SUM(Aerial!P3,End_Sections!E9)))</f>
        <v>#REF!</v>
      </c>
      <c r="AA7" s="265"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3">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3">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 thickBot="1" x14ac:dyDescent="0.35">
      <c r="A10" s="129"/>
      <c r="B10" s="129"/>
      <c r="C10" s="129"/>
      <c r="D10" s="129"/>
      <c r="E10" s="129"/>
      <c r="F10" s="129"/>
      <c r="G10" s="270" t="s">
        <v>78</v>
      </c>
      <c r="H10" s="270"/>
      <c r="I10" s="270"/>
      <c r="J10" s="130"/>
      <c r="K10" s="131"/>
      <c r="L10" s="270" t="s">
        <v>79</v>
      </c>
      <c r="M10" s="270"/>
      <c r="N10" s="270"/>
      <c r="O10" s="130"/>
      <c r="P10" s="131"/>
      <c r="Q10" s="270" t="s">
        <v>80</v>
      </c>
      <c r="R10" s="270"/>
      <c r="S10" s="270"/>
      <c r="T10" s="130"/>
      <c r="U10" s="131"/>
      <c r="V10" s="270" t="s">
        <v>81</v>
      </c>
      <c r="W10" s="270"/>
      <c r="X10" s="270"/>
      <c r="Y10" s="130"/>
      <c r="Z10" s="131"/>
      <c r="AA10" s="270" t="s">
        <v>82</v>
      </c>
      <c r="AB10" s="270"/>
      <c r="AC10" s="270"/>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8.600000000000001" thickBot="1" x14ac:dyDescent="0.4">
      <c r="A11" s="129"/>
      <c r="B11" s="262" t="s">
        <v>83</v>
      </c>
      <c r="C11" s="262"/>
      <c r="D11" s="262"/>
      <c r="E11" s="129"/>
      <c r="F11" s="129"/>
      <c r="G11" s="265" t="s">
        <v>70</v>
      </c>
      <c r="H11" s="266"/>
      <c r="I11" s="137" t="str">
        <f>IFERROR(IF(AND(#REF!="Y",#REF!="N"),I12,IF(AND(I12&gt;0,End_Sections!G2="B"),IF(#REF!&lt;1000,I12+10,I12+20),I12)),"")</f>
        <v/>
      </c>
      <c r="J11" s="130"/>
      <c r="K11" s="131"/>
      <c r="L11" s="265" t="s">
        <v>70</v>
      </c>
      <c r="M11" s="266"/>
      <c r="N11" s="137" t="str">
        <f>IFERROR(IF(AND(#REF!="Y",#REF!="N"),N12,IF(AND(N12&gt;0,End_Sections!H2="B"),IF(#REF!&lt;1000,N12+10,N12+20),N12)),"")</f>
        <v/>
      </c>
      <c r="O11" s="130"/>
      <c r="P11" s="131"/>
      <c r="Q11" s="265" t="s">
        <v>70</v>
      </c>
      <c r="R11" s="266"/>
      <c r="S11" s="137" t="str">
        <f>IFERROR(IF(AND(#REF!="Y",#REF!="N"),S12,IF(AND(S12&gt;0,End_Sections!I2="B"),IF(#REF!&lt;1000,S12+10,S12+20),S12)),"")</f>
        <v/>
      </c>
      <c r="T11" s="130"/>
      <c r="U11" s="131"/>
      <c r="V11" s="265" t="s">
        <v>70</v>
      </c>
      <c r="W11" s="266"/>
      <c r="X11" s="137" t="str">
        <f>IFERROR(IF(AND(#REF!="Y",#REF!="N"),X12,IF(AND(X12&gt;0,End_Sections!J2="B"),IF(#REF!&lt;1000,X12+10,X12+20),X12)),"")</f>
        <v/>
      </c>
      <c r="Y11" s="130"/>
      <c r="Z11" s="131"/>
      <c r="AA11" s="265"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 thickBot="1" x14ac:dyDescent="0.35">
      <c r="A12" s="129"/>
      <c r="B12" s="271" t="s">
        <v>84</v>
      </c>
      <c r="C12" s="271"/>
      <c r="D12" s="144">
        <f>Data!E2</f>
        <v>67</v>
      </c>
      <c r="E12" s="129"/>
      <c r="F12" s="129"/>
      <c r="G12" s="265" t="s">
        <v>72</v>
      </c>
      <c r="H12" s="266"/>
      <c r="I12" s="137" t="str">
        <f>IFERROR(IF(#REF!="","",IF(Aerial!X2="",#REF!,#REF!-(SUM(Aerial!X2,Aerial!X3,,End_Sections!G4,End_Sections!G9)))),"")</f>
        <v/>
      </c>
      <c r="J12" s="130"/>
      <c r="K12" s="131"/>
      <c r="L12" s="265" t="s">
        <v>72</v>
      </c>
      <c r="M12" s="266"/>
      <c r="N12" s="137" t="str">
        <f>IFERROR(IF(#REF!="","",IF(Aerial!AB2="",#REF!,#REF!-(SUM(Aerial!AB2,Aerial!AB3,End_Sections!H4,End_Sections!H9)))),"")</f>
        <v/>
      </c>
      <c r="O12" s="130"/>
      <c r="P12" s="131"/>
      <c r="Q12" s="265" t="s">
        <v>72</v>
      </c>
      <c r="R12" s="266"/>
      <c r="S12" s="137" t="str">
        <f>IFERROR(IF(#REF!="","",IF(Aerial!AF2="",#REF!,#REF!-(SUM(Aerial!AF2,Aerial!AF3,End_Sections!I4,End_Sections!I9)))),"")</f>
        <v/>
      </c>
      <c r="T12" s="130"/>
      <c r="U12" s="131"/>
      <c r="V12" s="265" t="s">
        <v>72</v>
      </c>
      <c r="W12" s="266"/>
      <c r="X12" s="137" t="str">
        <f>IFERROR(IF(#REF!="","",IF(Aerial!AJ2="",#REF!,#REF!-(SUM(Aerial!AJ2,Aerial!AJ3,End_Sections!J4,End_Sections!J9)))),"")</f>
        <v/>
      </c>
      <c r="Y12" s="130"/>
      <c r="Z12" s="131"/>
      <c r="AA12" s="265"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 thickBot="1" x14ac:dyDescent="0.35">
      <c r="A13" s="129"/>
      <c r="B13" s="271" t="s">
        <v>85</v>
      </c>
      <c r="C13" s="271"/>
      <c r="D13" s="144">
        <f>Data!E3</f>
        <v>0</v>
      </c>
      <c r="E13" s="129"/>
      <c r="F13" s="129"/>
      <c r="G13" s="265" t="s">
        <v>71</v>
      </c>
      <c r="H13" s="267"/>
      <c r="I13" s="137" t="str">
        <f>IFERROR(IF(#REF!="","",I12-(SUM(#REF!))-(SUM(End_Sections!G3,End_Sections!G8))),"")</f>
        <v/>
      </c>
      <c r="J13" s="130"/>
      <c r="K13" s="131"/>
      <c r="L13" s="265" t="s">
        <v>71</v>
      </c>
      <c r="M13" s="267"/>
      <c r="N13" s="137" t="str">
        <f>IFERROR(IF(#REF!="","",N12-(SUM(#REF!))-(SUM(End_Sections!H3,End_Sections!H8))),"")</f>
        <v/>
      </c>
      <c r="O13" s="130"/>
      <c r="P13" s="131"/>
      <c r="Q13" s="265" t="s">
        <v>71</v>
      </c>
      <c r="R13" s="267"/>
      <c r="S13" s="137" t="str">
        <f>IFERROR(IF(#REF!="","",S12-(SUM(#REF!))-(SUM(End_Sections!I3,End_Sections!I8))),"")</f>
        <v/>
      </c>
      <c r="T13" s="130"/>
      <c r="U13" s="131"/>
      <c r="V13" s="265" t="s">
        <v>71</v>
      </c>
      <c r="W13" s="267"/>
      <c r="X13" s="137" t="str">
        <f>IFERROR(IF(#REF!="","",X12-(SUM(#REF!))-(SUM(End_Sections!J3,End_Sections!J8))),"")</f>
        <v/>
      </c>
      <c r="Y13" s="130"/>
      <c r="Z13" s="131"/>
      <c r="AA13" s="265"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 thickBot="1" x14ac:dyDescent="0.35">
      <c r="A14" s="129"/>
      <c r="B14" s="271" t="s">
        <v>86</v>
      </c>
      <c r="C14" s="271"/>
      <c r="D14" s="144">
        <f>Data!E4</f>
        <v>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 thickBot="1" x14ac:dyDescent="0.35">
      <c r="A15" s="129"/>
      <c r="B15" s="271" t="s">
        <v>87</v>
      </c>
      <c r="C15" s="271"/>
      <c r="D15" s="144">
        <f>Data!E5</f>
        <v>0</v>
      </c>
      <c r="E15" s="129"/>
      <c r="F15" s="129"/>
      <c r="G15" s="265" t="s">
        <v>75</v>
      </c>
      <c r="H15" s="267"/>
      <c r="I15" s="137" t="str">
        <f>IFERROR(IF(AND(#REF!="Y",#REF!="N"),J15,IF(End_Sections!G2="A",IF(#REF!&lt;1000,J15+10,J15+20),J15)),"")</f>
        <v/>
      </c>
      <c r="J15" s="138" t="e">
        <f>IF(K15=0,"",K15)</f>
        <v>#REF!</v>
      </c>
      <c r="K15" s="131" t="e">
        <f>IF(I$12=0,#REF!,IF(Aerial!X3="",SUM(Aerial!X2,End_Sections!G4,End_Sections!G9),Aerial!X2))</f>
        <v>#REF!</v>
      </c>
      <c r="L15" s="265" t="s">
        <v>75</v>
      </c>
      <c r="M15" s="267"/>
      <c r="N15" s="137" t="str">
        <f>IFERROR(IF(AND(#REF!="Y",#REF!="N"),O15,IF(End_Sections!H2="A",IF(#REF!&lt;1000,O15+10,O15+20),O15)),"")</f>
        <v/>
      </c>
      <c r="O15" s="138" t="e">
        <f>IF(P15=0,"",P15)</f>
        <v>#REF!</v>
      </c>
      <c r="P15" s="131" t="e">
        <f>IF(N$12=0,#REF!,IF(Aerial!AB3="",SUM(Aerial!AB2,End_Sections!H4,End_Sections!H9),Aerial!AB2))</f>
        <v>#REF!</v>
      </c>
      <c r="Q15" s="265" t="s">
        <v>75</v>
      </c>
      <c r="R15" s="267"/>
      <c r="S15" s="137" t="str">
        <f>IFERROR(IF(AND(#REF!="Y",#REF!="N"),T15,IF(End_Sections!I2="A",IF(#REF!&lt;1000,T15+10,T15+20),T15)),"")</f>
        <v/>
      </c>
      <c r="T15" s="138" t="e">
        <f>IF(U15=0,"",U15)</f>
        <v>#REF!</v>
      </c>
      <c r="U15" s="131" t="e">
        <f>IF(S$12=0,#REF!,IF(Aerial!AF3="",SUM(Aerial!AF2,End_Sections!I4,End_Sections!I9),Aerial!AF2))</f>
        <v>#REF!</v>
      </c>
      <c r="V15" s="265" t="s">
        <v>75</v>
      </c>
      <c r="W15" s="267"/>
      <c r="X15" s="137" t="str">
        <f>IFERROR(IF(AND(#REF!="Y",#REF!="N"),Y15,IF(End_Sections!J2="A",IF(#REF!&lt;1000,Y15+10,Y15+20),Y15)),"")</f>
        <v/>
      </c>
      <c r="Y15" s="138" t="e">
        <f>IF(Z15=0,"",Z15)</f>
        <v>#REF!</v>
      </c>
      <c r="Z15" s="131" t="e">
        <f>IF(X$12=0,#REF!,IF(Aerial!AJ3="",SUM(Aerial!AJ2,End_Sections!J4,End_Sections!J9),Aerial!AJ2))</f>
        <v>#REF!</v>
      </c>
      <c r="AA15" s="265"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 thickBot="1" x14ac:dyDescent="0.35">
      <c r="A16" s="129"/>
      <c r="B16" s="129"/>
      <c r="C16" s="129"/>
      <c r="D16" s="129"/>
      <c r="E16" s="129"/>
      <c r="F16" s="129"/>
      <c r="G16" s="265" t="s">
        <v>70</v>
      </c>
      <c r="H16" s="266"/>
      <c r="I16" s="137" t="str">
        <f>IFERROR(IF(AND(#REF!="Y",#REF!="N"),I17,IF(AND(I17&gt;0,End_Sections!L2="B"),IF(#REF!&lt;1000,I17+10,I17+20),I17)),"")</f>
        <v/>
      </c>
      <c r="J16" s="130"/>
      <c r="K16" s="131"/>
      <c r="L16" s="265" t="s">
        <v>70</v>
      </c>
      <c r="M16" s="266"/>
      <c r="N16" s="137" t="str">
        <f>IFERROR(IF(AND(#REF!="Y",#REF!="N"),N17,IF(AND(N17&gt;0,End_Sections!M2="B"),IF(#REF!&lt;1000,N17+10,N17+20),N17)),"")</f>
        <v/>
      </c>
      <c r="O16" s="130"/>
      <c r="P16" s="131"/>
      <c r="Q16" s="265" t="s">
        <v>70</v>
      </c>
      <c r="R16" s="266"/>
      <c r="S16" s="137" t="str">
        <f>IFERROR(IF(AND(#REF!="Y",#REF!="N"),S17,IF(AND(S17&gt;0,End_Sections!N2="B"),IF(#REF!&lt;1000,S17+10,S17+20),S17)),"")</f>
        <v/>
      </c>
      <c r="T16" s="130"/>
      <c r="U16" s="131"/>
      <c r="V16" s="265" t="s">
        <v>70</v>
      </c>
      <c r="W16" s="266"/>
      <c r="X16" s="137" t="str">
        <f>IFERROR(IF(AND(#REF!="Y",#REF!="N"),X17,IF(AND(X17&gt;0,End_Sections!O2="B"),IF(#REF!&lt;1000,X17+10,X17+20),X17)),"")</f>
        <v/>
      </c>
      <c r="Y16" s="130"/>
      <c r="Z16" s="131"/>
      <c r="AA16" s="265"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 hidden="1" thickBot="1" x14ac:dyDescent="0.35">
      <c r="A17" s="129"/>
      <c r="B17" s="129"/>
      <c r="C17" s="129"/>
      <c r="D17" s="129"/>
      <c r="E17" s="129"/>
      <c r="F17" s="129"/>
      <c r="G17" s="265" t="s">
        <v>72</v>
      </c>
      <c r="H17" s="266"/>
      <c r="I17" s="137" t="str">
        <f>IFERROR(IF(#REF!="","",IF(Aerial!AR2="",#REF!,#REF!-(SUM(Aerial!AR2,Aerial!AR3,End_Sections!L4,End_Sections!L9)))),"")</f>
        <v/>
      </c>
      <c r="J17" s="130"/>
      <c r="K17" s="131"/>
      <c r="L17" s="265" t="s">
        <v>72</v>
      </c>
      <c r="M17" s="266"/>
      <c r="N17" s="137" t="str">
        <f>IFERROR(IF(#REF!="","",IF(Aerial!AV2="",#REF!,#REF!-(SUM(Aerial!AV2,Aerial!AV3,End_Sections!M4,End_Sections!M9)))),"")</f>
        <v/>
      </c>
      <c r="O17" s="130"/>
      <c r="P17" s="131"/>
      <c r="Q17" s="265" t="s">
        <v>72</v>
      </c>
      <c r="R17" s="266"/>
      <c r="S17" s="137" t="str">
        <f>IFERROR(IF(#REF!="","",IF(Aerial!AZ2="",#REF!,#REF!-(SUM(Aerial!AZ2,Aerial!AZ3,End_Sections!N4,End_Sections!N9)))),"")</f>
        <v/>
      </c>
      <c r="T17" s="130"/>
      <c r="U17" s="131"/>
      <c r="V17" s="265" t="s">
        <v>72</v>
      </c>
      <c r="W17" s="266"/>
      <c r="X17" s="137" t="str">
        <f>IFERROR(IF(#REF!="","",IF(Aerial!BD2="",#REF!,#REF!-(SUM(Aerial!BD2,Aerial!BD3,End_Sections!O4,End_Sections!O9)))),"")</f>
        <v/>
      </c>
      <c r="Y17" s="130"/>
      <c r="Z17" s="131"/>
      <c r="AA17" s="265"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 thickBot="1" x14ac:dyDescent="0.35">
      <c r="A18" s="129"/>
      <c r="B18" s="129"/>
      <c r="C18" s="129"/>
      <c r="D18" s="129"/>
      <c r="E18" s="129"/>
      <c r="F18" s="129"/>
      <c r="G18" s="265" t="s">
        <v>71</v>
      </c>
      <c r="H18" s="267"/>
      <c r="I18" s="137" t="str">
        <f>IFERROR(IF(#REF!="","",I17-(SUM(#REF!))-(SUM(End_Sections!L3,End_Sections!L8))),"")</f>
        <v/>
      </c>
      <c r="J18" s="130"/>
      <c r="K18" s="131"/>
      <c r="L18" s="265" t="s">
        <v>71</v>
      </c>
      <c r="M18" s="267"/>
      <c r="N18" s="137" t="str">
        <f>IFERROR(IF(#REF!="","",N17-(SUM(#REF!))-(SUM(End_Sections!M3,End_Sections!M8))),"")</f>
        <v/>
      </c>
      <c r="O18" s="130"/>
      <c r="P18" s="131"/>
      <c r="Q18" s="265" t="s">
        <v>71</v>
      </c>
      <c r="R18" s="267"/>
      <c r="S18" s="137" t="str">
        <f>IFERROR(IF(#REF!="","",S17-(SUM(#REF!))-(SUM(End_Sections!N3,End_Sections!N8))),"")</f>
        <v/>
      </c>
      <c r="T18" s="130"/>
      <c r="U18" s="131"/>
      <c r="V18" s="265" t="s">
        <v>71</v>
      </c>
      <c r="W18" s="267"/>
      <c r="X18" s="137" t="str">
        <f>IFERROR(IF(#REF!="","",X17-(SUM(#REF!))-(SUM(End_Sections!O3,End_Sections!O8))),"")</f>
        <v/>
      </c>
      <c r="Y18" s="130"/>
      <c r="Z18" s="131"/>
      <c r="AA18" s="265"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8.600000000000001" thickBot="1" x14ac:dyDescent="0.4">
      <c r="A19" s="129"/>
      <c r="B19" s="262" t="s">
        <v>88</v>
      </c>
      <c r="C19" s="262"/>
      <c r="D19" s="262"/>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 thickBot="1" x14ac:dyDescent="0.35">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 thickBot="1" x14ac:dyDescent="0.35">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 thickBot="1" x14ac:dyDescent="0.35">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 thickBot="1" x14ac:dyDescent="0.35">
      <c r="A23" s="129"/>
      <c r="B23" s="129"/>
      <c r="C23" s="129"/>
      <c r="D23" s="129"/>
      <c r="E23" s="129"/>
      <c r="F23" s="129"/>
      <c r="G23" s="265" t="s">
        <v>77</v>
      </c>
      <c r="H23" s="267"/>
      <c r="I23" s="137" t="e">
        <f>J23</f>
        <v>#REF!</v>
      </c>
      <c r="J23" s="138" t="e">
        <f>IF(K23=0,"",K23)</f>
        <v>#REF!</v>
      </c>
      <c r="K23" s="131" t="e">
        <f>IF(#REF!="","",IF(Aerial!AR3="","",SUM(Aerial!AR3,End_Sections!L9)))</f>
        <v>#REF!</v>
      </c>
      <c r="L23" s="265" t="s">
        <v>77</v>
      </c>
      <c r="M23" s="267"/>
      <c r="N23" s="137" t="e">
        <f>O23</f>
        <v>#REF!</v>
      </c>
      <c r="O23" s="138" t="e">
        <f>IF(P23=0,"",P23)</f>
        <v>#REF!</v>
      </c>
      <c r="P23" s="131" t="e">
        <f>IF(#REF!="","",IF(Aerial!AV3="","",SUM(Aerial!AV3,End_Sections!M9)))</f>
        <v>#REF!</v>
      </c>
      <c r="Q23" s="265" t="s">
        <v>77</v>
      </c>
      <c r="R23" s="267"/>
      <c r="S23" s="137" t="e">
        <f>T23</f>
        <v>#REF!</v>
      </c>
      <c r="T23" s="138" t="e">
        <f>IF(U23=0,"",U23)</f>
        <v>#REF!</v>
      </c>
      <c r="U23" s="131" t="e">
        <f>IF(#REF!="","",IF(Aerial!AZ3="","",SUM(Aerial!AZ3,End_Sections!N9)))</f>
        <v>#REF!</v>
      </c>
      <c r="V23" s="265" t="s">
        <v>77</v>
      </c>
      <c r="W23" s="267"/>
      <c r="X23" s="137" t="e">
        <f>Y23</f>
        <v>#REF!</v>
      </c>
      <c r="Y23" s="138" t="e">
        <f>IF(Z23=0,"",Z23)</f>
        <v>#REF!</v>
      </c>
      <c r="Z23" s="131" t="e">
        <f>IF(#REF!="","",IF(Aerial!BD3="","",SUM(Aerial!BD3,End_Sections!O9)))</f>
        <v>#REF!</v>
      </c>
      <c r="AA23" s="265"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 x14ac:dyDescent="0.35">
      <c r="A24" s="129"/>
      <c r="B24" s="272" t="s">
        <v>92</v>
      </c>
      <c r="C24" s="272"/>
      <c r="D24" s="27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3">
      <c r="A25" s="129"/>
      <c r="B25" s="263" t="s">
        <v>93</v>
      </c>
      <c r="C25" s="263"/>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 thickBot="1" x14ac:dyDescent="0.35">
      <c r="A26" s="129"/>
      <c r="B26" s="264" t="s">
        <v>94</v>
      </c>
      <c r="C26" s="264"/>
      <c r="D26" s="145"/>
      <c r="E26" s="129"/>
      <c r="F26" s="129"/>
      <c r="G26" s="270" t="s">
        <v>95</v>
      </c>
      <c r="H26" s="270"/>
      <c r="I26" s="270"/>
      <c r="J26" s="130"/>
      <c r="K26" s="131"/>
      <c r="L26" s="270" t="s">
        <v>96</v>
      </c>
      <c r="M26" s="270"/>
      <c r="N26" s="270"/>
      <c r="O26" s="130"/>
      <c r="P26" s="131"/>
      <c r="Q26" s="270" t="s">
        <v>97</v>
      </c>
      <c r="R26" s="270"/>
      <c r="S26" s="270"/>
      <c r="T26" s="130"/>
      <c r="U26" s="131"/>
      <c r="V26" s="270" t="s">
        <v>98</v>
      </c>
      <c r="W26" s="270"/>
      <c r="X26" s="270"/>
      <c r="Y26" s="130"/>
      <c r="Z26" s="131"/>
      <c r="AA26" s="270" t="s">
        <v>99</v>
      </c>
      <c r="AB26" s="270"/>
      <c r="AC26" s="270"/>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 thickBot="1" x14ac:dyDescent="0.35">
      <c r="A27" s="129"/>
      <c r="B27" s="263" t="s">
        <v>100</v>
      </c>
      <c r="C27" s="263"/>
      <c r="D27" s="145"/>
      <c r="E27" s="129"/>
      <c r="F27" s="129"/>
      <c r="G27" s="265" t="s">
        <v>70</v>
      </c>
      <c r="H27" s="266"/>
      <c r="I27" s="137" t="str">
        <f>IFERROR(IF(AND(#REF!="Y",#REF!="N"),#REF!,IF(AND(#REF!&gt;0,End_Sections!Q2="B"),IF(#REF!&lt;1000,#REF!+10,#REF!+20),#REF!)),"")</f>
        <v/>
      </c>
      <c r="J27" s="130"/>
      <c r="K27" s="131"/>
      <c r="L27" s="265" t="s">
        <v>70</v>
      </c>
      <c r="M27" s="266"/>
      <c r="N27" s="137" t="str">
        <f>IFERROR(IF(AND(#REF!="Y",#REF!="N"),#REF!,IF(AND(#REF!&gt;0,End_Sections!R2="B"),IF(#REF!&lt;1000,#REF!+10,#REF!+20),#REF!)),"")</f>
        <v/>
      </c>
      <c r="O27" s="130"/>
      <c r="P27" s="131"/>
      <c r="Q27" s="265" t="s">
        <v>70</v>
      </c>
      <c r="R27" s="266"/>
      <c r="S27" s="137" t="str">
        <f>IFERROR(IF(AND(#REF!="Y",#REF!="N"),#REF!,IF(AND(#REF!&gt;0,End_Sections!S2="B"),IF(#REF!&lt;1000,#REF!+10,#REF!+20),#REF!)),"")</f>
        <v/>
      </c>
      <c r="T27" s="130"/>
      <c r="U27" s="131"/>
      <c r="V27" s="265" t="s">
        <v>70</v>
      </c>
      <c r="W27" s="266"/>
      <c r="X27" s="137" t="str">
        <f>IFERROR(IF(AND(#REF!="Y",#REF!="N"),#REF!,IF(AND(#REF!&gt;0,End_Sections!T2="B"),IF(#REF!&lt;1000,#REF!+10,#REF!+20),#REF!)),"")</f>
        <v/>
      </c>
      <c r="Y27" s="130"/>
      <c r="Z27" s="131"/>
      <c r="AA27" s="265"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 thickBot="1" x14ac:dyDescent="0.35">
      <c r="A28" s="129"/>
      <c r="B28" s="264" t="s">
        <v>101</v>
      </c>
      <c r="C28" s="264"/>
      <c r="D28" s="145"/>
      <c r="E28" s="129"/>
      <c r="F28" s="129"/>
      <c r="G28" s="265" t="s">
        <v>71</v>
      </c>
      <c r="H28" s="267"/>
      <c r="I28" s="137" t="str">
        <f>IFERROR(IF(#REF!="","",#REF!-(SUM(#REF!))-(SUM(End_Sections!Q3,End_Sections!Q8))),"")</f>
        <v/>
      </c>
      <c r="J28" s="130"/>
      <c r="K28" s="131"/>
      <c r="L28" s="265" t="s">
        <v>71</v>
      </c>
      <c r="M28" s="267"/>
      <c r="N28" s="137" t="str">
        <f>IFERROR(IF(#REF!="","",#REF!-(SUM(#REF!))-(SUM(End_Sections!R3,End_Sections!R8))),"")</f>
        <v/>
      </c>
      <c r="O28" s="130"/>
      <c r="P28" s="131"/>
      <c r="Q28" s="265" t="s">
        <v>71</v>
      </c>
      <c r="R28" s="267"/>
      <c r="S28" s="137" t="str">
        <f>IFERROR(IF(#REF!="","",#REF!-(SUM(#REF!))-(SUM(End_Sections!S3,End_Sections!S8))),"")</f>
        <v/>
      </c>
      <c r="T28" s="130"/>
      <c r="U28" s="131"/>
      <c r="V28" s="265" t="s">
        <v>71</v>
      </c>
      <c r="W28" s="267"/>
      <c r="X28" s="137" t="str">
        <f>IFERROR(IF(#REF!="","",#REF!-(SUM(#REF!))-(SUM(End_Sections!T3,End_Sections!T8))),"")</f>
        <v/>
      </c>
      <c r="Y28" s="130"/>
      <c r="Z28" s="131"/>
      <c r="AA28" s="265"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 thickBot="1" x14ac:dyDescent="0.35">
      <c r="A29" s="129"/>
      <c r="B29" s="264" t="s">
        <v>102</v>
      </c>
      <c r="C29" s="264"/>
      <c r="D29" s="145"/>
      <c r="E29" s="129"/>
      <c r="F29" s="129"/>
      <c r="G29" s="265" t="s">
        <v>75</v>
      </c>
      <c r="H29" s="267"/>
      <c r="I29" s="137" t="str">
        <f>IFERROR(IF(AND(#REF!="Y",#REF!="N"),J29,IF(End_Sections!Q2="A",IF(#REF!&lt;1000,J29+10,J29+20),J29)),"")</f>
        <v/>
      </c>
      <c r="J29" s="138" t="e">
        <f>IF(K29=0,"",K29)</f>
        <v>#REF!</v>
      </c>
      <c r="K29" s="131" t="e">
        <f>IF(#REF!=0,#REF!,IF(Aerial!BL3="",SUM(Aerial!BL2,End_Sections!Q4,End_Sections!Q9),Aerial!BL2))</f>
        <v>#REF!</v>
      </c>
      <c r="L29" s="265" t="s">
        <v>75</v>
      </c>
      <c r="M29" s="267"/>
      <c r="N29" s="137" t="str">
        <f>IFERROR(IF(AND(#REF!="Y",#REF!="N"),O29,IF(End_Sections!R2="A",IF(#REF!&lt;1000,O29+10,O29+20),O29)),"")</f>
        <v/>
      </c>
      <c r="O29" s="138" t="e">
        <f>IF(P29=0,"",P29)</f>
        <v>#REF!</v>
      </c>
      <c r="P29" s="131" t="e">
        <f>IF(#REF!=0,#REF!,IF(Aerial!BP3="",SUM(Aerial!BP2,End_Sections!R4,End_Sections!R9),Aerial!BP2))</f>
        <v>#REF!</v>
      </c>
      <c r="Q29" s="265" t="s">
        <v>75</v>
      </c>
      <c r="R29" s="267"/>
      <c r="S29" s="137" t="str">
        <f>IFERROR(IF(AND(#REF!="Y",#REF!="N"),T29,IF(End_Sections!S2="A",IF(#REF!&lt;1000,T29+10,T29+20),T29)),"")</f>
        <v/>
      </c>
      <c r="T29" s="138" t="e">
        <f>IF(U29=0,"",U29)</f>
        <v>#REF!</v>
      </c>
      <c r="U29" s="131" t="e">
        <f>IF(#REF!=0,#REF!,IF(Aerial!BT3="",SUM(Aerial!BT2,End_Sections!S4,End_Sections!S9),Aerial!BT2))</f>
        <v>#REF!</v>
      </c>
      <c r="V29" s="265" t="s">
        <v>75</v>
      </c>
      <c r="W29" s="267"/>
      <c r="X29" s="137" t="str">
        <f>IFERROR(IF(AND(#REF!="Y",#REF!="N"),Y29,IF(End_Sections!T2="A",IF(#REF!&lt;1000,Y29+10,Y29+20),Y29)),"")</f>
        <v/>
      </c>
      <c r="Y29" s="138" t="e">
        <f>IF(Z29=0,"",Z29)</f>
        <v>#REF!</v>
      </c>
      <c r="Z29" s="131" t="e">
        <f>IF(#REF!=0,#REF!,IF(Aerial!BX3="",SUM(Aerial!BX2,End_Sections!T4,End_Sections!T9),Aerial!BX2))</f>
        <v>#REF!</v>
      </c>
      <c r="AA29" s="265"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 thickBot="1" x14ac:dyDescent="0.35">
      <c r="A30" s="129"/>
      <c r="B30" s="269"/>
      <c r="C30" s="269"/>
      <c r="D30" s="269"/>
      <c r="E30" s="129"/>
      <c r="F30" s="129"/>
      <c r="G30" s="265" t="s">
        <v>77</v>
      </c>
      <c r="H30" s="267"/>
      <c r="I30" s="137" t="e">
        <f>J30</f>
        <v>#REF!</v>
      </c>
      <c r="J30" s="138" t="e">
        <f>IF(K30=0,"",K30)</f>
        <v>#REF!</v>
      </c>
      <c r="K30" s="131" t="e">
        <f>IF(J29="","",IF(Aerial!BL3="","",SUM(Aerial!BL3,End_Sections!Q9)))</f>
        <v>#REF!</v>
      </c>
      <c r="L30" s="265" t="s">
        <v>77</v>
      </c>
      <c r="M30" s="267"/>
      <c r="N30" s="137" t="e">
        <f>O30</f>
        <v>#REF!</v>
      </c>
      <c r="O30" s="138" t="e">
        <f>IF(P30=0,"",P30)</f>
        <v>#REF!</v>
      </c>
      <c r="P30" s="131" t="e">
        <f>IF(O29="","",IF(Aerial!BP3="","",SUM(Aerial!BP3,End_Sections!R9)))</f>
        <v>#REF!</v>
      </c>
      <c r="Q30" s="265" t="s">
        <v>77</v>
      </c>
      <c r="R30" s="267"/>
      <c r="S30" s="137" t="e">
        <f>T30</f>
        <v>#REF!</v>
      </c>
      <c r="T30" s="138" t="e">
        <f>IF(U30=0,"",U30)</f>
        <v>#REF!</v>
      </c>
      <c r="U30" s="131" t="e">
        <f>IF(T29="","",IF(Aerial!BT3="","",SUM(Aerial!BT3,End_Sections!S9)))</f>
        <v>#REF!</v>
      </c>
      <c r="V30" s="265" t="s">
        <v>77</v>
      </c>
      <c r="W30" s="267"/>
      <c r="X30" s="137" t="e">
        <f>Y30</f>
        <v>#REF!</v>
      </c>
      <c r="Y30" s="138" t="e">
        <f>IF(Z30=0,"",Z30)</f>
        <v>#REF!</v>
      </c>
      <c r="Z30" s="131" t="e">
        <f>IF(Y29="","",IF(Aerial!BX3="","",SUM(Aerial!BX3,End_Sections!T9)))</f>
        <v>#REF!</v>
      </c>
      <c r="AA30" s="265"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3">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3">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 thickBot="1" x14ac:dyDescent="0.35">
      <c r="A33" s="129"/>
      <c r="B33" s="129"/>
      <c r="C33" s="129"/>
      <c r="D33" s="129"/>
      <c r="E33" s="129"/>
      <c r="F33" s="142"/>
      <c r="G33" s="270" t="s">
        <v>103</v>
      </c>
      <c r="H33" s="270"/>
      <c r="I33" s="270"/>
      <c r="J33" s="130"/>
      <c r="K33" s="131"/>
      <c r="L33" s="270" t="s">
        <v>104</v>
      </c>
      <c r="M33" s="270"/>
      <c r="N33" s="270"/>
      <c r="O33" s="130"/>
      <c r="P33" s="131"/>
      <c r="Q33" s="270" t="s">
        <v>105</v>
      </c>
      <c r="R33" s="270"/>
      <c r="S33" s="270"/>
      <c r="T33" s="130"/>
      <c r="U33" s="131"/>
      <c r="V33" s="270" t="s">
        <v>106</v>
      </c>
      <c r="W33" s="270"/>
      <c r="X33" s="270"/>
      <c r="Y33" s="130"/>
      <c r="Z33" s="131"/>
      <c r="AA33" s="270" t="s">
        <v>107</v>
      </c>
      <c r="AB33" s="270"/>
      <c r="AC33" s="270"/>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 thickBot="1" x14ac:dyDescent="0.35">
      <c r="A34" s="129"/>
      <c r="B34" s="129"/>
      <c r="C34" s="129"/>
      <c r="D34" s="129"/>
      <c r="E34" s="129"/>
      <c r="F34" s="142"/>
      <c r="G34" s="265" t="s">
        <v>70</v>
      </c>
      <c r="H34" s="266"/>
      <c r="I34" s="137" t="str">
        <f>IFERROR(IF(AND(#REF!="Y",#REF!="N"),I35,IF(AND(I35&gt;0,End_Sections!V2="B"),IF(#REF!&lt;1000,I35+10,I35+20),I35)),"")</f>
        <v/>
      </c>
      <c r="J34" s="130"/>
      <c r="K34" s="131"/>
      <c r="L34" s="265" t="s">
        <v>70</v>
      </c>
      <c r="M34" s="266"/>
      <c r="N34" s="137" t="str">
        <f>IFERROR(IF(AND(#REF!="Y",#REF!="N"),N35,IF(AND(N35&gt;0,End_Sections!W2="B"),IF(#REF!&lt;1000,N35+10,N35+20),N35)),"")</f>
        <v/>
      </c>
      <c r="O34" s="130"/>
      <c r="P34" s="131"/>
      <c r="Q34" s="265" t="s">
        <v>70</v>
      </c>
      <c r="R34" s="266"/>
      <c r="S34" s="137" t="str">
        <f>IFERROR(IF(AND(#REF!="Y",#REF!="N"),S35,IF(AND(S35&gt;0,End_Sections!X2="B"),IF(#REF!&lt;1000,S35+10,S35+20),S35)),"")</f>
        <v/>
      </c>
      <c r="T34" s="130"/>
      <c r="U34" s="131"/>
      <c r="V34" s="265" t="s">
        <v>70</v>
      </c>
      <c r="W34" s="266"/>
      <c r="X34" s="137" t="str">
        <f>IFERROR(IF(AND(#REF!="Y",#REF!="N"),X35,IF(AND(X35&gt;0,End_Sections!Y2="B"),IF(#REF!&lt;1000,X35+10,X35+20),X35)),"")</f>
        <v/>
      </c>
      <c r="Y34" s="130"/>
      <c r="Z34" s="131"/>
      <c r="AA34" s="265"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 thickBot="1" x14ac:dyDescent="0.35">
      <c r="A35" s="129"/>
      <c r="B35" s="129"/>
      <c r="C35" s="129"/>
      <c r="D35" s="129"/>
      <c r="E35" s="129"/>
      <c r="F35" s="142"/>
      <c r="G35" s="265" t="s">
        <v>72</v>
      </c>
      <c r="H35" s="266"/>
      <c r="I35" s="137" t="str">
        <f>IFERROR(IF(#REF!="","",IF(Aerial!CF2="",#REF!,#REF!-(SUM(Aerial!CF2,Aerial!CF3,End_Sections!V4,End_Sections!V9)))),"")</f>
        <v/>
      </c>
      <c r="J35" s="130"/>
      <c r="K35" s="131"/>
      <c r="L35" s="265" t="s">
        <v>72</v>
      </c>
      <c r="M35" s="266"/>
      <c r="N35" s="137" t="str">
        <f>IFERROR(IF(#REF!="","",IF(Aerial!CJ2="",#REF!,#REF!-(SUM(Aerial!CJ2,Aerial!CJ3,End_Sections!W4,End_Sections!W9)))),"")</f>
        <v/>
      </c>
      <c r="O35" s="130"/>
      <c r="P35" s="131"/>
      <c r="Q35" s="265" t="s">
        <v>72</v>
      </c>
      <c r="R35" s="266"/>
      <c r="S35" s="137" t="str">
        <f>IFERROR(IF(#REF!="","",IF(Aerial!CN2="",#REF!,#REF!-(SUM(Aerial!CN2,Aerial!CN3,End_Sections!X4,End_Sections!X9)))),"")</f>
        <v/>
      </c>
      <c r="T35" s="130"/>
      <c r="U35" s="131"/>
      <c r="V35" s="265" t="s">
        <v>72</v>
      </c>
      <c r="W35" s="266"/>
      <c r="X35" s="137" t="str">
        <f>IFERROR(IF(#REF!="","",IF(Aerial!CR2="",#REF!,#REF!-(SUM(Aerial!CR2,Aerial!CR3,End_Sections!Y4,End_Sections!Y9)))),"")</f>
        <v/>
      </c>
      <c r="Y35" s="130"/>
      <c r="Z35" s="131"/>
      <c r="AA35" s="265"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 thickBot="1" x14ac:dyDescent="0.35">
      <c r="A36" s="129"/>
      <c r="B36" s="129"/>
      <c r="C36" s="129"/>
      <c r="D36" s="129"/>
      <c r="E36" s="129"/>
      <c r="F36" s="142"/>
      <c r="G36" s="265" t="s">
        <v>71</v>
      </c>
      <c r="H36" s="267"/>
      <c r="I36" s="137" t="str">
        <f>IFERROR(IF(#REF!="","",I35-(SUM(#REF!))-(SUM(End_Sections!V3,End_Sections!V8))),"")</f>
        <v/>
      </c>
      <c r="J36" s="130"/>
      <c r="K36" s="131"/>
      <c r="L36" s="265" t="s">
        <v>71</v>
      </c>
      <c r="M36" s="267"/>
      <c r="N36" s="137" t="str">
        <f>IFERROR(IF(#REF!="","",N35-(SUM(#REF!))-(SUM(End_Sections!W3,End_Sections!W8))),"")</f>
        <v/>
      </c>
      <c r="O36" s="130"/>
      <c r="P36" s="131"/>
      <c r="Q36" s="265" t="s">
        <v>71</v>
      </c>
      <c r="R36" s="267"/>
      <c r="S36" s="137" t="str">
        <f>IFERROR(IF(#REF!="","",S35-(SUM(#REF!))-(SUM(End_Sections!X3,End_Sections!X8))),"")</f>
        <v/>
      </c>
      <c r="T36" s="130"/>
      <c r="U36" s="131"/>
      <c r="V36" s="265" t="s">
        <v>71</v>
      </c>
      <c r="W36" s="267"/>
      <c r="X36" s="137" t="str">
        <f>IFERROR(IF(#REF!="","",X35-(SUM(#REF!))-(SUM(End_Sections!Y3,End_Sections!Y8))),"")</f>
        <v/>
      </c>
      <c r="Y36" s="130"/>
      <c r="Z36" s="131"/>
      <c r="AA36" s="265"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 thickBot="1" x14ac:dyDescent="0.35">
      <c r="A37" s="129"/>
      <c r="B37" s="129"/>
      <c r="C37" s="129"/>
      <c r="D37" s="129"/>
      <c r="E37" s="129"/>
      <c r="F37" s="142"/>
      <c r="G37" s="265" t="s">
        <v>75</v>
      </c>
      <c r="H37" s="267"/>
      <c r="I37" s="137" t="str">
        <f>IFERROR(IF(AND(#REF!="Y",#REF!="N"),J37,IF(End_Sections!V2="A",IF(#REF!&lt;1000,J37+10,J37+20),J37)),"")</f>
        <v/>
      </c>
      <c r="J37" s="138" t="e">
        <f>IF(K37=0,"",K37)</f>
        <v>#REF!</v>
      </c>
      <c r="K37" s="131" t="e">
        <f>IF(I35=0,#REF!,IF(Aerial!CF3="",SUM(Aerial!CF2,End_Sections!V4,End_Sections!V9),Aerial!CF2))</f>
        <v>#REF!</v>
      </c>
      <c r="L37" s="265" t="s">
        <v>75</v>
      </c>
      <c r="M37" s="267"/>
      <c r="N37" s="137" t="str">
        <f>IFERROR(IF(AND(#REF!="Y",#REF!="N"),O37,IF(End_Sections!W2="A",IF(#REF!&lt;1000,O37+10,O37+20),O37)),"")</f>
        <v/>
      </c>
      <c r="O37" s="138" t="e">
        <f>IF(P37=0,"",P37)</f>
        <v>#REF!</v>
      </c>
      <c r="P37" s="131" t="e">
        <f>IF(N35=0,#REF!,IF(Aerial!CJ3="",SUM(Aerial!CJ2,End_Sections!W4,End_Sections!W9),Aerial!CJ2))</f>
        <v>#REF!</v>
      </c>
      <c r="Q37" s="265" t="s">
        <v>75</v>
      </c>
      <c r="R37" s="267"/>
      <c r="S37" s="137" t="str">
        <f>IFERROR(IF(AND(#REF!="Y",#REF!="N"),T37,IF(End_Sections!X2="A",IF(#REF!&lt;1000,T37+10,T37+20),T37)),"")</f>
        <v/>
      </c>
      <c r="T37" s="138" t="e">
        <f>IF(U37=0,"",U37)</f>
        <v>#REF!</v>
      </c>
      <c r="U37" s="131" t="e">
        <f>IF(S35=0,#REF!,IF(Aerial!CN3="",SUM(Aerial!CN2,End_Sections!X4,End_Sections!X9),Aerial!CN2))</f>
        <v>#REF!</v>
      </c>
      <c r="V37" s="265" t="s">
        <v>75</v>
      </c>
      <c r="W37" s="267"/>
      <c r="X37" s="137" t="str">
        <f>IFERROR(IF(AND(#REF!="Y",#REF!="N"),Y37,IF(End_Sections!Y2="A",IF(#REF!&lt;1000,Y37+10,Y37+20),Y37)),"")</f>
        <v/>
      </c>
      <c r="Y37" s="138" t="e">
        <f>IF(Z37=0,"",Z37)</f>
        <v>#REF!</v>
      </c>
      <c r="Z37" s="131" t="e">
        <f>IF(X35=0,#REF!,IF(Aerial!CR3="",SUM(Aerial!CR2,End_Sections!Y4,End_Sections!Y9),Aerial!CR2))</f>
        <v>#REF!</v>
      </c>
      <c r="AA37" s="265"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 thickBot="1" x14ac:dyDescent="0.35">
      <c r="A38" s="129"/>
      <c r="B38" s="129"/>
      <c r="C38" s="129"/>
      <c r="D38" s="129"/>
      <c r="E38" s="129"/>
      <c r="F38" s="142"/>
      <c r="G38" s="265" t="s">
        <v>77</v>
      </c>
      <c r="H38" s="267"/>
      <c r="I38" s="137" t="e">
        <f>J38</f>
        <v>#REF!</v>
      </c>
      <c r="J38" s="138" t="e">
        <f>IF(K38="","",K38)</f>
        <v>#REF!</v>
      </c>
      <c r="K38" s="131" t="e">
        <f>IF(J37="","",IF(Aerial!CF3="","",SUM(Aerial!CF3,End_Sections!V9)))</f>
        <v>#REF!</v>
      </c>
      <c r="L38" s="265" t="s">
        <v>77</v>
      </c>
      <c r="M38" s="267"/>
      <c r="N38" s="137" t="e">
        <f>O38</f>
        <v>#REF!</v>
      </c>
      <c r="O38" s="138" t="e">
        <f>IF(P38="","",P38)</f>
        <v>#REF!</v>
      </c>
      <c r="P38" s="131" t="e">
        <f>IF(O37="","",IF(Aerial!CJ3="","",SUM(Aerial!CJ3,End_Sections!W9)))</f>
        <v>#REF!</v>
      </c>
      <c r="Q38" s="265" t="s">
        <v>77</v>
      </c>
      <c r="R38" s="267"/>
      <c r="S38" s="137" t="e">
        <f>T38</f>
        <v>#REF!</v>
      </c>
      <c r="T38" s="138" t="e">
        <f>IF(U38="","",U38)</f>
        <v>#REF!</v>
      </c>
      <c r="U38" s="131" t="e">
        <f>IF(T37="","",IF(Aerial!CN3="","",SUM(Aerial!CN3,End_Sections!X9)))</f>
        <v>#REF!</v>
      </c>
      <c r="V38" s="265" t="s">
        <v>77</v>
      </c>
      <c r="W38" s="267"/>
      <c r="X38" s="137" t="e">
        <f>Y38</f>
        <v>#REF!</v>
      </c>
      <c r="Y38" s="138" t="e">
        <f>IF(Z38="","",Z38)</f>
        <v>#REF!</v>
      </c>
      <c r="Z38" s="131" t="e">
        <f>IF(Y37="","",IF(Aerial!CR3="","",SUM(Aerial!CR3,End_Sections!Y9)))</f>
        <v>#REF!</v>
      </c>
      <c r="AA38" s="265"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3">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3">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 thickBot="1" x14ac:dyDescent="0.35">
      <c r="A41" s="129"/>
      <c r="B41" s="129"/>
      <c r="C41" s="129"/>
      <c r="D41" s="129"/>
      <c r="E41" s="129"/>
      <c r="F41" s="142"/>
      <c r="G41" s="270" t="s">
        <v>108</v>
      </c>
      <c r="H41" s="270"/>
      <c r="I41" s="270"/>
      <c r="J41" s="130"/>
      <c r="K41" s="131"/>
      <c r="L41" s="270" t="s">
        <v>109</v>
      </c>
      <c r="M41" s="270"/>
      <c r="N41" s="270"/>
      <c r="O41" s="130"/>
      <c r="P41" s="131"/>
      <c r="Q41" s="270" t="s">
        <v>110</v>
      </c>
      <c r="R41" s="270"/>
      <c r="S41" s="270"/>
      <c r="T41" s="130"/>
      <c r="U41" s="131"/>
      <c r="V41" s="270" t="s">
        <v>111</v>
      </c>
      <c r="W41" s="270"/>
      <c r="X41" s="270"/>
      <c r="Y41" s="130"/>
      <c r="Z41" s="131"/>
      <c r="AA41" s="270" t="s">
        <v>112</v>
      </c>
      <c r="AB41" s="270"/>
      <c r="AC41" s="270"/>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 thickBot="1" x14ac:dyDescent="0.35">
      <c r="A42" s="129"/>
      <c r="B42" s="129"/>
      <c r="C42" s="129"/>
      <c r="D42" s="129"/>
      <c r="E42" s="129"/>
      <c r="F42" s="142"/>
      <c r="G42" s="265" t="s">
        <v>70</v>
      </c>
      <c r="H42" s="266"/>
      <c r="I42" s="137" t="str">
        <f>IFERROR(IF(AND(#REF!="Y",#REF!="N"),I43,IF(AND(I43&gt;0,End_Sections!AA2="B"),IF(#REF!&lt;1000,I43+10,I43+20),I43)),"")</f>
        <v/>
      </c>
      <c r="J42" s="130"/>
      <c r="K42" s="131"/>
      <c r="L42" s="265" t="s">
        <v>70</v>
      </c>
      <c r="M42" s="266"/>
      <c r="N42" s="137" t="str">
        <f>IFERROR(IF(AND(#REF!="Y",#REF!="N"),N43,IF(AND(N43&gt;0,End_Sections!AB2="B"),IF(#REF!&lt;1000,N43+10,N43+20),N43)),"")</f>
        <v/>
      </c>
      <c r="O42" s="130"/>
      <c r="P42" s="131"/>
      <c r="Q42" s="265" t="s">
        <v>70</v>
      </c>
      <c r="R42" s="266"/>
      <c r="S42" s="137" t="str">
        <f>IFERROR(IF(AND(#REF!="Y",#REF!="N"),S43,IF(AND(S43&gt;0,End_Sections!AC2="B"),IF(#REF!&lt;1000,S43+10,S43+20),S43)),"")</f>
        <v/>
      </c>
      <c r="T42" s="130"/>
      <c r="U42" s="131"/>
      <c r="V42" s="265" t="s">
        <v>70</v>
      </c>
      <c r="W42" s="266"/>
      <c r="X42" s="137" t="str">
        <f>IFERROR(IF(AND(#REF!="Y",#REF!="N"),X43,IF(AND(X43&gt;0,End_Sections!AD2="B"),IF(#REF!&lt;1000,X43+10,X43+20),X43)),"")</f>
        <v/>
      </c>
      <c r="Y42" s="130"/>
      <c r="Z42" s="131"/>
      <c r="AA42" s="265"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 thickBot="1" x14ac:dyDescent="0.35">
      <c r="A43" s="129"/>
      <c r="B43" s="129"/>
      <c r="C43" s="129"/>
      <c r="D43" s="129"/>
      <c r="E43" s="129"/>
      <c r="F43" s="142"/>
      <c r="G43" s="265" t="s">
        <v>72</v>
      </c>
      <c r="H43" s="266"/>
      <c r="I43" s="137" t="str">
        <f>IFERROR(IF(#REF!="","",IF(Aerial!CZ2="",#REF!,#REF!-(SUM(Aerial!CZ2,Aerial!CZ3,End_Sections!AA4,End_Sections!AA9)))),"")</f>
        <v/>
      </c>
      <c r="J43" s="130"/>
      <c r="K43" s="131"/>
      <c r="L43" s="265" t="s">
        <v>72</v>
      </c>
      <c r="M43" s="266"/>
      <c r="N43" s="137" t="str">
        <f>IFERROR(IF(#REF!="","",IF(Aerial!DD2="",#REF!,#REF!-(SUM(Aerial!DD2,Aerial!DD3,End_Sections!AB4,End_Sections!AB9)))),"")</f>
        <v/>
      </c>
      <c r="O43" s="130"/>
      <c r="P43" s="131"/>
      <c r="Q43" s="265" t="s">
        <v>72</v>
      </c>
      <c r="R43" s="266"/>
      <c r="S43" s="137" t="str">
        <f>IFERROR(IF(#REF!="","",IF(Aerial!DH2="",#REF!,#REF!-(SUM(Aerial!DH2,Aerial!DH3,End_Sections!AC4,End_Sections!AC9)))),"")</f>
        <v/>
      </c>
      <c r="T43" s="130"/>
      <c r="U43" s="131"/>
      <c r="V43" s="265" t="s">
        <v>72</v>
      </c>
      <c r="W43" s="266"/>
      <c r="X43" s="137" t="str">
        <f>IFERROR(IF(#REF!="","",IF(Aerial!DN2="",#REF!,#REF!-(SUM(Aerial!DL2,Aerial!DL3,End_Sections!AD4,End_Sections!AD9)))),"")</f>
        <v/>
      </c>
      <c r="Y43" s="130"/>
      <c r="Z43" s="131"/>
      <c r="AA43" s="265"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 thickBot="1" x14ac:dyDescent="0.35">
      <c r="A44" s="129"/>
      <c r="B44" s="129"/>
      <c r="C44" s="129"/>
      <c r="D44" s="129"/>
      <c r="E44" s="129"/>
      <c r="F44" s="142"/>
      <c r="G44" s="265" t="s">
        <v>71</v>
      </c>
      <c r="H44" s="267"/>
      <c r="I44" s="137" t="str">
        <f>IFERROR(IF(#REF!="","",I43-(SUM(#REF!))-(SUM(End_Sections!AA3,End_Sections!AA8))),"")</f>
        <v/>
      </c>
      <c r="J44" s="130"/>
      <c r="K44" s="131"/>
      <c r="L44" s="265" t="s">
        <v>71</v>
      </c>
      <c r="M44" s="267"/>
      <c r="N44" s="137" t="str">
        <f>IFERROR(IF(#REF!="","",N43-(SUM(#REF!))-(SUM(End_Sections!AB3,End_Sections!AB8))),"")</f>
        <v/>
      </c>
      <c r="O44" s="130"/>
      <c r="P44" s="131"/>
      <c r="Q44" s="265" t="s">
        <v>71</v>
      </c>
      <c r="R44" s="267"/>
      <c r="S44" s="137" t="str">
        <f>IFERROR(IF(#REF!="","",S43-(SUM(#REF!))-(SUM(End_Sections!AC3,End_Sections!AC8))),"")</f>
        <v/>
      </c>
      <c r="T44" s="130"/>
      <c r="U44" s="131"/>
      <c r="V44" s="265" t="s">
        <v>71</v>
      </c>
      <c r="W44" s="267"/>
      <c r="X44" s="137" t="str">
        <f>IFERROR(IF(#REF!="","",X43-(SUM(#REF!))-(SUM(End_Sections!AD3,End_Sections!AD8))),"")</f>
        <v/>
      </c>
      <c r="Y44" s="130"/>
      <c r="Z44" s="131"/>
      <c r="AA44" s="265"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 thickBot="1" x14ac:dyDescent="0.35">
      <c r="A45" s="129"/>
      <c r="B45" s="129"/>
      <c r="C45" s="129"/>
      <c r="D45" s="129"/>
      <c r="E45" s="129"/>
      <c r="F45" s="142"/>
      <c r="G45" s="265" t="s">
        <v>75</v>
      </c>
      <c r="H45" s="267"/>
      <c r="I45" s="137" t="str">
        <f>IFERROR(IF(AND(#REF!="Y",#REF!="N"),J45,IF(End_Sections!AA2="A",IF(#REF!&lt;1000,J45+10,J45+20),J45)),"")</f>
        <v/>
      </c>
      <c r="J45" s="138" t="e">
        <f>IF(K45=0,"",K45)</f>
        <v>#REF!</v>
      </c>
      <c r="K45" s="131" t="e">
        <f>IF(I43=0,#REF!,IF(Aerial!CZ3="",SUM(Aerial!CZ2,End_Sections!AA4,End_Sections!AA9),Aerial!CZ2))</f>
        <v>#REF!</v>
      </c>
      <c r="L45" s="265" t="s">
        <v>75</v>
      </c>
      <c r="M45" s="267"/>
      <c r="N45" s="137" t="str">
        <f>IFERROR(IF(AND(#REF!="Y",#REF!="N"),O45,IF(End_Sections!AB2="A",IF(#REF!&lt;1000,O45+10,O45+20),O45)),"")</f>
        <v/>
      </c>
      <c r="O45" s="138" t="e">
        <f>IF(P45=0,"",P45)</f>
        <v>#REF!</v>
      </c>
      <c r="P45" s="131" t="e">
        <f>IF(N43=0,#REF!,IF(Aerial!DD3="",SUM(Aerial!DD2,End_Sections!AB4,End_Sections!AB9),Aerial!DD2))</f>
        <v>#REF!</v>
      </c>
      <c r="Q45" s="265" t="s">
        <v>75</v>
      </c>
      <c r="R45" s="267"/>
      <c r="S45" s="137" t="str">
        <f>IFERROR(IF(AND(#REF!="Y",#REF!="N"),T45,IF(End_Sections!AC2="A",IF(#REF!&lt;1000,T45+10,T45+20),T45)),"")</f>
        <v/>
      </c>
      <c r="T45" s="138" t="e">
        <f>IF(U45=0,"",U45)</f>
        <v>#REF!</v>
      </c>
      <c r="U45" s="131" t="e">
        <f>IF(S43=0,#REF!,IF(Aerial!DH3="",SUM(Aerial!DH2,End_Sections!AC4,End_Sections!AC9),Aerial!DH2))</f>
        <v>#REF!</v>
      </c>
      <c r="V45" s="265" t="s">
        <v>75</v>
      </c>
      <c r="W45" s="267"/>
      <c r="X45" s="137" t="str">
        <f>IFERROR(IF(AND(#REF!="Y",#REF!="N"),Y45,IF(End_Sections!AD2="A",IF(#REF!&lt;1000,Y45+10,Y45+20),Y45)),"")</f>
        <v/>
      </c>
      <c r="Y45" s="138" t="e">
        <f>IF(Z45=0,"",Z45)</f>
        <v>#REF!</v>
      </c>
      <c r="Z45" s="131" t="e">
        <f>IF(X43=0,#REF!,IF(Aerial!DL3="",SUM(Aerial!DL2,End_Sections!AD4,End_Sections!AD9),Aerial!DL2))</f>
        <v>#REF!</v>
      </c>
      <c r="AA45" s="265"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 thickBot="1" x14ac:dyDescent="0.35">
      <c r="A46" s="129"/>
      <c r="B46" s="129"/>
      <c r="C46" s="129"/>
      <c r="D46" s="129"/>
      <c r="E46" s="129"/>
      <c r="F46" s="142"/>
      <c r="G46" s="265" t="s">
        <v>77</v>
      </c>
      <c r="H46" s="267"/>
      <c r="I46" s="137" t="e">
        <f>J46</f>
        <v>#REF!</v>
      </c>
      <c r="J46" s="138" t="e">
        <f>IF(K46=0,"",K46)</f>
        <v>#REF!</v>
      </c>
      <c r="K46" s="131" t="e">
        <f>IF(J45="","",IF(Aerial!CZ3="","",SUM(Aerial!CZ3,End_Sections!AA9)))</f>
        <v>#REF!</v>
      </c>
      <c r="L46" s="265" t="s">
        <v>77</v>
      </c>
      <c r="M46" s="267"/>
      <c r="N46" s="137" t="e">
        <f>O46</f>
        <v>#REF!</v>
      </c>
      <c r="O46" s="138" t="e">
        <f>IF(P46=0,"",P46)</f>
        <v>#REF!</v>
      </c>
      <c r="P46" s="131" t="e">
        <f>IF(O45="","",IF(Aerial!DD3="","",SUM(Aerial!DD3,End_Sections!AB9)))</f>
        <v>#REF!</v>
      </c>
      <c r="Q46" s="265" t="s">
        <v>77</v>
      </c>
      <c r="R46" s="267"/>
      <c r="S46" s="137" t="e">
        <f>T46</f>
        <v>#REF!</v>
      </c>
      <c r="T46" s="138" t="e">
        <f>IF(U46=0,"",U46)</f>
        <v>#REF!</v>
      </c>
      <c r="U46" s="131" t="e">
        <f>IF(T45="","",IF(Aerial!DH3="","",SUM(Aerial!DH3,End_Sections!AC9)))</f>
        <v>#REF!</v>
      </c>
      <c r="V46" s="265" t="s">
        <v>77</v>
      </c>
      <c r="W46" s="267"/>
      <c r="X46" s="137" t="e">
        <f>Y46</f>
        <v>#REF!</v>
      </c>
      <c r="Y46" s="138" t="e">
        <f>IF(Z46=0,"",Z46)</f>
        <v>#REF!</v>
      </c>
      <c r="Z46" s="131" t="e">
        <f>IF(Y45="","",IF(Aerial!DL3="","",SUM(Aerial!DL3,End_Sections!AD9)))</f>
        <v>#REF!</v>
      </c>
      <c r="AA46" s="265"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3">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3">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 thickBot="1" x14ac:dyDescent="0.35">
      <c r="A49" s="129"/>
      <c r="B49" s="129"/>
      <c r="C49" s="129"/>
      <c r="D49" s="129"/>
      <c r="E49" s="129"/>
      <c r="F49" s="142"/>
      <c r="G49" s="270" t="s">
        <v>113</v>
      </c>
      <c r="H49" s="270"/>
      <c r="I49" s="270"/>
      <c r="J49" s="130"/>
      <c r="K49" s="131"/>
      <c r="L49" s="270" t="s">
        <v>114</v>
      </c>
      <c r="M49" s="270"/>
      <c r="N49" s="270"/>
      <c r="O49" s="130"/>
      <c r="P49" s="131"/>
      <c r="Q49" s="270" t="s">
        <v>115</v>
      </c>
      <c r="R49" s="270"/>
      <c r="S49" s="270"/>
      <c r="T49" s="130"/>
      <c r="U49" s="131"/>
      <c r="V49" s="270" t="s">
        <v>116</v>
      </c>
      <c r="W49" s="270"/>
      <c r="X49" s="270"/>
      <c r="Y49" s="130"/>
      <c r="Z49" s="131"/>
      <c r="AA49" s="270" t="s">
        <v>117</v>
      </c>
      <c r="AB49" s="270"/>
      <c r="AC49" s="270"/>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 thickBot="1" x14ac:dyDescent="0.35">
      <c r="A50" s="129"/>
      <c r="B50" s="129"/>
      <c r="C50" s="129"/>
      <c r="D50" s="129"/>
      <c r="E50" s="129"/>
      <c r="F50" s="142"/>
      <c r="G50" s="265" t="s">
        <v>70</v>
      </c>
      <c r="H50" s="266"/>
      <c r="I50" s="137" t="str">
        <f>IFERROR(IF(AND(#REF!="Y",#REF!="N"),I51,IF(AND(I51&gt;0,End_Sections!AF2="B"),IF(#REF!&lt;1000,I51+10,I51+20),I51)),"")</f>
        <v/>
      </c>
      <c r="J50" s="130"/>
      <c r="K50" s="131"/>
      <c r="L50" s="265" t="s">
        <v>70</v>
      </c>
      <c r="M50" s="266"/>
      <c r="N50" s="137" t="str">
        <f>IFERROR(IF(AND(#REF!="Y",#REF!="N"),N51,IF(AND(N51&gt;0,End_Sections!AG2="B"),IF(#REF!&lt;1000,N51+10,N51+20),N51)),"")</f>
        <v/>
      </c>
      <c r="O50" s="130"/>
      <c r="P50" s="131"/>
      <c r="Q50" s="265" t="s">
        <v>70</v>
      </c>
      <c r="R50" s="266"/>
      <c r="S50" s="137" t="str">
        <f>IFERROR(IF(AND(#REF!="Y",#REF!="N"),S51,IF(AND(S51&gt;0,End_Sections!AH2="B"),IF(#REF!&lt;1000,S51+10,S51+20),S51)),"")</f>
        <v/>
      </c>
      <c r="T50" s="130"/>
      <c r="U50" s="131"/>
      <c r="V50" s="265" t="s">
        <v>70</v>
      </c>
      <c r="W50" s="266"/>
      <c r="X50" s="137" t="str">
        <f>IFERROR(IF(AND(#REF!="Y",#REF!="N"),X51,IF(AND(X51&gt;0,End_Sections!AI2="B"),IF(#REF!&lt;1000,X51+10,X51+20),X51)),"")</f>
        <v/>
      </c>
      <c r="Y50" s="130"/>
      <c r="Z50" s="131"/>
      <c r="AA50" s="265"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 thickBot="1" x14ac:dyDescent="0.35">
      <c r="A51" s="129"/>
      <c r="B51" s="129"/>
      <c r="C51" s="129"/>
      <c r="D51" s="129"/>
      <c r="E51" s="129"/>
      <c r="F51" s="142"/>
      <c r="G51" s="265" t="s">
        <v>72</v>
      </c>
      <c r="H51" s="266"/>
      <c r="I51" s="137" t="str">
        <f>IFERROR(IF(#REF!="","",IF(Aerial!DT2="",#REF!,#REF!-(SUM(Aerial!DT2,Aerial!DT3,End_Sections!AF4,End_Sections!AF9)))),"")</f>
        <v/>
      </c>
      <c r="J51" s="130"/>
      <c r="K51" s="131"/>
      <c r="L51" s="265" t="s">
        <v>72</v>
      </c>
      <c r="M51" s="266"/>
      <c r="N51" s="137" t="str">
        <f>IFERROR(IF(#REF!="","",IF(Aerial!DX2="",#REF!,#REF!-(SUM(Aerial!DX2,Aerial!DX3,End_Sections!AG4,End_Sections!AG9)))),"")</f>
        <v/>
      </c>
      <c r="O51" s="130"/>
      <c r="P51" s="131"/>
      <c r="Q51" s="265" t="s">
        <v>72</v>
      </c>
      <c r="R51" s="266"/>
      <c r="S51" s="137" t="str">
        <f>IFERROR(IF(#REF!="","",IF(Aerial!EB2="",#REF!,#REF!-(SUM(Aerial!EB2,Aerial!EB3,End_Sections!AH4,End_Sections!AH9)))),"")</f>
        <v/>
      </c>
      <c r="T51" s="130"/>
      <c r="U51" s="131"/>
      <c r="V51" s="265" t="s">
        <v>72</v>
      </c>
      <c r="W51" s="266"/>
      <c r="X51" s="137" t="str">
        <f>IFERROR(IF(#REF!="","",IF(Aerial!EF2="",#REF!,#REF!-(SUM(Aerial!EF2,Aerial!EF3,End_Sections!AI4,End_Sections!AI9)))),"")</f>
        <v/>
      </c>
      <c r="Y51" s="130"/>
      <c r="Z51" s="131"/>
      <c r="AA51" s="265"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 thickBot="1" x14ac:dyDescent="0.35">
      <c r="A52" s="129"/>
      <c r="B52" s="129"/>
      <c r="C52" s="129"/>
      <c r="D52" s="129"/>
      <c r="E52" s="129"/>
      <c r="F52" s="142"/>
      <c r="G52" s="265" t="s">
        <v>71</v>
      </c>
      <c r="H52" s="267"/>
      <c r="I52" s="137" t="str">
        <f>IFERROR(IF(#REF!="","",I51-(SUM(#REF!))-(SUM(End_Sections!AF3,End_Sections!AF8))),"")</f>
        <v/>
      </c>
      <c r="J52" s="130"/>
      <c r="K52" s="131"/>
      <c r="L52" s="265" t="s">
        <v>71</v>
      </c>
      <c r="M52" s="267"/>
      <c r="N52" s="137" t="str">
        <f>IFERROR(IF(#REF!="","",N51-(SUM(#REF!))-(SUM(End_Sections!AG3,End_Sections!AG8))),"")</f>
        <v/>
      </c>
      <c r="O52" s="130"/>
      <c r="P52" s="131"/>
      <c r="Q52" s="265" t="s">
        <v>71</v>
      </c>
      <c r="R52" s="267"/>
      <c r="S52" s="137" t="str">
        <f>IFERROR(IF(#REF!="","",S51-(SUM(#REF!))-(SUM(End_Sections!AH3,End_Sections!AH8))),"")</f>
        <v/>
      </c>
      <c r="T52" s="130"/>
      <c r="U52" s="131"/>
      <c r="V52" s="265" t="s">
        <v>71</v>
      </c>
      <c r="W52" s="267"/>
      <c r="X52" s="137" t="str">
        <f>IFERROR(IF(#REF!="","",X51-(SUM(#REF!))-(SUM(End_Sections!AI3,End_Sections!AI8))),"")</f>
        <v/>
      </c>
      <c r="Y52" s="130"/>
      <c r="Z52" s="131"/>
      <c r="AA52" s="265"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 thickBot="1" x14ac:dyDescent="0.35">
      <c r="A53" s="129"/>
      <c r="B53" s="129"/>
      <c r="C53" s="129"/>
      <c r="D53" s="129"/>
      <c r="E53" s="129"/>
      <c r="F53" s="142"/>
      <c r="G53" s="265" t="s">
        <v>75</v>
      </c>
      <c r="H53" s="267"/>
      <c r="I53" s="137" t="str">
        <f>IFERROR(IF(AND(#REF!="Y",#REF!="N"),J53,IF(End_Sections!AF2="A",IF(#REF!&lt;1000,J53+10,J53+20),J53)),"")</f>
        <v/>
      </c>
      <c r="J53" s="138" t="e">
        <f>IF(K53=0,"",K53)</f>
        <v>#REF!</v>
      </c>
      <c r="K53" s="131" t="e">
        <f>IF(I51=0,#REF!,IF(Aerial!DT3="",SUM(Aerial!DT2,End_Sections!AF4,End_Sections!AF9),Aerial!DT2))</f>
        <v>#REF!</v>
      </c>
      <c r="L53" s="265" t="s">
        <v>75</v>
      </c>
      <c r="M53" s="267"/>
      <c r="N53" s="137" t="str">
        <f>IFERROR(IF(AND(#REF!="Y",#REF!="N"),O53,IF(End_Sections!AG2="A",IF(#REF!&lt;1000,O53+10,O53+20),O53)),"")</f>
        <v/>
      </c>
      <c r="O53" s="138" t="e">
        <f>IF(P53=0,"",P53)</f>
        <v>#REF!</v>
      </c>
      <c r="P53" s="131" t="e">
        <f>IF(N51=0,#REF!,IF(Aerial!DX3="",SUM(Aerial!DX2,End_Sections!AG4,End_Sections!AG9),Aerial!DX2))</f>
        <v>#REF!</v>
      </c>
      <c r="Q53" s="265" t="s">
        <v>75</v>
      </c>
      <c r="R53" s="267"/>
      <c r="S53" s="137" t="str">
        <f>IFERROR(IF(AND(#REF!="Y",#REF!="N"),T53,IF(End_Sections!AH2="A",IF(#REF!&lt;1000,T53+10,T53+20),T53)),"")</f>
        <v/>
      </c>
      <c r="T53" s="138" t="e">
        <f>IF(U53=0,"",U53)</f>
        <v>#REF!</v>
      </c>
      <c r="U53" s="131" t="e">
        <f>IF(S51=0,#REF!,IF(Aerial!EB3="",SUM(Aerial!EB2,End_Sections!AH4,End_Sections!AH9),Aerial!EB2))</f>
        <v>#REF!</v>
      </c>
      <c r="V53" s="265" t="s">
        <v>75</v>
      </c>
      <c r="W53" s="267"/>
      <c r="X53" s="137" t="str">
        <f>IFERROR(IF(AND(#REF!="Y",#REF!="N"),Y53,IF(End_Sections!AI2="A",IF(#REF!&lt;1000,Y53+10,Y53+20),Y53)),"")</f>
        <v/>
      </c>
      <c r="Y53" s="138" t="e">
        <f>IF(Z53=0,"",Z53)</f>
        <v>#REF!</v>
      </c>
      <c r="Z53" s="131" t="e">
        <f>IF(X51=0,#REF!,IF(Aerial!EF3="",SUM(Aerial!EF2,End_Sections!AI4,End_Sections!AI9),Aerial!EF2))</f>
        <v>#REF!</v>
      </c>
      <c r="AA53" s="265"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 thickBot="1" x14ac:dyDescent="0.35">
      <c r="A54" s="129"/>
      <c r="B54" s="129"/>
      <c r="C54" s="129"/>
      <c r="D54" s="129"/>
      <c r="E54" s="129"/>
      <c r="F54" s="142"/>
      <c r="G54" s="265" t="s">
        <v>77</v>
      </c>
      <c r="H54" s="267"/>
      <c r="I54" s="137" t="e">
        <f>J54</f>
        <v>#REF!</v>
      </c>
      <c r="J54" s="138" t="e">
        <f>IF(K54=0,"",K54)</f>
        <v>#REF!</v>
      </c>
      <c r="K54" s="131" t="e">
        <f>IF(J53="","",IF(Aerial!DT3="","",SUM(Aerial!DT3,End_Sections!AF9)))</f>
        <v>#REF!</v>
      </c>
      <c r="L54" s="265" t="s">
        <v>77</v>
      </c>
      <c r="M54" s="267"/>
      <c r="N54" s="137" t="e">
        <f>O54</f>
        <v>#REF!</v>
      </c>
      <c r="O54" s="138" t="e">
        <f>IF(P54=0,"",P54)</f>
        <v>#REF!</v>
      </c>
      <c r="P54" s="131" t="e">
        <f>IF(O53="","",IF(Aerial!DX3="","",SUM(Aerial!DX3,End_Sections!AG9)))</f>
        <v>#REF!</v>
      </c>
      <c r="Q54" s="265" t="s">
        <v>77</v>
      </c>
      <c r="R54" s="267"/>
      <c r="S54" s="137" t="e">
        <f>T54</f>
        <v>#REF!</v>
      </c>
      <c r="T54" s="138" t="e">
        <f>IF(U54=0,"",U54)</f>
        <v>#REF!</v>
      </c>
      <c r="U54" s="131" t="e">
        <f>IF(T53="","",IF(Aerial!EB3="","",SUM(Aerial!EB3,End_Sections!AH9)))</f>
        <v>#REF!</v>
      </c>
      <c r="V54" s="265" t="s">
        <v>77</v>
      </c>
      <c r="W54" s="267"/>
      <c r="X54" s="137" t="e">
        <f>Y54</f>
        <v>#REF!</v>
      </c>
      <c r="Y54" s="138" t="e">
        <f>IF(Z54=0,"",Z54)</f>
        <v>#REF!</v>
      </c>
      <c r="Z54" s="131" t="e">
        <f>IF(Y53="","",IF(Aerial!EF3="","",SUM(Aerial!EF3,End_Sections!AI9)))</f>
        <v>#REF!</v>
      </c>
      <c r="AA54" s="265"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3">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3">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 thickBot="1" x14ac:dyDescent="0.35">
      <c r="A57" s="129"/>
      <c r="B57" s="129"/>
      <c r="C57" s="129"/>
      <c r="D57" s="129"/>
      <c r="E57" s="129"/>
      <c r="F57" s="142"/>
      <c r="G57" s="270" t="s">
        <v>118</v>
      </c>
      <c r="H57" s="270"/>
      <c r="I57" s="270"/>
      <c r="J57" s="130"/>
      <c r="K57" s="131"/>
      <c r="L57" s="270" t="s">
        <v>119</v>
      </c>
      <c r="M57" s="270"/>
      <c r="N57" s="270"/>
      <c r="O57" s="130"/>
      <c r="P57" s="131"/>
      <c r="Q57" s="270" t="s">
        <v>120</v>
      </c>
      <c r="R57" s="270"/>
      <c r="S57" s="270"/>
      <c r="T57" s="130"/>
      <c r="U57" s="131"/>
      <c r="V57" s="270" t="s">
        <v>121</v>
      </c>
      <c r="W57" s="270"/>
      <c r="X57" s="270"/>
      <c r="Y57" s="130"/>
      <c r="Z57" s="131"/>
      <c r="AA57" s="270" t="s">
        <v>122</v>
      </c>
      <c r="AB57" s="270"/>
      <c r="AC57" s="270"/>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 thickBot="1" x14ac:dyDescent="0.35">
      <c r="A58" s="129"/>
      <c r="B58" s="129"/>
      <c r="C58" s="129"/>
      <c r="D58" s="129"/>
      <c r="E58" s="129"/>
      <c r="F58" s="142"/>
      <c r="G58" s="265" t="s">
        <v>70</v>
      </c>
      <c r="H58" s="266"/>
      <c r="I58" s="137" t="str">
        <f>IFERROR(IF(AND(#REF!="Y",#REF!="N"),I59,IF(AND(I59&gt;0,End_Sections!AK2="B"),IF(#REF!&lt;1000,I59+10,I59+20),I59)),"")</f>
        <v/>
      </c>
      <c r="J58" s="130"/>
      <c r="K58" s="131"/>
      <c r="L58" s="265" t="s">
        <v>70</v>
      </c>
      <c r="M58" s="266"/>
      <c r="N58" s="137" t="str">
        <f>IFERROR(IF(AND(#REF!="Y",#REF!="N"),N59,IF(AND(N59&gt;0,End_Sections!AL2="B"),IF(#REF!&lt;1000,N59+10,N59+20),N59)),"")</f>
        <v/>
      </c>
      <c r="O58" s="130"/>
      <c r="P58" s="131"/>
      <c r="Q58" s="265" t="s">
        <v>70</v>
      </c>
      <c r="R58" s="266"/>
      <c r="S58" s="137" t="str">
        <f>IFERROR(IF(AND(#REF!="Y",#REF!="N"),S59,IF(AND(S59&gt;0,End_Sections!AM2="B"),IF(#REF!&lt;1000,S59+10,S59+20),S59)),"")</f>
        <v/>
      </c>
      <c r="T58" s="130"/>
      <c r="U58" s="131"/>
      <c r="V58" s="265" t="s">
        <v>70</v>
      </c>
      <c r="W58" s="266"/>
      <c r="X58" s="137" t="str">
        <f>IFERROR(IF(AND(#REF!="Y",#REF!="N"),X59,IF(AND(X59&gt;0,End_Sections!AN2="B"),IF(#REF!&lt;1000,X59+10,X59+20),X59)),"")</f>
        <v/>
      </c>
      <c r="Y58" s="130"/>
      <c r="Z58" s="131"/>
      <c r="AA58" s="265"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 thickBot="1" x14ac:dyDescent="0.35">
      <c r="A59" s="129"/>
      <c r="B59" s="129"/>
      <c r="C59" s="129"/>
      <c r="D59" s="129"/>
      <c r="E59" s="129"/>
      <c r="F59" s="142"/>
      <c r="G59" s="265" t="s">
        <v>72</v>
      </c>
      <c r="H59" s="266"/>
      <c r="I59" s="137" t="str">
        <f>IFERROR(IF(#REF!="","",IF(Aerial!EN2="",#REF!,#REF!-(SUM(Aerial!EN2,Aerial!EN3,End_Sections!AK4,End_Sections!AK9)))),"")</f>
        <v/>
      </c>
      <c r="J59" s="130"/>
      <c r="K59" s="131"/>
      <c r="L59" s="265" t="s">
        <v>72</v>
      </c>
      <c r="M59" s="266"/>
      <c r="N59" s="137" t="str">
        <f>IFERROR(IF(#REF!="","",IF(Aerial!ER2="",#REF!,#REF!-(SUM(Aerial!ER2,Aerial!ER3,End_Sections!AL4,End_Sections!AL9)))),"")</f>
        <v/>
      </c>
      <c r="O59" s="130"/>
      <c r="P59" s="131"/>
      <c r="Q59" s="265" t="s">
        <v>72</v>
      </c>
      <c r="R59" s="266"/>
      <c r="S59" s="137" t="str">
        <f>IFERROR(IF(#REF!="","",IF(Aerial!EV2="",#REF!,#REF!-(SUM(Aerial!EV2,Aerial!EV3,End_Sections!AM4,End_Sections!AM9)))),"")</f>
        <v/>
      </c>
      <c r="T59" s="130"/>
      <c r="U59" s="131"/>
      <c r="V59" s="265" t="s">
        <v>72</v>
      </c>
      <c r="W59" s="266"/>
      <c r="X59" s="137" t="str">
        <f>IFERROR(IF(#REF!="","",IF(Aerial!EZ2="",#REF!,#REF!-(SUM(Aerial!EZ2,Aerial!EZ3,End_Sections!AN4,End_Sections!AN9)))),"")</f>
        <v/>
      </c>
      <c r="Y59" s="130"/>
      <c r="Z59" s="131"/>
      <c r="AA59" s="265"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 thickBot="1" x14ac:dyDescent="0.35">
      <c r="A60" s="129"/>
      <c r="B60" s="129"/>
      <c r="C60" s="129"/>
      <c r="D60" s="129"/>
      <c r="E60" s="129"/>
      <c r="F60" s="142"/>
      <c r="G60" s="265" t="s">
        <v>71</v>
      </c>
      <c r="H60" s="267"/>
      <c r="I60" s="137" t="str">
        <f>IFERROR(IF(#REF!="","",I59-(SUM(#REF!))-(SUM(End_Sections!AK3,End_Sections!AK8))),"")</f>
        <v/>
      </c>
      <c r="J60" s="130"/>
      <c r="K60" s="131"/>
      <c r="L60" s="265" t="s">
        <v>71</v>
      </c>
      <c r="M60" s="267"/>
      <c r="N60" s="137" t="str">
        <f>IFERROR(IF(#REF!="","",N59-(SUM(#REF!))-(SUM(End_Sections!AL3,End_Sections!AL8))),"")</f>
        <v/>
      </c>
      <c r="O60" s="130"/>
      <c r="P60" s="131"/>
      <c r="Q60" s="265" t="s">
        <v>71</v>
      </c>
      <c r="R60" s="267"/>
      <c r="S60" s="137" t="str">
        <f>IFERROR(IF(#REF!="","",S59-(SUM(#REF!))-(SUM(End_Sections!AM3,End_Sections!AM8))),"")</f>
        <v/>
      </c>
      <c r="T60" s="130"/>
      <c r="U60" s="131"/>
      <c r="V60" s="265" t="s">
        <v>71</v>
      </c>
      <c r="W60" s="267"/>
      <c r="X60" s="137" t="str">
        <f>IFERROR(IF(#REF!="","",X59-(SUM(#REF!))-(SUM(End_Sections!AN3,End_Sections!AN8))),"")</f>
        <v/>
      </c>
      <c r="Y60" s="130"/>
      <c r="Z60" s="131"/>
      <c r="AA60" s="265"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 thickBot="1" x14ac:dyDescent="0.35">
      <c r="A61" s="129"/>
      <c r="B61" s="129"/>
      <c r="C61" s="129"/>
      <c r="D61" s="129"/>
      <c r="E61" s="129"/>
      <c r="F61" s="142"/>
      <c r="G61" s="265" t="s">
        <v>75</v>
      </c>
      <c r="H61" s="267"/>
      <c r="I61" s="137" t="str">
        <f>IFERROR(IF(AND(#REF!="Y",#REF!="N"),J61,IF(End_Sections!AK2="A",IF(#REF!&lt;1000,J61+10,J61+20),J61)),"")</f>
        <v/>
      </c>
      <c r="J61" s="138" t="e">
        <f>IF(K61=0,"",K61)</f>
        <v>#REF!</v>
      </c>
      <c r="K61" s="131" t="e">
        <f>IF(I59=0,#REF!,IF(Aerial!EN3="",SUM(Aerial!EN2,End_Sections!AK4,End_Sections!AK9),Aerial!EN2))</f>
        <v>#REF!</v>
      </c>
      <c r="L61" s="265" t="s">
        <v>75</v>
      </c>
      <c r="M61" s="267"/>
      <c r="N61" s="137" t="str">
        <f>IFERROR(IF(AND(#REF!="Y",#REF!="N"),O61,IF(End_Sections!AL2="A",IF(#REF!&lt;1000,O61+10,O61+20),O61)),"")</f>
        <v/>
      </c>
      <c r="O61" s="138" t="e">
        <f>IF(P61=0,"",P61)</f>
        <v>#REF!</v>
      </c>
      <c r="P61" s="131" t="e">
        <f>IF(N59=0,#REF!,IF(Aerial!ER3="",SUM(Aerial!ER2,End_Sections!AL4,End_Sections!AL9),Aerial!ER2))</f>
        <v>#REF!</v>
      </c>
      <c r="Q61" s="265" t="s">
        <v>75</v>
      </c>
      <c r="R61" s="267"/>
      <c r="S61" s="137" t="str">
        <f>IFERROR(IF(AND(#REF!="Y",#REF!="N"),T61,IF(End_Sections!AM2="A",IF(#REF!&lt;1000,T61+10,T61+20),T61)),"")</f>
        <v/>
      </c>
      <c r="T61" s="138" t="e">
        <f>IF(U61=0,"",U61)</f>
        <v>#REF!</v>
      </c>
      <c r="U61" s="131" t="e">
        <f>IF(S59=0,#REF!,IF(Aerial!EV3="",SUM(Aerial!EV2,End_Sections!AM4,End_Sections!AM9),Aerial!EV2))</f>
        <v>#REF!</v>
      </c>
      <c r="V61" s="265" t="s">
        <v>75</v>
      </c>
      <c r="W61" s="267"/>
      <c r="X61" s="137" t="str">
        <f>IFERROR(IF(AND(#REF!="Y",#REF!="N"),Y61,IF(End_Sections!AN2="A",IF(#REF!&lt;1000,Y61+10,Y61+20),Y61)),"")</f>
        <v/>
      </c>
      <c r="Y61" s="138" t="e">
        <f>IF(Z61=0,"",Z61)</f>
        <v>#REF!</v>
      </c>
      <c r="Z61" s="131" t="e">
        <f>IF(X59=0,#REF!,IF(Aerial!EZ3="",SUM(Aerial!EZ2,End_Sections!AN4,End_Sections!AN9),Aerial!EZ2))</f>
        <v>#REF!</v>
      </c>
      <c r="AA61" s="265"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 thickBot="1" x14ac:dyDescent="0.35">
      <c r="A62" s="129"/>
      <c r="B62" s="129"/>
      <c r="C62" s="129"/>
      <c r="D62" s="129"/>
      <c r="E62" s="129"/>
      <c r="F62" s="142"/>
      <c r="G62" s="265" t="s">
        <v>77</v>
      </c>
      <c r="H62" s="267"/>
      <c r="I62" s="137" t="e">
        <f>J62</f>
        <v>#REF!</v>
      </c>
      <c r="J62" s="138" t="e">
        <f>IF(K62=0,"",K62)</f>
        <v>#REF!</v>
      </c>
      <c r="K62" s="131" t="e">
        <f>IF(J61="","",IF(Aerial!EN3="","",SUM(Aerial!EN3,End_Sections!AK9)))</f>
        <v>#REF!</v>
      </c>
      <c r="L62" s="265" t="s">
        <v>77</v>
      </c>
      <c r="M62" s="267"/>
      <c r="N62" s="137" t="e">
        <f>O62</f>
        <v>#REF!</v>
      </c>
      <c r="O62" s="138" t="e">
        <f>IF(P62=0,"",P62)</f>
        <v>#REF!</v>
      </c>
      <c r="P62" s="131" t="e">
        <f>IF(O61="","",IF(Aerial!ER3="","",SUM(Aerial!ER3,End_Sections!AL9)))</f>
        <v>#REF!</v>
      </c>
      <c r="Q62" s="265" t="s">
        <v>77</v>
      </c>
      <c r="R62" s="267"/>
      <c r="S62" s="137" t="e">
        <f>T62</f>
        <v>#REF!</v>
      </c>
      <c r="T62" s="138" t="e">
        <f>IF(U62=0,"",U62)</f>
        <v>#REF!</v>
      </c>
      <c r="U62" s="131" t="e">
        <f>IF(T61="","",IF(Aerial!EV3="","",SUM(Aerial!EV3,End_Sections!AM9)))</f>
        <v>#REF!</v>
      </c>
      <c r="V62" s="265" t="s">
        <v>77</v>
      </c>
      <c r="W62" s="267"/>
      <c r="X62" s="137" t="e">
        <f>Y62</f>
        <v>#REF!</v>
      </c>
      <c r="Y62" s="138" t="e">
        <f>IF(Z62=0,"",Z62)</f>
        <v>#REF!</v>
      </c>
      <c r="Z62" s="131" t="e">
        <f>IF(Y61="","",IF(Aerial!EZ3="","",SUM(Aerial!EZ3,End_Sections!AN9)))</f>
        <v>#REF!</v>
      </c>
      <c r="AA62" s="265"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3">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3">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P208"/>
  <sheetViews>
    <sheetView zoomScaleNormal="100" workbookViewId="0">
      <pane ySplit="8" topLeftCell="A9" activePane="bottomLeft" state="frozen"/>
      <selection pane="bottomLeft" activeCell="W30" sqref="W30"/>
    </sheetView>
  </sheetViews>
  <sheetFormatPr defaultColWidth="9.109375" defaultRowHeight="14.4" x14ac:dyDescent="0.3"/>
  <cols>
    <col min="1" max="1" width="10" style="2" customWidth="1"/>
    <col min="2" max="2" width="9.5546875" style="2" customWidth="1"/>
    <col min="3" max="4" width="9.44140625" style="2" customWidth="1"/>
    <col min="5" max="5" width="1.33203125" style="16" customWidth="1"/>
    <col min="6" max="6" width="10" style="2" customWidth="1"/>
    <col min="7" max="7" width="9.5546875" style="2" customWidth="1"/>
    <col min="8" max="9" width="9.44140625" style="2" customWidth="1"/>
    <col min="10" max="10" width="1.33203125" style="16" customWidth="1"/>
    <col min="11" max="11" width="10" style="2" customWidth="1"/>
    <col min="12" max="12" width="9.5546875" style="2" customWidth="1"/>
    <col min="13" max="14" width="9.44140625" style="2" customWidth="1"/>
    <col min="15" max="15" width="1.33203125" style="16" customWidth="1"/>
    <col min="16" max="16" width="10" style="2" customWidth="1"/>
    <col min="17" max="17" width="9.5546875" style="2" customWidth="1"/>
    <col min="18" max="19" width="9.44140625" style="2" customWidth="1"/>
    <col min="20" max="20" width="1.33203125" style="16" customWidth="1"/>
    <col min="21" max="21" width="10" style="2" customWidth="1"/>
    <col min="22" max="22" width="9.5546875" style="2" customWidth="1"/>
    <col min="23" max="24" width="9.44140625" style="2" customWidth="1"/>
    <col min="25" max="25" width="1.33203125" style="16" customWidth="1"/>
    <col min="26" max="26" width="10" style="2" customWidth="1"/>
    <col min="27" max="27" width="9.5546875" style="2" customWidth="1"/>
    <col min="28" max="29" width="9.44140625" style="2" customWidth="1"/>
    <col min="30" max="30" width="1.33203125" style="16" customWidth="1"/>
    <col min="31" max="31" width="10" style="2" customWidth="1"/>
    <col min="32" max="32" width="9.5546875" style="2" customWidth="1"/>
    <col min="33" max="34" width="9.44140625" style="2" customWidth="1"/>
    <col min="35" max="35" width="1.33203125" style="16" customWidth="1"/>
    <col min="36" max="36" width="10" style="2" customWidth="1"/>
    <col min="37" max="37" width="9.5546875" style="2" customWidth="1"/>
    <col min="38" max="39" width="9.44140625" style="2" customWidth="1"/>
    <col min="40" max="40" width="1.33203125" style="16" customWidth="1"/>
    <col min="41" max="41" width="10" style="2" customWidth="1"/>
    <col min="42" max="42" width="9.5546875" style="2" customWidth="1"/>
    <col min="43" max="44" width="9.44140625" style="2" customWidth="1"/>
    <col min="45" max="45" width="1.33203125" style="16" customWidth="1"/>
    <col min="46" max="46" width="10" style="2" customWidth="1"/>
    <col min="47" max="47" width="9.5546875" style="2" customWidth="1"/>
    <col min="48" max="49" width="9.44140625" style="2" customWidth="1"/>
    <col min="50" max="50" width="1.33203125" style="16" customWidth="1"/>
    <col min="51" max="51" width="10" style="2" customWidth="1"/>
    <col min="52" max="52" width="9.5546875" style="2" customWidth="1"/>
    <col min="53" max="54" width="9.44140625" style="2" customWidth="1"/>
    <col min="55" max="55" width="1.33203125" style="16" customWidth="1"/>
    <col min="56" max="56" width="10" style="2" customWidth="1"/>
    <col min="57" max="57" width="9.5546875" style="2" customWidth="1"/>
    <col min="58" max="59" width="9.44140625" style="2" customWidth="1"/>
    <col min="60" max="60" width="1.33203125" style="16" customWidth="1"/>
    <col min="61" max="61" width="10" style="2" customWidth="1"/>
    <col min="62" max="62" width="9.5546875" style="2" customWidth="1"/>
    <col min="63" max="64" width="9.44140625" style="2" customWidth="1"/>
    <col min="65" max="65" width="1.33203125" style="16" customWidth="1"/>
    <col min="66" max="66" width="10" style="2" customWidth="1"/>
    <col min="67" max="67" width="9.5546875" style="2" customWidth="1"/>
    <col min="68" max="69" width="9.44140625" style="2" customWidth="1"/>
    <col min="70" max="70" width="1.33203125" style="16" customWidth="1"/>
    <col min="71" max="71" width="10" style="2" customWidth="1"/>
    <col min="72" max="72" width="9.5546875" style="2" customWidth="1"/>
    <col min="73" max="74" width="9.44140625" style="2" customWidth="1"/>
    <col min="75" max="75" width="1.33203125" style="16" customWidth="1"/>
    <col min="76" max="76" width="10" style="2" customWidth="1"/>
    <col min="77" max="77" width="9.5546875" style="2" customWidth="1"/>
    <col min="78" max="79" width="9.44140625" style="2" customWidth="1"/>
    <col min="80" max="80" width="1.33203125" style="16" customWidth="1"/>
    <col min="81" max="81" width="10" style="2" customWidth="1"/>
    <col min="82" max="82" width="9.5546875" style="2" customWidth="1"/>
    <col min="83" max="84" width="9.44140625" style="2" customWidth="1"/>
    <col min="85" max="85" width="1.33203125" style="16" customWidth="1"/>
    <col min="86" max="86" width="10" style="2" customWidth="1"/>
    <col min="87" max="87" width="9.5546875" style="2" customWidth="1"/>
    <col min="88" max="89" width="9.44140625" style="2" customWidth="1"/>
    <col min="90" max="90" width="1.33203125" style="16" customWidth="1"/>
    <col min="91" max="91" width="10" style="2" customWidth="1"/>
    <col min="92" max="92" width="9.5546875" style="2" customWidth="1"/>
    <col min="93" max="94" width="9.44140625" style="2" customWidth="1"/>
    <col min="95" max="95" width="1.33203125" style="16" customWidth="1"/>
    <col min="96" max="96" width="10" style="2" customWidth="1"/>
    <col min="97" max="97" width="9.5546875" style="2" customWidth="1"/>
    <col min="98" max="99" width="9.44140625" style="2" customWidth="1"/>
    <col min="100" max="100" width="1.33203125" style="16" customWidth="1"/>
    <col min="101" max="101" width="10" style="2" customWidth="1"/>
    <col min="102" max="102" width="9.5546875" style="2" customWidth="1"/>
    <col min="103" max="104" width="9.44140625" style="2" customWidth="1"/>
    <col min="105" max="105" width="1.33203125" style="16" customWidth="1"/>
    <col min="106" max="106" width="10" style="2" customWidth="1"/>
    <col min="107" max="107" width="9.5546875" style="2" customWidth="1"/>
    <col min="108" max="109" width="9.44140625" style="2" customWidth="1"/>
    <col min="110" max="110" width="1.33203125" style="16" customWidth="1"/>
    <col min="111" max="111" width="10" style="2" customWidth="1"/>
    <col min="112" max="112" width="9.5546875" style="2" customWidth="1"/>
    <col min="113" max="114" width="9.44140625" style="2" customWidth="1"/>
    <col min="115" max="115" width="1.33203125" style="16" customWidth="1"/>
    <col min="116" max="116" width="10" style="2" customWidth="1"/>
    <col min="117" max="117" width="9.5546875" style="2" customWidth="1"/>
    <col min="118" max="119" width="9.44140625" style="2" customWidth="1"/>
    <col min="120" max="120" width="1.33203125" style="16" customWidth="1"/>
    <col min="121" max="121" width="10" style="2" customWidth="1"/>
    <col min="122" max="122" width="9.5546875" style="2" customWidth="1"/>
    <col min="123" max="124" width="9.44140625" style="2" customWidth="1"/>
    <col min="125" max="125" width="1.33203125" style="16" customWidth="1"/>
    <col min="126" max="126" width="10" style="2" customWidth="1"/>
    <col min="127" max="127" width="9.5546875" style="2" customWidth="1"/>
    <col min="128" max="129" width="9.44140625" style="2" customWidth="1"/>
    <col min="130" max="130" width="1.33203125" style="16" customWidth="1"/>
    <col min="131" max="131" width="10" style="2" customWidth="1"/>
    <col min="132" max="132" width="9.5546875" style="2" customWidth="1"/>
    <col min="133" max="134" width="9.44140625" style="2" customWidth="1"/>
    <col min="135" max="135" width="1.33203125" style="16" customWidth="1"/>
    <col min="136" max="136" width="10" style="2" customWidth="1"/>
    <col min="137" max="137" width="9.5546875" style="2" customWidth="1"/>
    <col min="138" max="139" width="9.44140625" style="2" customWidth="1"/>
    <col min="140" max="140" width="1.33203125" style="16" customWidth="1"/>
    <col min="141" max="141" width="10" style="2" customWidth="1"/>
    <col min="142" max="142" width="9.5546875" style="2" customWidth="1"/>
    <col min="143" max="144" width="9.44140625" style="2" customWidth="1"/>
    <col min="145" max="145" width="1.33203125" style="16" customWidth="1"/>
    <col min="146" max="146" width="10" style="2" customWidth="1"/>
    <col min="147" max="147" width="9.5546875" style="2" customWidth="1"/>
    <col min="148" max="149" width="9.44140625" style="2" customWidth="1"/>
    <col min="150" max="150" width="1.33203125" style="16" customWidth="1"/>
    <col min="151" max="151" width="10" style="2" customWidth="1"/>
    <col min="152" max="152" width="9.5546875" style="2" customWidth="1"/>
    <col min="153" max="154" width="9.44140625" style="2" customWidth="1"/>
    <col min="155" max="155" width="1.33203125" style="16" customWidth="1"/>
    <col min="156" max="156" width="10" style="2" customWidth="1"/>
    <col min="157" max="157" width="9.5546875" style="2" customWidth="1"/>
    <col min="158" max="159" width="9.44140625" style="2" customWidth="1"/>
    <col min="160" max="160" width="1.33203125" style="16" customWidth="1"/>
    <col min="161" max="161" width="10" style="2" customWidth="1"/>
    <col min="162" max="162" width="9.5546875" style="2" customWidth="1"/>
    <col min="163" max="164" width="9.44140625" style="2" customWidth="1"/>
    <col min="165" max="165" width="1.33203125" style="16" customWidth="1"/>
    <col min="166" max="166" width="10" style="2" customWidth="1"/>
    <col min="167" max="167" width="9.5546875" style="2" customWidth="1"/>
    <col min="168" max="169" width="9.44140625" style="2" customWidth="1"/>
    <col min="170" max="170" width="1.33203125" style="16" customWidth="1"/>
    <col min="171" max="171" width="10" style="2" customWidth="1"/>
    <col min="172" max="172" width="9.5546875" style="2" customWidth="1"/>
    <col min="173" max="174" width="9.44140625" style="2" customWidth="1"/>
    <col min="175" max="175" width="1.33203125" style="16" customWidth="1"/>
    <col min="176" max="176" width="10" style="2" customWidth="1"/>
    <col min="177" max="177" width="9.5546875" style="2" customWidth="1"/>
    <col min="178" max="179" width="9.44140625" style="2" customWidth="1"/>
    <col min="180" max="180" width="1.33203125" style="16" customWidth="1"/>
    <col min="181" max="181" width="10" style="2" customWidth="1"/>
    <col min="182" max="182" width="9.5546875" style="2" customWidth="1"/>
    <col min="183" max="184" width="9.44140625" style="2" customWidth="1"/>
    <col min="185" max="185" width="1.33203125" style="16" customWidth="1"/>
    <col min="186" max="186" width="10" style="2" customWidth="1"/>
    <col min="187" max="187" width="9.5546875" style="2" customWidth="1"/>
    <col min="188" max="189" width="9.44140625" style="2" customWidth="1"/>
    <col min="190" max="190" width="1.33203125" style="16" customWidth="1"/>
    <col min="191" max="191" width="10" style="2" customWidth="1"/>
    <col min="192" max="192" width="9.5546875" style="2" customWidth="1"/>
    <col min="193" max="194" width="9.44140625" style="2" customWidth="1"/>
    <col min="195" max="195" width="1.33203125" style="16" customWidth="1"/>
    <col min="196" max="196" width="10" style="2" customWidth="1"/>
    <col min="197" max="197" width="9.5546875" style="2" customWidth="1"/>
    <col min="198" max="199" width="9.44140625" style="2" customWidth="1"/>
    <col min="200" max="200" width="1.33203125" style="16" customWidth="1"/>
    <col min="201" max="201" width="10" style="2" customWidth="1"/>
    <col min="202" max="202" width="9.5546875" style="2" customWidth="1"/>
    <col min="203" max="204" width="9.44140625" style="2" customWidth="1"/>
    <col min="205" max="205" width="1.33203125" style="16" customWidth="1"/>
    <col min="206" max="206" width="10" style="2" customWidth="1"/>
    <col min="207" max="207" width="9.5546875" style="2" customWidth="1"/>
    <col min="208" max="209" width="9.44140625" style="2" customWidth="1"/>
    <col min="210" max="210" width="1.33203125" style="16" customWidth="1"/>
    <col min="211" max="211" width="10" style="2" customWidth="1"/>
    <col min="212" max="212" width="9.5546875" style="2" customWidth="1"/>
    <col min="213" max="214" width="9.44140625" style="2" customWidth="1"/>
    <col min="215" max="215" width="1.33203125" style="16" customWidth="1"/>
    <col min="216" max="216" width="10" style="2" customWidth="1"/>
    <col min="217" max="217" width="9.5546875" style="2" customWidth="1"/>
    <col min="218" max="219" width="9.44140625" style="2" customWidth="1"/>
    <col min="220" max="220" width="1.33203125" style="16" customWidth="1"/>
    <col min="221" max="221" width="10" style="2" customWidth="1"/>
    <col min="222" max="222" width="9.5546875" style="2" customWidth="1"/>
    <col min="223" max="224" width="9.44140625" style="2" customWidth="1"/>
    <col min="225" max="225" width="1.33203125" style="16" customWidth="1"/>
    <col min="226" max="226" width="10" style="2" customWidth="1"/>
    <col min="227" max="227" width="9.5546875" style="2" customWidth="1"/>
    <col min="228" max="229" width="9.44140625" style="2" customWidth="1"/>
    <col min="230" max="230" width="1.33203125" style="16" customWidth="1"/>
    <col min="231" max="231" width="10" style="2" customWidth="1"/>
    <col min="232" max="232" width="9.5546875" style="2" customWidth="1"/>
    <col min="233" max="234" width="9.44140625" style="2" customWidth="1"/>
    <col min="235" max="235" width="1.33203125" style="16" customWidth="1"/>
    <col min="236" max="236" width="10" style="2" customWidth="1"/>
    <col min="237" max="237" width="9.5546875" style="2" customWidth="1"/>
    <col min="238" max="239" width="9.44140625" style="2" customWidth="1"/>
    <col min="240" max="240" width="1.33203125" style="16" customWidth="1"/>
    <col min="241" max="241" width="10" style="2" customWidth="1"/>
    <col min="242" max="242" width="9.5546875" style="2" customWidth="1"/>
    <col min="243" max="244" width="9.44140625" style="2" customWidth="1"/>
    <col min="245" max="245" width="1.33203125" style="16" customWidth="1"/>
    <col min="246" max="246" width="10" style="2" customWidth="1"/>
    <col min="247" max="247" width="9.5546875" style="2" customWidth="1"/>
    <col min="248" max="249" width="9.44140625" style="2" customWidth="1"/>
    <col min="250" max="250" width="1.33203125" style="16" customWidth="1"/>
    <col min="251" max="16384" width="9.109375" style="2"/>
  </cols>
  <sheetData>
    <row r="1" spans="1:250" x14ac:dyDescent="0.3">
      <c r="A1" s="276" t="s">
        <v>123</v>
      </c>
      <c r="B1" s="276"/>
      <c r="C1" s="276"/>
      <c r="D1" s="276"/>
      <c r="F1" s="276" t="s">
        <v>124</v>
      </c>
      <c r="G1" s="276"/>
      <c r="H1" s="276"/>
      <c r="I1" s="276"/>
      <c r="K1" s="276" t="s">
        <v>125</v>
      </c>
      <c r="L1" s="276"/>
      <c r="M1" s="276"/>
      <c r="N1" s="276"/>
      <c r="P1" s="276" t="s">
        <v>126</v>
      </c>
      <c r="Q1" s="276"/>
      <c r="R1" s="276"/>
      <c r="S1" s="276"/>
      <c r="U1" s="276" t="s">
        <v>127</v>
      </c>
      <c r="V1" s="276"/>
      <c r="W1" s="276"/>
      <c r="X1" s="276"/>
      <c r="Z1" s="276" t="s">
        <v>128</v>
      </c>
      <c r="AA1" s="276"/>
      <c r="AB1" s="276"/>
      <c r="AC1" s="276"/>
      <c r="AE1" s="276" t="s">
        <v>129</v>
      </c>
      <c r="AF1" s="276"/>
      <c r="AG1" s="276"/>
      <c r="AH1" s="276"/>
      <c r="AJ1" s="276" t="s">
        <v>130</v>
      </c>
      <c r="AK1" s="276"/>
      <c r="AL1" s="276"/>
      <c r="AM1" s="276"/>
      <c r="AO1" s="276" t="s">
        <v>131</v>
      </c>
      <c r="AP1" s="276"/>
      <c r="AQ1" s="276"/>
      <c r="AR1" s="276"/>
      <c r="AT1" s="276" t="s">
        <v>132</v>
      </c>
      <c r="AU1" s="276"/>
      <c r="AV1" s="276"/>
      <c r="AW1" s="276"/>
      <c r="AY1" s="276" t="s">
        <v>133</v>
      </c>
      <c r="AZ1" s="276"/>
      <c r="BA1" s="276"/>
      <c r="BB1" s="276"/>
      <c r="BD1" s="276" t="s">
        <v>134</v>
      </c>
      <c r="BE1" s="276"/>
      <c r="BF1" s="276"/>
      <c r="BG1" s="276"/>
      <c r="BI1" s="276" t="s">
        <v>135</v>
      </c>
      <c r="BJ1" s="276"/>
      <c r="BK1" s="276"/>
      <c r="BL1" s="276"/>
      <c r="BN1" s="276" t="s">
        <v>136</v>
      </c>
      <c r="BO1" s="276"/>
      <c r="BP1" s="276"/>
      <c r="BQ1" s="276"/>
      <c r="BS1" s="276" t="s">
        <v>137</v>
      </c>
      <c r="BT1" s="276"/>
      <c r="BU1" s="276"/>
      <c r="BV1" s="276"/>
      <c r="BX1" s="276" t="s">
        <v>138</v>
      </c>
      <c r="BY1" s="276"/>
      <c r="BZ1" s="276"/>
      <c r="CA1" s="276"/>
      <c r="CC1" s="276" t="s">
        <v>139</v>
      </c>
      <c r="CD1" s="276"/>
      <c r="CE1" s="276"/>
      <c r="CF1" s="276"/>
      <c r="CH1" s="276" t="s">
        <v>140</v>
      </c>
      <c r="CI1" s="276"/>
      <c r="CJ1" s="276"/>
      <c r="CK1" s="276"/>
      <c r="CM1" s="276" t="s">
        <v>141</v>
      </c>
      <c r="CN1" s="276"/>
      <c r="CO1" s="276"/>
      <c r="CP1" s="276"/>
      <c r="CR1" s="276" t="s">
        <v>142</v>
      </c>
      <c r="CS1" s="276"/>
      <c r="CT1" s="276"/>
      <c r="CU1" s="276"/>
      <c r="CW1" s="276" t="s">
        <v>143</v>
      </c>
      <c r="CX1" s="276"/>
      <c r="CY1" s="276"/>
      <c r="CZ1" s="276"/>
      <c r="DB1" s="276" t="s">
        <v>144</v>
      </c>
      <c r="DC1" s="276"/>
      <c r="DD1" s="276"/>
      <c r="DE1" s="276"/>
      <c r="DG1" s="276" t="s">
        <v>145</v>
      </c>
      <c r="DH1" s="276"/>
      <c r="DI1" s="276"/>
      <c r="DJ1" s="276"/>
      <c r="DL1" s="276" t="s">
        <v>146</v>
      </c>
      <c r="DM1" s="276"/>
      <c r="DN1" s="276"/>
      <c r="DO1" s="276"/>
      <c r="DQ1" s="276" t="s">
        <v>147</v>
      </c>
      <c r="DR1" s="276"/>
      <c r="DS1" s="276"/>
      <c r="DT1" s="276"/>
      <c r="DV1" s="276" t="s">
        <v>148</v>
      </c>
      <c r="DW1" s="276"/>
      <c r="DX1" s="276"/>
      <c r="DY1" s="276"/>
      <c r="EA1" s="276" t="s">
        <v>149</v>
      </c>
      <c r="EB1" s="276"/>
      <c r="EC1" s="276"/>
      <c r="ED1" s="276"/>
      <c r="EF1" s="276" t="s">
        <v>150</v>
      </c>
      <c r="EG1" s="276"/>
      <c r="EH1" s="276"/>
      <c r="EI1" s="276"/>
      <c r="EK1" s="276" t="s">
        <v>151</v>
      </c>
      <c r="EL1" s="276"/>
      <c r="EM1" s="276"/>
      <c r="EN1" s="276"/>
      <c r="EP1" s="276" t="s">
        <v>152</v>
      </c>
      <c r="EQ1" s="276"/>
      <c r="ER1" s="276"/>
      <c r="ES1" s="276"/>
      <c r="EU1" s="276" t="s">
        <v>153</v>
      </c>
      <c r="EV1" s="276"/>
      <c r="EW1" s="276"/>
      <c r="EX1" s="276"/>
      <c r="EZ1" s="276" t="s">
        <v>154</v>
      </c>
      <c r="FA1" s="276"/>
      <c r="FB1" s="276"/>
      <c r="FC1" s="276"/>
      <c r="FE1" s="276" t="s">
        <v>155</v>
      </c>
      <c r="FF1" s="276"/>
      <c r="FG1" s="276"/>
      <c r="FH1" s="276"/>
      <c r="FJ1" s="276" t="s">
        <v>156</v>
      </c>
      <c r="FK1" s="276"/>
      <c r="FL1" s="276"/>
      <c r="FM1" s="276"/>
      <c r="FO1" s="276" t="s">
        <v>157</v>
      </c>
      <c r="FP1" s="276"/>
      <c r="FQ1" s="276"/>
      <c r="FR1" s="276"/>
      <c r="FT1" s="276" t="s">
        <v>158</v>
      </c>
      <c r="FU1" s="276"/>
      <c r="FV1" s="276"/>
      <c r="FW1" s="276"/>
      <c r="FY1" s="276" t="s">
        <v>159</v>
      </c>
      <c r="FZ1" s="276"/>
      <c r="GA1" s="276"/>
      <c r="GB1" s="276"/>
      <c r="GD1" s="276" t="s">
        <v>160</v>
      </c>
      <c r="GE1" s="276"/>
      <c r="GF1" s="276"/>
      <c r="GG1" s="276"/>
      <c r="GI1" s="276" t="s">
        <v>161</v>
      </c>
      <c r="GJ1" s="276"/>
      <c r="GK1" s="276"/>
      <c r="GL1" s="276"/>
      <c r="GN1" s="276" t="s">
        <v>162</v>
      </c>
      <c r="GO1" s="276"/>
      <c r="GP1" s="276"/>
      <c r="GQ1" s="276"/>
      <c r="GS1" s="276" t="s">
        <v>163</v>
      </c>
      <c r="GT1" s="276"/>
      <c r="GU1" s="276"/>
      <c r="GV1" s="276"/>
      <c r="GX1" s="276" t="s">
        <v>164</v>
      </c>
      <c r="GY1" s="276"/>
      <c r="GZ1" s="276"/>
      <c r="HA1" s="276"/>
      <c r="HC1" s="276" t="s">
        <v>165</v>
      </c>
      <c r="HD1" s="276"/>
      <c r="HE1" s="276"/>
      <c r="HF1" s="276"/>
      <c r="HH1" s="276" t="s">
        <v>166</v>
      </c>
      <c r="HI1" s="276"/>
      <c r="HJ1" s="276"/>
      <c r="HK1" s="276"/>
      <c r="HM1" s="276" t="s">
        <v>167</v>
      </c>
      <c r="HN1" s="276"/>
      <c r="HO1" s="276"/>
      <c r="HP1" s="276"/>
      <c r="HR1" s="276" t="s">
        <v>168</v>
      </c>
      <c r="HS1" s="276"/>
      <c r="HT1" s="276"/>
      <c r="HU1" s="276"/>
      <c r="HW1" s="276" t="s">
        <v>169</v>
      </c>
      <c r="HX1" s="276"/>
      <c r="HY1" s="276"/>
      <c r="HZ1" s="276"/>
      <c r="IB1" s="276" t="s">
        <v>170</v>
      </c>
      <c r="IC1" s="276"/>
      <c r="ID1" s="276"/>
      <c r="IE1" s="276"/>
      <c r="IG1" s="276" t="s">
        <v>171</v>
      </c>
      <c r="IH1" s="276"/>
      <c r="II1" s="276"/>
      <c r="IJ1" s="276"/>
      <c r="IL1" s="276" t="s">
        <v>172</v>
      </c>
      <c r="IM1" s="276"/>
      <c r="IN1" s="276"/>
      <c r="IO1" s="276"/>
    </row>
    <row r="2" spans="1:250" x14ac:dyDescent="0.3">
      <c r="A2" s="277" t="s">
        <v>173</v>
      </c>
      <c r="B2" s="277"/>
      <c r="C2" s="277"/>
      <c r="D2" s="14">
        <f>IF(D3="","",IF(AND(D5="Y",D6="N"),D3,IF(D3&lt;1000,D3+10,D3+20)))</f>
        <v>806</v>
      </c>
      <c r="F2" s="277" t="s">
        <v>173</v>
      </c>
      <c r="G2" s="277"/>
      <c r="H2" s="277"/>
      <c r="I2" s="14">
        <f>IF(I3="","",IF(AND(I5="Y",I6="N"),I3,IF(I3&lt;1000,I3+10,I3+20)))</f>
        <v>770</v>
      </c>
      <c r="K2" s="277" t="s">
        <v>173</v>
      </c>
      <c r="L2" s="277"/>
      <c r="M2" s="277"/>
      <c r="N2" s="14">
        <f>IF(N3="","",IF(AND(N5="Y",N6="N"),N3,IF(N3&lt;1000,N3+10,N3+20)))</f>
        <v>671</v>
      </c>
      <c r="P2" s="277" t="s">
        <v>173</v>
      </c>
      <c r="Q2" s="277"/>
      <c r="R2" s="277"/>
      <c r="S2" s="14">
        <f>IF(S3="","",IF(AND(S5="Y",S6="N"),S3,IF(S3&lt;1000,S3+10,S3+20)))</f>
        <v>1707</v>
      </c>
      <c r="U2" s="277" t="s">
        <v>173</v>
      </c>
      <c r="V2" s="277"/>
      <c r="W2" s="277"/>
      <c r="X2" s="14">
        <f>IF(X3="","",IF(AND(X5="Y",X6="N"),X3,IF(X3&lt;1000,X3+10,X3+20)))</f>
        <v>2035</v>
      </c>
      <c r="Z2" s="277" t="s">
        <v>173</v>
      </c>
      <c r="AA2" s="277"/>
      <c r="AB2" s="277"/>
      <c r="AC2" s="14">
        <f>IF(AC3="","",IF(AND(AC5="Y",AC6="N"),AC3,IF(AC3&lt;1000,AC3+10,AC3+20)))</f>
        <v>1086</v>
      </c>
      <c r="AE2" s="277" t="s">
        <v>173</v>
      </c>
      <c r="AF2" s="277"/>
      <c r="AG2" s="277"/>
      <c r="AH2" s="14">
        <f>IF(AH3="","",IF(AND(AH5="Y",AH6="N"),AH3,IF(AH3&lt;1000,AH3+10,AH3+20)))</f>
        <v>1380</v>
      </c>
      <c r="AJ2" s="277" t="s">
        <v>173</v>
      </c>
      <c r="AK2" s="277"/>
      <c r="AL2" s="277"/>
      <c r="AM2" s="14">
        <f>IF(AM3="","",IF(AND(AM5="Y",AM6="N"),AM3,IF(AM3&lt;1000,AM3+10,AM3+20)))</f>
        <v>1240</v>
      </c>
      <c r="AO2" s="277" t="s">
        <v>173</v>
      </c>
      <c r="AP2" s="277"/>
      <c r="AQ2" s="277"/>
      <c r="AR2" s="14">
        <f>IF(AR3="","",IF(AND(AR5="Y",AR6="N"),AR3,IF(AR3&lt;1000,AR3+10,AR3+20)))</f>
        <v>1693</v>
      </c>
      <c r="AT2" s="277" t="s">
        <v>173</v>
      </c>
      <c r="AU2" s="277"/>
      <c r="AV2" s="277"/>
      <c r="AW2" s="14">
        <f>IF(AW3="","",IF(AND(AW5="Y",AW6="N"),AW3,IF(AW3&lt;1000,AW3+10,AW3+20)))</f>
        <v>1816</v>
      </c>
      <c r="AY2" s="277" t="s">
        <v>173</v>
      </c>
      <c r="AZ2" s="277"/>
      <c r="BA2" s="277"/>
      <c r="BB2" s="14">
        <f>IF(BB3="","",IF(AND(BB5="Y",BB6="N"),BB3,IF(BB3&lt;1000,BB3+10,BB3+20)))</f>
        <v>1310</v>
      </c>
      <c r="BD2" s="277" t="s">
        <v>173</v>
      </c>
      <c r="BE2" s="277"/>
      <c r="BF2" s="277"/>
      <c r="BG2" s="14">
        <f>IF(BG3="","",IF(AND(BG5="Y",BG6="N"),BG3,IF(BG3&lt;1000,BG3+10,BG3+20)))</f>
        <v>1088</v>
      </c>
      <c r="BI2" s="277" t="s">
        <v>173</v>
      </c>
      <c r="BJ2" s="277"/>
      <c r="BK2" s="277"/>
      <c r="BL2" s="14">
        <f>IF(BL3="","",IF(AND(BL5="Y",BL6="N"),BL3,IF(BL3&lt;1000,BL3+10,BL3+20)))</f>
        <v>1034</v>
      </c>
      <c r="BN2" s="277" t="s">
        <v>173</v>
      </c>
      <c r="BO2" s="277"/>
      <c r="BP2" s="277"/>
      <c r="BQ2" s="14">
        <f>IF(BQ3="","",IF(AND(BQ5="Y",BQ6="N"),BQ3,IF(BQ3&lt;1000,BQ3+10,BQ3+20)))</f>
        <v>882</v>
      </c>
      <c r="BS2" s="277" t="s">
        <v>173</v>
      </c>
      <c r="BT2" s="277"/>
      <c r="BU2" s="277"/>
      <c r="BV2" s="14">
        <f>IF(BV3="","",IF(AND(BV5="Y",BV6="N"),BV3,IF(BV3&lt;1000,BV3+10,BV3+20)))</f>
        <v>1190</v>
      </c>
      <c r="BX2" s="277" t="s">
        <v>173</v>
      </c>
      <c r="BY2" s="277"/>
      <c r="BZ2" s="277"/>
      <c r="CA2" s="14">
        <f>IF(CA3="","",IF(AND(CA5="Y",CA6="N"),CA3,IF(CA3&lt;1000,CA3+10,CA3+20)))</f>
        <v>280</v>
      </c>
      <c r="CC2" s="277" t="s">
        <v>173</v>
      </c>
      <c r="CD2" s="277"/>
      <c r="CE2" s="277"/>
      <c r="CF2" s="14">
        <f>IF(CF3="","",IF(AND(CF5="Y",CF6="N"),CF3,IF(CF3&lt;1000,CF3+10,CF3+20)))</f>
        <v>612</v>
      </c>
      <c r="CH2" s="277" t="s">
        <v>173</v>
      </c>
      <c r="CI2" s="277"/>
      <c r="CJ2" s="277"/>
      <c r="CK2" s="14">
        <f>IF(CK3="","",IF(AND(CK5="Y",CK6="N"),CK3,IF(CK3&lt;1000,CK3+10,CK3+20)))</f>
        <v>1420</v>
      </c>
      <c r="CM2" s="277" t="s">
        <v>173</v>
      </c>
      <c r="CN2" s="277"/>
      <c r="CO2" s="277"/>
      <c r="CP2" s="14" t="str">
        <f>IF(CP3="","",IF(AND(CP5="Y",CP6="N"),CP3,IF(CP3&lt;1000,CP3+10,CP3+20)))</f>
        <v/>
      </c>
      <c r="CR2" s="277" t="s">
        <v>173</v>
      </c>
      <c r="CS2" s="277"/>
      <c r="CT2" s="277"/>
      <c r="CU2" s="14" t="str">
        <f>IF(CU3="","",IF(AND(CU5="Y",CU6="N"),CU3,IF(CU3&lt;1000,CU3+10,CU3+20)))</f>
        <v/>
      </c>
      <c r="CW2" s="277" t="s">
        <v>173</v>
      </c>
      <c r="CX2" s="277"/>
      <c r="CY2" s="277"/>
      <c r="CZ2" s="14" t="str">
        <f>IF(CZ3="","",IF(AND(CZ5="Y",CZ6="N"),CZ3,IF(CZ3&lt;1000,CZ3+10,CZ3+20)))</f>
        <v/>
      </c>
      <c r="DB2" s="277" t="s">
        <v>173</v>
      </c>
      <c r="DC2" s="277"/>
      <c r="DD2" s="277"/>
      <c r="DE2" s="14" t="str">
        <f>IF(DE3="","",IF(AND(DE5="Y",DE6="N"),DE3,IF(DE3&lt;1000,DE3+10,DE3+20)))</f>
        <v/>
      </c>
      <c r="DG2" s="277" t="s">
        <v>173</v>
      </c>
      <c r="DH2" s="277"/>
      <c r="DI2" s="277"/>
      <c r="DJ2" s="14" t="str">
        <f>IF(DJ3="","",IF(AND(DJ5="Y",DJ6="N"),DJ3,IF(DJ3&lt;1000,DJ3+10,DJ3+20)))</f>
        <v/>
      </c>
      <c r="DL2" s="277" t="s">
        <v>173</v>
      </c>
      <c r="DM2" s="277"/>
      <c r="DN2" s="277"/>
      <c r="DO2" s="14" t="str">
        <f>IF(DO3="","",IF(AND(DO5="Y",DO6="N"),DO3,IF(DO3&lt;1000,DO3+10,DO3+20)))</f>
        <v/>
      </c>
      <c r="DQ2" s="277" t="s">
        <v>173</v>
      </c>
      <c r="DR2" s="277"/>
      <c r="DS2" s="277"/>
      <c r="DT2" s="14" t="str">
        <f>IF(DT3="","",IF(AND(DT5="Y",DT6="N"),DT3,IF(DT3&lt;1000,DT3+10,DT3+20)))</f>
        <v/>
      </c>
      <c r="DV2" s="277" t="s">
        <v>173</v>
      </c>
      <c r="DW2" s="277"/>
      <c r="DX2" s="277"/>
      <c r="DY2" s="14" t="str">
        <f>IF(DY3="","",IF(AND(DY5="Y",DY6="N"),DY3,IF(DY3&lt;1000,DY3+10,DY3+20)))</f>
        <v/>
      </c>
      <c r="EA2" s="277" t="s">
        <v>173</v>
      </c>
      <c r="EB2" s="277"/>
      <c r="EC2" s="277"/>
      <c r="ED2" s="14" t="str">
        <f>IF(ED3="","",IF(AND(ED5="Y",ED6="N"),ED3,IF(ED3&lt;1000,ED3+10,ED3+20)))</f>
        <v/>
      </c>
      <c r="EF2" s="277" t="s">
        <v>173</v>
      </c>
      <c r="EG2" s="277"/>
      <c r="EH2" s="277"/>
      <c r="EI2" s="14" t="str">
        <f>IF(EI3="","",IF(AND(EI5="Y",EI6="N"),EI3,IF(EI3&lt;1000,EI3+10,EI3+20)))</f>
        <v/>
      </c>
      <c r="EK2" s="277" t="s">
        <v>173</v>
      </c>
      <c r="EL2" s="277"/>
      <c r="EM2" s="277"/>
      <c r="EN2" s="14" t="str">
        <f>IF(EN3="","",IF(AND(EN5="Y",EN6="N"),EN3,IF(EN3&lt;1000,EN3+10,EN3+20)))</f>
        <v/>
      </c>
      <c r="EP2" s="277" t="s">
        <v>173</v>
      </c>
      <c r="EQ2" s="277"/>
      <c r="ER2" s="277"/>
      <c r="ES2" s="14" t="str">
        <f>IF(ES3="","",IF(AND(ES5="Y",ES6="N"),ES3,IF(ES3&lt;1000,ES3+10,ES3+20)))</f>
        <v/>
      </c>
      <c r="EU2" s="277" t="s">
        <v>173</v>
      </c>
      <c r="EV2" s="277"/>
      <c r="EW2" s="277"/>
      <c r="EX2" s="14" t="str">
        <f>IF(EX3="","",IF(AND(EX5="Y",EX6="N"),EX3,IF(EX3&lt;1000,EX3+10,EX3+20)))</f>
        <v/>
      </c>
      <c r="EZ2" s="277" t="s">
        <v>173</v>
      </c>
      <c r="FA2" s="277"/>
      <c r="FB2" s="277"/>
      <c r="FC2" s="14" t="str">
        <f>IF(FC3="","",IF(AND(FC5="Y",FC6="N"),FC3,IF(FC3&lt;1000,FC3+10,FC3+20)))</f>
        <v/>
      </c>
      <c r="FE2" s="277" t="s">
        <v>173</v>
      </c>
      <c r="FF2" s="277"/>
      <c r="FG2" s="277"/>
      <c r="FH2" s="14" t="str">
        <f>IF(FH3="","",IF(AND(FH5="Y",FH6="N"),FH3,IF(FH3&lt;1000,FH3+10,FH3+20)))</f>
        <v/>
      </c>
      <c r="FJ2" s="277" t="s">
        <v>173</v>
      </c>
      <c r="FK2" s="277"/>
      <c r="FL2" s="277"/>
      <c r="FM2" s="14" t="str">
        <f>IF(FM3="","",IF(AND(FM5="Y",FM6="N"),FM3,IF(FM3&lt;1000,FM3+10,FM3+20)))</f>
        <v/>
      </c>
      <c r="FO2" s="277" t="s">
        <v>173</v>
      </c>
      <c r="FP2" s="277"/>
      <c r="FQ2" s="277"/>
      <c r="FR2" s="14" t="str">
        <f>IF(FR3="","",IF(AND(FR5="Y",FR6="N"),FR3,IF(FR3&lt;1000,FR3+10,FR3+20)))</f>
        <v/>
      </c>
      <c r="FT2" s="277" t="s">
        <v>173</v>
      </c>
      <c r="FU2" s="277"/>
      <c r="FV2" s="277"/>
      <c r="FW2" s="14" t="str">
        <f>IF(FW3="","",IF(AND(FW5="Y",FW6="N"),FW3,IF(FW3&lt;1000,FW3+10,FW3+20)))</f>
        <v/>
      </c>
      <c r="FY2" s="277" t="s">
        <v>173</v>
      </c>
      <c r="FZ2" s="277"/>
      <c r="GA2" s="277"/>
      <c r="GB2" s="14" t="str">
        <f>IF(GB3="","",IF(AND(GB5="Y",GB6="N"),GB3,IF(GB3&lt;1000,GB3+10,GB3+20)))</f>
        <v/>
      </c>
      <c r="GD2" s="277" t="s">
        <v>173</v>
      </c>
      <c r="GE2" s="277"/>
      <c r="GF2" s="277"/>
      <c r="GG2" s="14" t="str">
        <f>IF(GG3="","",IF(AND(GG5="Y",GG6="N"),GG3,IF(GG3&lt;1000,GG3+10,GG3+20)))</f>
        <v/>
      </c>
      <c r="GI2" s="277" t="s">
        <v>173</v>
      </c>
      <c r="GJ2" s="277"/>
      <c r="GK2" s="277"/>
      <c r="GL2" s="14" t="str">
        <f>IF(GL3="","",IF(AND(GL5="Y",GL6="N"),GL3,IF(GL3&lt;1000,GL3+10,GL3+20)))</f>
        <v/>
      </c>
      <c r="GN2" s="277" t="s">
        <v>173</v>
      </c>
      <c r="GO2" s="277"/>
      <c r="GP2" s="277"/>
      <c r="GQ2" s="14" t="str">
        <f>IF(GQ3="","",IF(AND(GQ5="Y",GQ6="N"),GQ3,IF(GQ3&lt;1000,GQ3+10,GQ3+20)))</f>
        <v/>
      </c>
      <c r="GS2" s="277" t="s">
        <v>173</v>
      </c>
      <c r="GT2" s="277"/>
      <c r="GU2" s="277"/>
      <c r="GV2" s="14" t="str">
        <f>IF(GV3="","",IF(AND(GV5="Y",GV6="N"),GV3,IF(GV3&lt;1000,GV3+10,GV3+20)))</f>
        <v/>
      </c>
      <c r="GX2" s="277" t="s">
        <v>173</v>
      </c>
      <c r="GY2" s="277"/>
      <c r="GZ2" s="277"/>
      <c r="HA2" s="14" t="str">
        <f>IF(HA3="","",IF(AND(HA5="Y",HA6="N"),HA3,IF(HA3&lt;1000,HA3+10,HA3+20)))</f>
        <v/>
      </c>
      <c r="HC2" s="277" t="s">
        <v>173</v>
      </c>
      <c r="HD2" s="277"/>
      <c r="HE2" s="277"/>
      <c r="HF2" s="14" t="str">
        <f>IF(HF3="","",IF(AND(HF5="Y",HF6="N"),HF3,IF(HF3&lt;1000,HF3+10,HF3+20)))</f>
        <v/>
      </c>
      <c r="HH2" s="277" t="s">
        <v>173</v>
      </c>
      <c r="HI2" s="277"/>
      <c r="HJ2" s="277"/>
      <c r="HK2" s="14" t="str">
        <f>IF(HK3="","",IF(AND(HK5="Y",HK6="N"),HK3,IF(HK3&lt;1000,HK3+10,HK3+20)))</f>
        <v/>
      </c>
      <c r="HM2" s="277" t="s">
        <v>173</v>
      </c>
      <c r="HN2" s="277"/>
      <c r="HO2" s="277"/>
      <c r="HP2" s="14" t="str">
        <f>IF(HP3="","",IF(AND(HP5="Y",HP6="N"),HP3,IF(HP3&lt;1000,HP3+10,HP3+20)))</f>
        <v/>
      </c>
      <c r="HR2" s="277" t="s">
        <v>173</v>
      </c>
      <c r="HS2" s="277"/>
      <c r="HT2" s="277"/>
      <c r="HU2" s="14" t="str">
        <f>IF(HU3="","",IF(AND(HU5="Y",HU6="N"),HU3,IF(HU3&lt;1000,HU3+10,HU3+20)))</f>
        <v/>
      </c>
      <c r="HW2" s="277" t="s">
        <v>173</v>
      </c>
      <c r="HX2" s="277"/>
      <c r="HY2" s="277"/>
      <c r="HZ2" s="14" t="str">
        <f>IF(HZ3="","",IF(AND(HZ5="Y",HZ6="N"),HZ3,IF(HZ3&lt;1000,HZ3+10,HZ3+20)))</f>
        <v/>
      </c>
      <c r="IB2" s="277" t="s">
        <v>173</v>
      </c>
      <c r="IC2" s="277"/>
      <c r="ID2" s="277"/>
      <c r="IE2" s="14" t="str">
        <f>IF(IE3="","",IF(AND(IE5="Y",IE6="N"),IE3,IF(IE3&lt;1000,IE3+10,IE3+20)))</f>
        <v/>
      </c>
      <c r="IG2" s="277" t="s">
        <v>173</v>
      </c>
      <c r="IH2" s="277"/>
      <c r="II2" s="277"/>
      <c r="IJ2" s="14" t="str">
        <f>IF(IJ3="","",IF(AND(IJ5="Y",IJ6="N"),IJ3,IF(IJ3&lt;1000,IJ3+10,IJ3+20)))</f>
        <v/>
      </c>
      <c r="IL2" s="277" t="s">
        <v>173</v>
      </c>
      <c r="IM2" s="277"/>
      <c r="IN2" s="277"/>
      <c r="IO2" s="14" t="str">
        <f>IF(IO3="","",IF(AND(IO5="Y",IO6="N"),IO3,IF(IO3&lt;1000,IO3+10,IO3+20)))</f>
        <v/>
      </c>
    </row>
    <row r="3" spans="1:250" x14ac:dyDescent="0.3">
      <c r="A3" s="277" t="s">
        <v>174</v>
      </c>
      <c r="B3" s="277"/>
      <c r="C3" s="277"/>
      <c r="D3" s="15">
        <f>IF(E3="","",SUM(E3,E5,E6))</f>
        <v>796</v>
      </c>
      <c r="E3" s="16">
        <f>IF(E9="","",SUM(E9:E208,B9:B208,D9:D208))</f>
        <v>796</v>
      </c>
      <c r="F3" s="277" t="s">
        <v>174</v>
      </c>
      <c r="G3" s="277"/>
      <c r="H3" s="277"/>
      <c r="I3" s="15">
        <f>IF(J3="","",SUM(J3,J5,J6))</f>
        <v>760</v>
      </c>
      <c r="J3" s="16">
        <f>IF(J9="","",SUM(J9:J208,G9:G208,I9:I208))</f>
        <v>760</v>
      </c>
      <c r="K3" s="277" t="s">
        <v>174</v>
      </c>
      <c r="L3" s="277"/>
      <c r="M3" s="277"/>
      <c r="N3" s="15">
        <f>IF(O3="","",SUM(O3,O5,O6))</f>
        <v>661</v>
      </c>
      <c r="O3" s="16">
        <f>IF(O9="","",SUM(O9:O208,L9:L208,N9:N208))</f>
        <v>661</v>
      </c>
      <c r="P3" s="277" t="s">
        <v>174</v>
      </c>
      <c r="Q3" s="277"/>
      <c r="R3" s="277"/>
      <c r="S3" s="15">
        <f>IF(T3="","",SUM(T3,T5,T6))</f>
        <v>1687</v>
      </c>
      <c r="T3" s="16">
        <f>IF(T9="","",SUM(T9:T208,Q9:Q208,S9:S208))</f>
        <v>1662</v>
      </c>
      <c r="U3" s="277" t="s">
        <v>174</v>
      </c>
      <c r="V3" s="277"/>
      <c r="W3" s="277"/>
      <c r="X3" s="15">
        <f>IF(Y3="","",SUM(Y3,Y5,Y6))</f>
        <v>2035</v>
      </c>
      <c r="Y3" s="16">
        <f>IF(Y9="","",SUM(Y9:Y208,V9:V208,X9:X208))</f>
        <v>1985</v>
      </c>
      <c r="Z3" s="277" t="s">
        <v>174</v>
      </c>
      <c r="AA3" s="277"/>
      <c r="AB3" s="277"/>
      <c r="AC3" s="15">
        <f>IF(AD3="","",SUM(AD3,AD5,AD6))</f>
        <v>1086</v>
      </c>
      <c r="AD3" s="16">
        <f>IF(AD9="","",SUM(AD9:AD208,AA9:AA208,AC9:AC208))</f>
        <v>1036</v>
      </c>
      <c r="AE3" s="277" t="s">
        <v>174</v>
      </c>
      <c r="AF3" s="277"/>
      <c r="AG3" s="277"/>
      <c r="AH3" s="15">
        <f>IF(AI3="","",SUM(AI3,AI5,AI6))</f>
        <v>1360</v>
      </c>
      <c r="AI3" s="16">
        <f>IF(AI9="","",SUM(AI9:AI208,AF9:AF208,AH9:AH208))</f>
        <v>1345</v>
      </c>
      <c r="AJ3" s="277" t="s">
        <v>174</v>
      </c>
      <c r="AK3" s="277"/>
      <c r="AL3" s="277"/>
      <c r="AM3" s="15">
        <f>IF(AN3="","",SUM(AN3,AN5,AN6))</f>
        <v>1220</v>
      </c>
      <c r="AN3" s="16">
        <f>IF(AN9="","",SUM(AN9:AN208,AK9:AK208,AM9:AM208))</f>
        <v>1195</v>
      </c>
      <c r="AO3" s="277" t="s">
        <v>174</v>
      </c>
      <c r="AP3" s="277"/>
      <c r="AQ3" s="277"/>
      <c r="AR3" s="15">
        <f>IF(AS3="","",SUM(AS3,AS5,AS6))</f>
        <v>1673</v>
      </c>
      <c r="AS3" s="16">
        <f>IF(AS9="","",SUM(AS9:AS208,AP9:AP208,AR9:AR208))</f>
        <v>1648</v>
      </c>
      <c r="AT3" s="277" t="s">
        <v>174</v>
      </c>
      <c r="AU3" s="277"/>
      <c r="AV3" s="277"/>
      <c r="AW3" s="15">
        <f>IF(AX3="","",SUM(AX3,AX5,AX6))</f>
        <v>1796</v>
      </c>
      <c r="AX3" s="16">
        <f>IF(AX9="","",SUM(AX9:AX208,AU9:AU208,AW9:AW208))</f>
        <v>1781</v>
      </c>
      <c r="AY3" s="277" t="s">
        <v>174</v>
      </c>
      <c r="AZ3" s="277"/>
      <c r="BA3" s="277"/>
      <c r="BB3" s="15">
        <f>IF(BC3="","",SUM(BC3,BC5,BC6))</f>
        <v>1290</v>
      </c>
      <c r="BC3" s="16">
        <f>IF(BC9="","",SUM(BC9:BC208,AZ9:AZ208,BB9:BB208))</f>
        <v>1265</v>
      </c>
      <c r="BD3" s="277" t="s">
        <v>174</v>
      </c>
      <c r="BE3" s="277"/>
      <c r="BF3" s="277"/>
      <c r="BG3" s="15">
        <f>IF(BH3="","",SUM(BH3,BH5,BH6))</f>
        <v>1068</v>
      </c>
      <c r="BH3" s="16">
        <f>IF(BH9="","",SUM(BH9:BH208,BE9:BE208,BG9:BG208))</f>
        <v>1043</v>
      </c>
      <c r="BI3" s="277" t="s">
        <v>174</v>
      </c>
      <c r="BJ3" s="277"/>
      <c r="BK3" s="277"/>
      <c r="BL3" s="15">
        <f>IF(BM3="","",SUM(BM3,BM5,BM6))</f>
        <v>1014</v>
      </c>
      <c r="BM3" s="16">
        <f>IF(BM9="","",SUM(BM9:BM208,BJ9:BJ208,BL9:BL208))</f>
        <v>989</v>
      </c>
      <c r="BN3" s="277" t="s">
        <v>174</v>
      </c>
      <c r="BO3" s="277"/>
      <c r="BP3" s="277"/>
      <c r="BQ3" s="15">
        <f>IF(BR3="","",SUM(BR3,BR5,BR6))</f>
        <v>872</v>
      </c>
      <c r="BR3" s="16">
        <f>IF(BR9="","",SUM(BR9:BR208,BO9:BO208,BQ9:BQ208))</f>
        <v>872</v>
      </c>
      <c r="BS3" s="277" t="s">
        <v>174</v>
      </c>
      <c r="BT3" s="277"/>
      <c r="BU3" s="277"/>
      <c r="BV3" s="15">
        <f>IF(BW3="","",SUM(BW3,BW5,BW6))</f>
        <v>1190</v>
      </c>
      <c r="BW3" s="16">
        <f>IF(BW9="","",SUM(BW9:BW208,BT9:BT208,BV9:BV208))</f>
        <v>1140</v>
      </c>
      <c r="BX3" s="277" t="s">
        <v>174</v>
      </c>
      <c r="BY3" s="277"/>
      <c r="BZ3" s="277"/>
      <c r="CA3" s="15">
        <f>IF(CB3="","",SUM(CB3,CB5,CB6))</f>
        <v>270</v>
      </c>
      <c r="CB3" s="16">
        <f>IF(CB9="","",SUM(CB9:CB208,BY9:BY208,CA9:CA208))</f>
        <v>270</v>
      </c>
      <c r="CC3" s="277" t="s">
        <v>174</v>
      </c>
      <c r="CD3" s="277"/>
      <c r="CE3" s="277"/>
      <c r="CF3" s="15">
        <f>IF(CG3="","",SUM(CG3,CG5,CG6))</f>
        <v>602</v>
      </c>
      <c r="CG3" s="16">
        <f>IF(CG9="","",SUM(CG9:CG208,CD9:CD208,CF9:CF208))</f>
        <v>602</v>
      </c>
      <c r="CH3" s="277" t="s">
        <v>174</v>
      </c>
      <c r="CI3" s="277"/>
      <c r="CJ3" s="277"/>
      <c r="CK3" s="15">
        <f>IF(CL3="","",SUM(CL3,CL5,CL6))</f>
        <v>1400</v>
      </c>
      <c r="CL3" s="16">
        <f>IF(CL9="","",SUM(CL9:CL208,CI9:CI208,CK9:CK208))</f>
        <v>1400</v>
      </c>
      <c r="CM3" s="277" t="s">
        <v>174</v>
      </c>
      <c r="CN3" s="277"/>
      <c r="CO3" s="277"/>
      <c r="CP3" s="15" t="str">
        <f>IF(CQ3="","",SUM(CQ3,CQ5,CQ6))</f>
        <v/>
      </c>
      <c r="CQ3" s="16" t="str">
        <f>IF(CQ9="","",SUM(CQ9:CQ208,CN9:CN208,CP9:CP208))</f>
        <v/>
      </c>
      <c r="CR3" s="277" t="s">
        <v>174</v>
      </c>
      <c r="CS3" s="277"/>
      <c r="CT3" s="277"/>
      <c r="CU3" s="15" t="str">
        <f>IF(CV3="","",SUM(CV3,CV5,CV6))</f>
        <v/>
      </c>
      <c r="CV3" s="16" t="str">
        <f>IF(CV9="","",SUM(CV9:CV208,CS9:CS208,CU9:CU208))</f>
        <v/>
      </c>
      <c r="CW3" s="277" t="s">
        <v>174</v>
      </c>
      <c r="CX3" s="277"/>
      <c r="CY3" s="277"/>
      <c r="CZ3" s="15" t="str">
        <f>IF(DA3="","",SUM(DA3,DA5,DA6))</f>
        <v/>
      </c>
      <c r="DA3" s="16" t="str">
        <f>IF(DA9="","",SUM(DA9:DA208,CX9:CX208,CZ9:CZ208))</f>
        <v/>
      </c>
      <c r="DB3" s="277" t="s">
        <v>174</v>
      </c>
      <c r="DC3" s="277"/>
      <c r="DD3" s="277"/>
      <c r="DE3" s="15" t="str">
        <f>IF(DF3="","",SUM(DF3,DF5,DF6))</f>
        <v/>
      </c>
      <c r="DF3" s="16" t="str">
        <f>IF(DF9="","",SUM(DF9:DF208,DC9:DC208,DE9:DE208))</f>
        <v/>
      </c>
      <c r="DG3" s="277" t="s">
        <v>174</v>
      </c>
      <c r="DH3" s="277"/>
      <c r="DI3" s="277"/>
      <c r="DJ3" s="15" t="str">
        <f>IF(DK3="","",SUM(DK3,DK5,DK6))</f>
        <v/>
      </c>
      <c r="DK3" s="16" t="str">
        <f>IF(DK9="","",SUM(DK9:DK208,DH9:DH208,DJ9:DJ208))</f>
        <v/>
      </c>
      <c r="DL3" s="277" t="s">
        <v>174</v>
      </c>
      <c r="DM3" s="277"/>
      <c r="DN3" s="277"/>
      <c r="DO3" s="15" t="str">
        <f>IF(DP3="","",SUM(DP3,DP5,DP6))</f>
        <v/>
      </c>
      <c r="DP3" s="16" t="str">
        <f>IF(DP9="","",SUM(DP9:DP208,DM9:DM208,DO9:DO208))</f>
        <v/>
      </c>
      <c r="DQ3" s="277" t="s">
        <v>174</v>
      </c>
      <c r="DR3" s="277"/>
      <c r="DS3" s="277"/>
      <c r="DT3" s="15" t="str">
        <f>IF(DU3="","",SUM(DU3,DU5,DU6))</f>
        <v/>
      </c>
      <c r="DU3" s="16" t="str">
        <f>IF(DU9="","",SUM(DU9:DU208,DR9:DR208,DT9:DT208))</f>
        <v/>
      </c>
      <c r="DV3" s="277" t="s">
        <v>174</v>
      </c>
      <c r="DW3" s="277"/>
      <c r="DX3" s="277"/>
      <c r="DY3" s="15" t="str">
        <f>IF(DZ3="","",SUM(DZ3,DZ5,DZ6))</f>
        <v/>
      </c>
      <c r="DZ3" s="16" t="str">
        <f>IF(DZ9="","",SUM(DZ9:DZ208,DW9:DW208,DY9:DY208))</f>
        <v/>
      </c>
      <c r="EA3" s="277" t="s">
        <v>174</v>
      </c>
      <c r="EB3" s="277"/>
      <c r="EC3" s="277"/>
      <c r="ED3" s="15" t="str">
        <f>IF(EE3="","",SUM(EE3,EE5,EE6))</f>
        <v/>
      </c>
      <c r="EE3" s="16" t="str">
        <f>IF(EE9="","",SUM(EE9:EE208,EB9:EB208,ED9:ED208))</f>
        <v/>
      </c>
      <c r="EF3" s="277" t="s">
        <v>174</v>
      </c>
      <c r="EG3" s="277"/>
      <c r="EH3" s="277"/>
      <c r="EI3" s="15" t="str">
        <f>IF(EJ3="","",SUM(EJ3,EJ5,EJ6))</f>
        <v/>
      </c>
      <c r="EJ3" s="16" t="str">
        <f>IF(EJ9="","",SUM(EJ9:EJ208,EG9:EG208,EI9:EI208))</f>
        <v/>
      </c>
      <c r="EK3" s="277" t="s">
        <v>174</v>
      </c>
      <c r="EL3" s="277"/>
      <c r="EM3" s="277"/>
      <c r="EN3" s="15" t="str">
        <f>IF(EO3="","",SUM(EO3,EO5,EO6))</f>
        <v/>
      </c>
      <c r="EO3" s="16" t="str">
        <f>IF(EO9="","",SUM(EO9:EO208,EL9:EL208,EN9:EN208))</f>
        <v/>
      </c>
      <c r="EP3" s="277" t="s">
        <v>174</v>
      </c>
      <c r="EQ3" s="277"/>
      <c r="ER3" s="277"/>
      <c r="ES3" s="15" t="str">
        <f>IF(ET3="","",SUM(ET3,ET5,ET6))</f>
        <v/>
      </c>
      <c r="ET3" s="16" t="str">
        <f>IF(ET9="","",SUM(ET9:ET208,EQ9:EQ208,ES9:ES208))</f>
        <v/>
      </c>
      <c r="EU3" s="277" t="s">
        <v>174</v>
      </c>
      <c r="EV3" s="277"/>
      <c r="EW3" s="277"/>
      <c r="EX3" s="15" t="str">
        <f>IF(EY3="","",SUM(EY3,EY5,EY6))</f>
        <v/>
      </c>
      <c r="EY3" s="16" t="str">
        <f>IF(EY9="","",SUM(EY9:EY208,EV9:EV208,EX9:EX208))</f>
        <v/>
      </c>
      <c r="EZ3" s="277" t="s">
        <v>174</v>
      </c>
      <c r="FA3" s="277"/>
      <c r="FB3" s="277"/>
      <c r="FC3" s="15" t="str">
        <f>IF(FD3="","",SUM(FD3,FD5,FD6))</f>
        <v/>
      </c>
      <c r="FD3" s="16" t="str">
        <f>IF(FD9="","",SUM(FD9:FD208,FA9:FA208,FC9:FC208))</f>
        <v/>
      </c>
      <c r="FE3" s="277" t="s">
        <v>174</v>
      </c>
      <c r="FF3" s="277"/>
      <c r="FG3" s="277"/>
      <c r="FH3" s="15" t="str">
        <f>IF(FI3="","",SUM(FI3,FI5,FI6))</f>
        <v/>
      </c>
      <c r="FI3" s="16" t="str">
        <f>IF(FI9="","",SUM(FI9:FI208,FF9:FF208,FH9:FH208))</f>
        <v/>
      </c>
      <c r="FJ3" s="277" t="s">
        <v>174</v>
      </c>
      <c r="FK3" s="277"/>
      <c r="FL3" s="277"/>
      <c r="FM3" s="15" t="str">
        <f>IF(FN3="","",SUM(FN3,FN5,FN6))</f>
        <v/>
      </c>
      <c r="FN3" s="16" t="str">
        <f>IF(FN9="","",SUM(FN9:FN208,FK9:FK208,FM9:FM208))</f>
        <v/>
      </c>
      <c r="FO3" s="277" t="s">
        <v>174</v>
      </c>
      <c r="FP3" s="277"/>
      <c r="FQ3" s="277"/>
      <c r="FR3" s="15" t="str">
        <f>IF(FS3="","",SUM(FS3,FS5,FS6))</f>
        <v/>
      </c>
      <c r="FS3" s="16" t="str">
        <f>IF(FS9="","",SUM(FS9:FS208,FP9:FP208,FR9:FR208))</f>
        <v/>
      </c>
      <c r="FT3" s="277" t="s">
        <v>174</v>
      </c>
      <c r="FU3" s="277"/>
      <c r="FV3" s="277"/>
      <c r="FW3" s="15" t="str">
        <f>IF(FX3="","",SUM(FX3,FX5,FX6))</f>
        <v/>
      </c>
      <c r="FX3" s="16" t="str">
        <f>IF(FX9="","",SUM(FX9:FX208,FU9:FU208,FW9:FW208))</f>
        <v/>
      </c>
      <c r="FY3" s="277" t="s">
        <v>174</v>
      </c>
      <c r="FZ3" s="277"/>
      <c r="GA3" s="277"/>
      <c r="GB3" s="15" t="str">
        <f>IF(GC3="","",SUM(GC3,GC5,GC6))</f>
        <v/>
      </c>
      <c r="GC3" s="16" t="str">
        <f>IF(GC9="","",SUM(GC9:GC208,FZ9:FZ208,GB9:GB208))</f>
        <v/>
      </c>
      <c r="GD3" s="277" t="s">
        <v>174</v>
      </c>
      <c r="GE3" s="277"/>
      <c r="GF3" s="277"/>
      <c r="GG3" s="15" t="str">
        <f>IF(GH3="","",SUM(GH3,GH5,GH6))</f>
        <v/>
      </c>
      <c r="GH3" s="16" t="str">
        <f>IF(GH9="","",SUM(GH9:GH208,GE9:GE208,GG9:GG208))</f>
        <v/>
      </c>
      <c r="GI3" s="277" t="s">
        <v>174</v>
      </c>
      <c r="GJ3" s="277"/>
      <c r="GK3" s="277"/>
      <c r="GL3" s="15" t="str">
        <f>IF(GM3="","",SUM(GM3,GM5,GM6))</f>
        <v/>
      </c>
      <c r="GM3" s="16" t="str">
        <f>IF(GM9="","",SUM(GM9:GM208,GJ9:GJ208,GL9:GL208))</f>
        <v/>
      </c>
      <c r="GN3" s="277" t="s">
        <v>174</v>
      </c>
      <c r="GO3" s="277"/>
      <c r="GP3" s="277"/>
      <c r="GQ3" s="15" t="str">
        <f>IF(GR3="","",SUM(GR3,GR5,GR6))</f>
        <v/>
      </c>
      <c r="GR3" s="16" t="str">
        <f>IF(GR9="","",SUM(GR9:GR208,GO9:GO208,GQ9:GQ208))</f>
        <v/>
      </c>
      <c r="GS3" s="277" t="s">
        <v>174</v>
      </c>
      <c r="GT3" s="277"/>
      <c r="GU3" s="277"/>
      <c r="GV3" s="15" t="str">
        <f>IF(GW3="","",SUM(GW3,GW5,GW6))</f>
        <v/>
      </c>
      <c r="GW3" s="16" t="str">
        <f>IF(GW9="","",SUM(GW9:GW208,GT9:GT208,GV9:GV208))</f>
        <v/>
      </c>
      <c r="GX3" s="277" t="s">
        <v>174</v>
      </c>
      <c r="GY3" s="277"/>
      <c r="GZ3" s="277"/>
      <c r="HA3" s="15" t="str">
        <f>IF(HB3="","",SUM(HB3,HB5,HB6))</f>
        <v/>
      </c>
      <c r="HB3" s="16" t="str">
        <f>IF(HB9="","",SUM(HB9:HB208,GY9:GY208,HA9:HA208))</f>
        <v/>
      </c>
      <c r="HC3" s="277" t="s">
        <v>174</v>
      </c>
      <c r="HD3" s="277"/>
      <c r="HE3" s="277"/>
      <c r="HF3" s="15" t="str">
        <f>IF(HG3="","",SUM(HG3,HG5,HG6))</f>
        <v/>
      </c>
      <c r="HG3" s="16" t="str">
        <f>IF(HG9="","",SUM(HG9:HG208,HD9:HD208,HF9:HF208))</f>
        <v/>
      </c>
      <c r="HH3" s="277" t="s">
        <v>174</v>
      </c>
      <c r="HI3" s="277"/>
      <c r="HJ3" s="277"/>
      <c r="HK3" s="15" t="str">
        <f>IF(HL3="","",SUM(HL3,HL5,HL6))</f>
        <v/>
      </c>
      <c r="HL3" s="16" t="str">
        <f>IF(HL9="","",SUM(HL9:HL208,HI9:HI208,HK9:HK208))</f>
        <v/>
      </c>
      <c r="HM3" s="277" t="s">
        <v>174</v>
      </c>
      <c r="HN3" s="277"/>
      <c r="HO3" s="277"/>
      <c r="HP3" s="15" t="str">
        <f>IF(HQ3="","",SUM(HQ3,HQ5,HQ6))</f>
        <v/>
      </c>
      <c r="HQ3" s="16" t="str">
        <f>IF(HQ9="","",SUM(HQ9:HQ208,HN9:HN208,HP9:HP208))</f>
        <v/>
      </c>
      <c r="HR3" s="277" t="s">
        <v>174</v>
      </c>
      <c r="HS3" s="277"/>
      <c r="HT3" s="277"/>
      <c r="HU3" s="15" t="str">
        <f>IF(HV3="","",SUM(HV3,HV5,HV6))</f>
        <v/>
      </c>
      <c r="HV3" s="16" t="str">
        <f>IF(HV9="","",SUM(HV9:HV208,HS9:HS208,HU9:HU208))</f>
        <v/>
      </c>
      <c r="HW3" s="277" t="s">
        <v>174</v>
      </c>
      <c r="HX3" s="277"/>
      <c r="HY3" s="277"/>
      <c r="HZ3" s="15" t="str">
        <f>IF(IA3="","",SUM(IA3,IA5,IA6))</f>
        <v/>
      </c>
      <c r="IA3" s="16" t="str">
        <f>IF(IA9="","",SUM(IA9:IA208,HX9:HX208,HZ9:HZ208))</f>
        <v/>
      </c>
      <c r="IB3" s="277" t="s">
        <v>174</v>
      </c>
      <c r="IC3" s="277"/>
      <c r="ID3" s="277"/>
      <c r="IE3" s="15" t="str">
        <f>IF(IF3="","",SUM(IF3,IF5,IF6))</f>
        <v/>
      </c>
      <c r="IF3" s="16" t="str">
        <f>IF(IF9="","",SUM(IF9:IF208,IC9:IC208,IE9:IE208))</f>
        <v/>
      </c>
      <c r="IG3" s="277" t="s">
        <v>174</v>
      </c>
      <c r="IH3" s="277"/>
      <c r="II3" s="277"/>
      <c r="IJ3" s="15" t="str">
        <f>IF(IK3="","",SUM(IK3,IK5,IK6))</f>
        <v/>
      </c>
      <c r="IK3" s="16" t="str">
        <f>IF(IK9="","",SUM(IK9:IK208,IH9:IH208,IJ9:IJ208))</f>
        <v/>
      </c>
      <c r="IL3" s="277" t="s">
        <v>174</v>
      </c>
      <c r="IM3" s="277"/>
      <c r="IN3" s="277"/>
      <c r="IO3" s="15" t="str">
        <f>IF(IP3="","",SUM(IP3,IP5,IP6))</f>
        <v/>
      </c>
      <c r="IP3" s="16" t="str">
        <f>IF(IP9="","",SUM(IP9:IP208,IM9:IM208,IO9:IO208))</f>
        <v/>
      </c>
    </row>
    <row r="4" spans="1:250" x14ac:dyDescent="0.3">
      <c r="A4" s="273" t="s">
        <v>175</v>
      </c>
      <c r="B4" s="274"/>
      <c r="C4" s="275"/>
      <c r="D4" s="117" t="s">
        <v>176</v>
      </c>
      <c r="F4" s="273" t="s">
        <v>175</v>
      </c>
      <c r="G4" s="274"/>
      <c r="H4" s="275"/>
      <c r="I4" s="117" t="s">
        <v>176</v>
      </c>
      <c r="K4" s="273" t="s">
        <v>175</v>
      </c>
      <c r="L4" s="274"/>
      <c r="M4" s="275"/>
      <c r="N4" s="117" t="s">
        <v>177</v>
      </c>
      <c r="P4" s="273" t="s">
        <v>175</v>
      </c>
      <c r="Q4" s="274"/>
      <c r="R4" s="275"/>
      <c r="S4" s="117" t="s">
        <v>177</v>
      </c>
      <c r="U4" s="273" t="s">
        <v>175</v>
      </c>
      <c r="V4" s="274"/>
      <c r="W4" s="275"/>
      <c r="X4" s="117" t="s">
        <v>177</v>
      </c>
      <c r="Z4" s="273" t="s">
        <v>175</v>
      </c>
      <c r="AA4" s="274"/>
      <c r="AB4" s="275"/>
      <c r="AC4" s="117" t="s">
        <v>177</v>
      </c>
      <c r="AE4" s="273" t="s">
        <v>175</v>
      </c>
      <c r="AF4" s="274"/>
      <c r="AG4" s="275"/>
      <c r="AH4" s="117" t="s">
        <v>177</v>
      </c>
      <c r="AJ4" s="273" t="s">
        <v>175</v>
      </c>
      <c r="AK4" s="274"/>
      <c r="AL4" s="275"/>
      <c r="AM4" s="117" t="s">
        <v>177</v>
      </c>
      <c r="AO4" s="273" t="s">
        <v>175</v>
      </c>
      <c r="AP4" s="274"/>
      <c r="AQ4" s="275"/>
      <c r="AR4" s="117" t="s">
        <v>177</v>
      </c>
      <c r="AT4" s="273" t="s">
        <v>175</v>
      </c>
      <c r="AU4" s="274"/>
      <c r="AV4" s="275"/>
      <c r="AW4" s="117" t="s">
        <v>177</v>
      </c>
      <c r="AY4" s="273" t="s">
        <v>175</v>
      </c>
      <c r="AZ4" s="274"/>
      <c r="BA4" s="275"/>
      <c r="BB4" s="117" t="s">
        <v>177</v>
      </c>
      <c r="BD4" s="273" t="s">
        <v>175</v>
      </c>
      <c r="BE4" s="274"/>
      <c r="BF4" s="275"/>
      <c r="BG4" s="117" t="s">
        <v>177</v>
      </c>
      <c r="BI4" s="273" t="s">
        <v>175</v>
      </c>
      <c r="BJ4" s="274"/>
      <c r="BK4" s="275"/>
      <c r="BL4" s="117" t="s">
        <v>177</v>
      </c>
      <c r="BN4" s="273" t="s">
        <v>175</v>
      </c>
      <c r="BO4" s="274"/>
      <c r="BP4" s="275"/>
      <c r="BQ4" s="117" t="s">
        <v>177</v>
      </c>
      <c r="BS4" s="273" t="s">
        <v>175</v>
      </c>
      <c r="BT4" s="274"/>
      <c r="BU4" s="275"/>
      <c r="BV4" s="117" t="s">
        <v>177</v>
      </c>
      <c r="BX4" s="273" t="s">
        <v>175</v>
      </c>
      <c r="BY4" s="274"/>
      <c r="BZ4" s="275"/>
      <c r="CA4" s="117" t="s">
        <v>176</v>
      </c>
      <c r="CC4" s="273" t="s">
        <v>175</v>
      </c>
      <c r="CD4" s="274"/>
      <c r="CE4" s="275"/>
      <c r="CF4" s="117" t="s">
        <v>176</v>
      </c>
      <c r="CH4" s="273" t="s">
        <v>175</v>
      </c>
      <c r="CI4" s="274"/>
      <c r="CJ4" s="275"/>
      <c r="CK4" s="117" t="s">
        <v>176</v>
      </c>
      <c r="CM4" s="273" t="s">
        <v>175</v>
      </c>
      <c r="CN4" s="274"/>
      <c r="CO4" s="275"/>
      <c r="CP4" s="117"/>
      <c r="CR4" s="273" t="s">
        <v>175</v>
      </c>
      <c r="CS4" s="274"/>
      <c r="CT4" s="275"/>
      <c r="CU4" s="117"/>
      <c r="CW4" s="273" t="s">
        <v>175</v>
      </c>
      <c r="CX4" s="274"/>
      <c r="CY4" s="275"/>
      <c r="CZ4" s="117"/>
      <c r="DB4" s="273" t="s">
        <v>175</v>
      </c>
      <c r="DC4" s="274"/>
      <c r="DD4" s="275"/>
      <c r="DE4" s="117"/>
      <c r="DG4" s="273" t="s">
        <v>175</v>
      </c>
      <c r="DH4" s="274"/>
      <c r="DI4" s="275"/>
      <c r="DJ4" s="117"/>
      <c r="DL4" s="273" t="s">
        <v>175</v>
      </c>
      <c r="DM4" s="274"/>
      <c r="DN4" s="275"/>
      <c r="DO4" s="117"/>
      <c r="DQ4" s="273" t="s">
        <v>175</v>
      </c>
      <c r="DR4" s="274"/>
      <c r="DS4" s="275"/>
      <c r="DT4" s="117"/>
      <c r="DV4" s="273" t="s">
        <v>175</v>
      </c>
      <c r="DW4" s="274"/>
      <c r="DX4" s="275"/>
      <c r="DY4" s="117"/>
      <c r="EA4" s="273" t="s">
        <v>175</v>
      </c>
      <c r="EB4" s="274"/>
      <c r="EC4" s="275"/>
      <c r="ED4" s="117"/>
      <c r="EF4" s="273" t="s">
        <v>175</v>
      </c>
      <c r="EG4" s="274"/>
      <c r="EH4" s="275"/>
      <c r="EI4" s="117"/>
      <c r="EK4" s="273" t="s">
        <v>175</v>
      </c>
      <c r="EL4" s="274"/>
      <c r="EM4" s="275"/>
      <c r="EN4" s="117"/>
      <c r="EP4" s="273" t="s">
        <v>175</v>
      </c>
      <c r="EQ4" s="274"/>
      <c r="ER4" s="275"/>
      <c r="ES4" s="117"/>
      <c r="EU4" s="273" t="s">
        <v>175</v>
      </c>
      <c r="EV4" s="274"/>
      <c r="EW4" s="275"/>
      <c r="EX4" s="117"/>
      <c r="EZ4" s="273" t="s">
        <v>175</v>
      </c>
      <c r="FA4" s="274"/>
      <c r="FB4" s="275"/>
      <c r="FC4" s="117"/>
      <c r="FE4" s="273" t="s">
        <v>175</v>
      </c>
      <c r="FF4" s="274"/>
      <c r="FG4" s="275"/>
      <c r="FH4" s="117"/>
      <c r="FJ4" s="273" t="s">
        <v>175</v>
      </c>
      <c r="FK4" s="274"/>
      <c r="FL4" s="275"/>
      <c r="FM4" s="117"/>
      <c r="FO4" s="273" t="s">
        <v>175</v>
      </c>
      <c r="FP4" s="274"/>
      <c r="FQ4" s="275"/>
      <c r="FR4" s="117"/>
      <c r="FT4" s="273" t="s">
        <v>175</v>
      </c>
      <c r="FU4" s="274"/>
      <c r="FV4" s="275"/>
      <c r="FW4" s="117"/>
      <c r="FY4" s="273" t="s">
        <v>175</v>
      </c>
      <c r="FZ4" s="274"/>
      <c r="GA4" s="275"/>
      <c r="GB4" s="117"/>
      <c r="GD4" s="273" t="s">
        <v>175</v>
      </c>
      <c r="GE4" s="274"/>
      <c r="GF4" s="275"/>
      <c r="GG4" s="117"/>
      <c r="GI4" s="273" t="s">
        <v>175</v>
      </c>
      <c r="GJ4" s="274"/>
      <c r="GK4" s="275"/>
      <c r="GL4" s="117"/>
      <c r="GN4" s="273" t="s">
        <v>175</v>
      </c>
      <c r="GO4" s="274"/>
      <c r="GP4" s="275"/>
      <c r="GQ4" s="117"/>
      <c r="GS4" s="273" t="s">
        <v>175</v>
      </c>
      <c r="GT4" s="274"/>
      <c r="GU4" s="275"/>
      <c r="GV4" s="117"/>
      <c r="GX4" s="273" t="s">
        <v>175</v>
      </c>
      <c r="GY4" s="274"/>
      <c r="GZ4" s="275"/>
      <c r="HA4" s="117"/>
      <c r="HC4" s="273" t="s">
        <v>175</v>
      </c>
      <c r="HD4" s="274"/>
      <c r="HE4" s="275"/>
      <c r="HF4" s="117"/>
      <c r="HH4" s="273" t="s">
        <v>175</v>
      </c>
      <c r="HI4" s="274"/>
      <c r="HJ4" s="275"/>
      <c r="HK4" s="117"/>
      <c r="HM4" s="273" t="s">
        <v>175</v>
      </c>
      <c r="HN4" s="274"/>
      <c r="HO4" s="275"/>
      <c r="HP4" s="117"/>
      <c r="HR4" s="273" t="s">
        <v>175</v>
      </c>
      <c r="HS4" s="274"/>
      <c r="HT4" s="275"/>
      <c r="HU4" s="117"/>
      <c r="HW4" s="273" t="s">
        <v>175</v>
      </c>
      <c r="HX4" s="274"/>
      <c r="HY4" s="275"/>
      <c r="HZ4" s="117"/>
      <c r="IB4" s="273" t="s">
        <v>175</v>
      </c>
      <c r="IC4" s="274"/>
      <c r="ID4" s="275"/>
      <c r="IE4" s="117"/>
      <c r="IG4" s="273" t="s">
        <v>175</v>
      </c>
      <c r="IH4" s="274"/>
      <c r="II4" s="275"/>
      <c r="IJ4" s="117"/>
      <c r="IL4" s="273" t="s">
        <v>175</v>
      </c>
      <c r="IM4" s="274"/>
      <c r="IN4" s="275"/>
      <c r="IO4" s="117"/>
    </row>
    <row r="5" spans="1:250" x14ac:dyDescent="0.3">
      <c r="A5" s="273" t="s">
        <v>178</v>
      </c>
      <c r="B5" s="274"/>
      <c r="C5" s="275"/>
      <c r="D5" s="117" t="s">
        <v>176</v>
      </c>
      <c r="E5" s="16" t="str">
        <f>IF(D4="N","0",IF(D5="Y",E7/2,"0"))</f>
        <v>0</v>
      </c>
      <c r="F5" s="273" t="s">
        <v>178</v>
      </c>
      <c r="G5" s="274"/>
      <c r="H5" s="275"/>
      <c r="I5" s="117" t="s">
        <v>176</v>
      </c>
      <c r="J5" s="16" t="str">
        <f>IF(I4="N","0",IF(I5="Y",J7/2,"0"))</f>
        <v>0</v>
      </c>
      <c r="K5" s="273" t="s">
        <v>178</v>
      </c>
      <c r="L5" s="274"/>
      <c r="M5" s="275"/>
      <c r="N5" s="117" t="s">
        <v>176</v>
      </c>
      <c r="O5" s="16" t="str">
        <f>IF(N4="N","0",IF(N5="Y",O7/2,"0"))</f>
        <v>0</v>
      </c>
      <c r="P5" s="273" t="s">
        <v>178</v>
      </c>
      <c r="Q5" s="274"/>
      <c r="R5" s="275"/>
      <c r="S5" s="117" t="s">
        <v>176</v>
      </c>
      <c r="T5" s="16" t="str">
        <f>IF(S4="N","0",IF(S5="Y",T7/2,"0"))</f>
        <v>0</v>
      </c>
      <c r="U5" s="273" t="s">
        <v>178</v>
      </c>
      <c r="V5" s="274"/>
      <c r="W5" s="275"/>
      <c r="X5" s="117" t="s">
        <v>177</v>
      </c>
      <c r="Y5" s="16">
        <f>IF(X4="N","0",IF(X5="Y",Y7/2,"0"))</f>
        <v>25</v>
      </c>
      <c r="Z5" s="273" t="s">
        <v>178</v>
      </c>
      <c r="AA5" s="274"/>
      <c r="AB5" s="275"/>
      <c r="AC5" s="117" t="s">
        <v>177</v>
      </c>
      <c r="AD5" s="16">
        <f>IF(AC4="N","0",IF(AC5="Y",AD7/2,"0"))</f>
        <v>25</v>
      </c>
      <c r="AE5" s="273" t="s">
        <v>178</v>
      </c>
      <c r="AF5" s="274"/>
      <c r="AG5" s="275"/>
      <c r="AH5" s="117" t="s">
        <v>176</v>
      </c>
      <c r="AI5" s="16" t="str">
        <f>IF(AH4="N","0",IF(AH5="Y",AI7/2,"0"))</f>
        <v>0</v>
      </c>
      <c r="AJ5" s="273" t="s">
        <v>178</v>
      </c>
      <c r="AK5" s="274"/>
      <c r="AL5" s="275"/>
      <c r="AM5" s="117" t="s">
        <v>176</v>
      </c>
      <c r="AN5" s="16" t="str">
        <f>IF(AM4="N","0",IF(AM5="Y",AN7/2,"0"))</f>
        <v>0</v>
      </c>
      <c r="AO5" s="273" t="s">
        <v>178</v>
      </c>
      <c r="AP5" s="274"/>
      <c r="AQ5" s="275"/>
      <c r="AR5" s="117" t="s">
        <v>176</v>
      </c>
      <c r="AS5" s="16" t="str">
        <f>IF(AR4="N","0",IF(AR5="Y",AS7/2,"0"))</f>
        <v>0</v>
      </c>
      <c r="AT5" s="273" t="s">
        <v>178</v>
      </c>
      <c r="AU5" s="274"/>
      <c r="AV5" s="275"/>
      <c r="AW5" s="117" t="s">
        <v>176</v>
      </c>
      <c r="AX5" s="16" t="str">
        <f>IF(AW4="N","0",IF(AW5="Y",AX7/2,"0"))</f>
        <v>0</v>
      </c>
      <c r="AY5" s="273" t="s">
        <v>178</v>
      </c>
      <c r="AZ5" s="274"/>
      <c r="BA5" s="275"/>
      <c r="BB5" s="117" t="s">
        <v>176</v>
      </c>
      <c r="BC5" s="16" t="str">
        <f>IF(BB4="N","0",IF(BB5="Y",BC7/2,"0"))</f>
        <v>0</v>
      </c>
      <c r="BD5" s="273" t="s">
        <v>178</v>
      </c>
      <c r="BE5" s="274"/>
      <c r="BF5" s="275"/>
      <c r="BG5" s="117" t="s">
        <v>176</v>
      </c>
      <c r="BH5" s="16" t="str">
        <f>IF(BG4="N","0",IF(BG5="Y",BH7/2,"0"))</f>
        <v>0</v>
      </c>
      <c r="BI5" s="273" t="s">
        <v>178</v>
      </c>
      <c r="BJ5" s="274"/>
      <c r="BK5" s="275"/>
      <c r="BL5" s="117" t="s">
        <v>176</v>
      </c>
      <c r="BM5" s="16" t="str">
        <f>IF(BL4="N","0",IF(BL5="Y",BM7/2,"0"))</f>
        <v>0</v>
      </c>
      <c r="BN5" s="273" t="s">
        <v>178</v>
      </c>
      <c r="BO5" s="274"/>
      <c r="BP5" s="275"/>
      <c r="BQ5" s="117" t="s">
        <v>176</v>
      </c>
      <c r="BR5" s="16" t="str">
        <f>IF(BQ4="N","0",IF(BQ5="Y",BR7/2,"0"))</f>
        <v>0</v>
      </c>
      <c r="BS5" s="273" t="s">
        <v>178</v>
      </c>
      <c r="BT5" s="274"/>
      <c r="BU5" s="275"/>
      <c r="BV5" s="117" t="s">
        <v>177</v>
      </c>
      <c r="BW5" s="16">
        <f>IF(BV4="N","0",IF(BV5="Y",BW7/2,"0"))</f>
        <v>25</v>
      </c>
      <c r="BX5" s="273" t="s">
        <v>178</v>
      </c>
      <c r="BY5" s="274"/>
      <c r="BZ5" s="275"/>
      <c r="CA5" s="117" t="s">
        <v>176</v>
      </c>
      <c r="CB5" s="16" t="str">
        <f>IF(CA4="N","0",IF(CA5="Y",CB7/2,"0"))</f>
        <v>0</v>
      </c>
      <c r="CC5" s="273" t="s">
        <v>178</v>
      </c>
      <c r="CD5" s="274"/>
      <c r="CE5" s="275"/>
      <c r="CF5" s="117" t="s">
        <v>176</v>
      </c>
      <c r="CG5" s="16" t="str">
        <f>IF(CF4="N","0",IF(CF5="Y",CG7/2,"0"))</f>
        <v>0</v>
      </c>
      <c r="CH5" s="273" t="s">
        <v>178</v>
      </c>
      <c r="CI5" s="274"/>
      <c r="CJ5" s="275"/>
      <c r="CK5" s="117" t="s">
        <v>176</v>
      </c>
      <c r="CL5" s="16" t="str">
        <f>IF(CK4="N","0",IF(CK5="Y",CL7/2,"0"))</f>
        <v>0</v>
      </c>
      <c r="CM5" s="273" t="s">
        <v>178</v>
      </c>
      <c r="CN5" s="274"/>
      <c r="CO5" s="275"/>
      <c r="CP5" s="117"/>
      <c r="CQ5" s="16" t="str">
        <f>IF(CP4="N","0",IF(CP5="Y",CQ7/2,"0"))</f>
        <v>0</v>
      </c>
      <c r="CR5" s="273" t="s">
        <v>178</v>
      </c>
      <c r="CS5" s="274"/>
      <c r="CT5" s="275"/>
      <c r="CU5" s="117"/>
      <c r="CV5" s="16" t="str">
        <f>IF(CU4="N","0",IF(CU5="Y",CV7/2,"0"))</f>
        <v>0</v>
      </c>
      <c r="CW5" s="273" t="s">
        <v>178</v>
      </c>
      <c r="CX5" s="274"/>
      <c r="CY5" s="275"/>
      <c r="CZ5" s="117"/>
      <c r="DA5" s="16" t="str">
        <f>IF(CZ4="N","0",IF(CZ5="Y",DA7/2,"0"))</f>
        <v>0</v>
      </c>
      <c r="DB5" s="273" t="s">
        <v>178</v>
      </c>
      <c r="DC5" s="274"/>
      <c r="DD5" s="275"/>
      <c r="DE5" s="117"/>
      <c r="DF5" s="16" t="str">
        <f>IF(DE4="N","0",IF(DE5="Y",DF7/2,"0"))</f>
        <v>0</v>
      </c>
      <c r="DG5" s="273" t="s">
        <v>178</v>
      </c>
      <c r="DH5" s="274"/>
      <c r="DI5" s="275"/>
      <c r="DJ5" s="117"/>
      <c r="DK5" s="16" t="str">
        <f>IF(DJ4="N","0",IF(DJ5="Y",DK7/2,"0"))</f>
        <v>0</v>
      </c>
      <c r="DL5" s="273" t="s">
        <v>178</v>
      </c>
      <c r="DM5" s="274"/>
      <c r="DN5" s="275"/>
      <c r="DO5" s="117"/>
      <c r="DP5" s="16" t="str">
        <f>IF(DO4="N","0",IF(DO5="Y",DP7/2,"0"))</f>
        <v>0</v>
      </c>
      <c r="DQ5" s="273" t="s">
        <v>178</v>
      </c>
      <c r="DR5" s="274"/>
      <c r="DS5" s="275"/>
      <c r="DT5" s="117"/>
      <c r="DU5" s="16" t="str">
        <f>IF(DT4="N","0",IF(DT5="Y",DU7/2,"0"))</f>
        <v>0</v>
      </c>
      <c r="DV5" s="273" t="s">
        <v>178</v>
      </c>
      <c r="DW5" s="274"/>
      <c r="DX5" s="275"/>
      <c r="DY5" s="117"/>
      <c r="DZ5" s="16" t="str">
        <f>IF(DY4="N","0",IF(DY5="Y",DZ7/2,"0"))</f>
        <v>0</v>
      </c>
      <c r="EA5" s="273" t="s">
        <v>178</v>
      </c>
      <c r="EB5" s="274"/>
      <c r="EC5" s="275"/>
      <c r="ED5" s="117"/>
      <c r="EE5" s="16" t="str">
        <f>IF(ED4="N","0",IF(ED5="Y",EE7/2,"0"))</f>
        <v>0</v>
      </c>
      <c r="EF5" s="273" t="s">
        <v>178</v>
      </c>
      <c r="EG5" s="274"/>
      <c r="EH5" s="275"/>
      <c r="EI5" s="117"/>
      <c r="EJ5" s="16" t="str">
        <f>IF(EI4="N","0",IF(EI5="Y",EJ7/2,"0"))</f>
        <v>0</v>
      </c>
      <c r="EK5" s="273" t="s">
        <v>178</v>
      </c>
      <c r="EL5" s="274"/>
      <c r="EM5" s="275"/>
      <c r="EN5" s="117"/>
      <c r="EO5" s="16" t="str">
        <f>IF(EN4="N","0",IF(EN5="Y",EO7/2,"0"))</f>
        <v>0</v>
      </c>
      <c r="EP5" s="273" t="s">
        <v>178</v>
      </c>
      <c r="EQ5" s="274"/>
      <c r="ER5" s="275"/>
      <c r="ES5" s="117"/>
      <c r="ET5" s="16" t="str">
        <f>IF(ES4="N","0",IF(ES5="Y",ET7/2,"0"))</f>
        <v>0</v>
      </c>
      <c r="EU5" s="273" t="s">
        <v>178</v>
      </c>
      <c r="EV5" s="274"/>
      <c r="EW5" s="275"/>
      <c r="EX5" s="117"/>
      <c r="EY5" s="16" t="str">
        <f>IF(EX4="N","0",IF(EX5="Y",EY7/2,"0"))</f>
        <v>0</v>
      </c>
      <c r="EZ5" s="273" t="s">
        <v>178</v>
      </c>
      <c r="FA5" s="274"/>
      <c r="FB5" s="275"/>
      <c r="FC5" s="117"/>
      <c r="FD5" s="16" t="str">
        <f>IF(FC4="N","0",IF(FC5="Y",FD7/2,"0"))</f>
        <v>0</v>
      </c>
      <c r="FE5" s="273" t="s">
        <v>178</v>
      </c>
      <c r="FF5" s="274"/>
      <c r="FG5" s="275"/>
      <c r="FH5" s="117"/>
      <c r="FI5" s="16" t="str">
        <f>IF(FH4="N","0",IF(FH5="Y",FI7/2,"0"))</f>
        <v>0</v>
      </c>
      <c r="FJ5" s="273" t="s">
        <v>178</v>
      </c>
      <c r="FK5" s="274"/>
      <c r="FL5" s="275"/>
      <c r="FM5" s="117"/>
      <c r="FN5" s="16" t="str">
        <f>IF(FM4="N","0",IF(FM5="Y",FN7/2,"0"))</f>
        <v>0</v>
      </c>
      <c r="FO5" s="273" t="s">
        <v>178</v>
      </c>
      <c r="FP5" s="274"/>
      <c r="FQ5" s="275"/>
      <c r="FR5" s="117"/>
      <c r="FS5" s="16" t="str">
        <f>IF(FR4="N","0",IF(FR5="Y",FS7/2,"0"))</f>
        <v>0</v>
      </c>
      <c r="FT5" s="273" t="s">
        <v>178</v>
      </c>
      <c r="FU5" s="274"/>
      <c r="FV5" s="275"/>
      <c r="FW5" s="117"/>
      <c r="FX5" s="16" t="str">
        <f>IF(FW4="N","0",IF(FW5="Y",FX7/2,"0"))</f>
        <v>0</v>
      </c>
      <c r="FY5" s="273" t="s">
        <v>178</v>
      </c>
      <c r="FZ5" s="274"/>
      <c r="GA5" s="275"/>
      <c r="GB5" s="117"/>
      <c r="GC5" s="16" t="str">
        <f>IF(GB4="N","0",IF(GB5="Y",GC7/2,"0"))</f>
        <v>0</v>
      </c>
      <c r="GD5" s="273" t="s">
        <v>178</v>
      </c>
      <c r="GE5" s="274"/>
      <c r="GF5" s="275"/>
      <c r="GG5" s="117"/>
      <c r="GH5" s="16" t="str">
        <f>IF(GG4="N","0",IF(GG5="Y",GH7/2,"0"))</f>
        <v>0</v>
      </c>
      <c r="GI5" s="273" t="s">
        <v>178</v>
      </c>
      <c r="GJ5" s="274"/>
      <c r="GK5" s="275"/>
      <c r="GL5" s="117"/>
      <c r="GM5" s="16" t="str">
        <f>IF(GL4="N","0",IF(GL5="Y",GM7/2,"0"))</f>
        <v>0</v>
      </c>
      <c r="GN5" s="273" t="s">
        <v>178</v>
      </c>
      <c r="GO5" s="274"/>
      <c r="GP5" s="275"/>
      <c r="GQ5" s="117"/>
      <c r="GR5" s="16" t="str">
        <f>IF(GQ4="N","0",IF(GQ5="Y",GR7/2,"0"))</f>
        <v>0</v>
      </c>
      <c r="GS5" s="273" t="s">
        <v>178</v>
      </c>
      <c r="GT5" s="274"/>
      <c r="GU5" s="275"/>
      <c r="GV5" s="117"/>
      <c r="GW5" s="16" t="str">
        <f>IF(GV4="N","0",IF(GV5="Y",GW7/2,"0"))</f>
        <v>0</v>
      </c>
      <c r="GX5" s="273" t="s">
        <v>178</v>
      </c>
      <c r="GY5" s="274"/>
      <c r="GZ5" s="275"/>
      <c r="HA5" s="117"/>
      <c r="HB5" s="16" t="str">
        <f>IF(HA4="N","0",IF(HA5="Y",HB7/2,"0"))</f>
        <v>0</v>
      </c>
      <c r="HC5" s="273" t="s">
        <v>178</v>
      </c>
      <c r="HD5" s="274"/>
      <c r="HE5" s="275"/>
      <c r="HF5" s="117"/>
      <c r="HG5" s="16" t="str">
        <f>IF(HF4="N","0",IF(HF5="Y",HG7/2,"0"))</f>
        <v>0</v>
      </c>
      <c r="HH5" s="273" t="s">
        <v>178</v>
      </c>
      <c r="HI5" s="274"/>
      <c r="HJ5" s="275"/>
      <c r="HK5" s="117"/>
      <c r="HL5" s="16" t="str">
        <f>IF(HK4="N","0",IF(HK5="Y",HL7/2,"0"))</f>
        <v>0</v>
      </c>
      <c r="HM5" s="273" t="s">
        <v>178</v>
      </c>
      <c r="HN5" s="274"/>
      <c r="HO5" s="275"/>
      <c r="HP5" s="117"/>
      <c r="HQ5" s="16" t="str">
        <f>IF(HP4="N","0",IF(HP5="Y",HQ7/2,"0"))</f>
        <v>0</v>
      </c>
      <c r="HR5" s="273" t="s">
        <v>178</v>
      </c>
      <c r="HS5" s="274"/>
      <c r="HT5" s="275"/>
      <c r="HU5" s="117"/>
      <c r="HV5" s="16" t="str">
        <f>IF(HU4="N","0",IF(HU5="Y",HV7/2,"0"))</f>
        <v>0</v>
      </c>
      <c r="HW5" s="273" t="s">
        <v>178</v>
      </c>
      <c r="HX5" s="274"/>
      <c r="HY5" s="275"/>
      <c r="HZ5" s="117"/>
      <c r="IA5" s="16" t="str">
        <f>IF(HZ4="N","0",IF(HZ5="Y",IA7/2,"0"))</f>
        <v>0</v>
      </c>
      <c r="IB5" s="273" t="s">
        <v>178</v>
      </c>
      <c r="IC5" s="274"/>
      <c r="ID5" s="275"/>
      <c r="IE5" s="117"/>
      <c r="IF5" s="16" t="str">
        <f>IF(IE4="N","0",IF(IE5="Y",IF7/2,"0"))</f>
        <v>0</v>
      </c>
      <c r="IG5" s="273" t="s">
        <v>178</v>
      </c>
      <c r="IH5" s="274"/>
      <c r="II5" s="275"/>
      <c r="IJ5" s="117"/>
      <c r="IK5" s="16" t="str">
        <f>IF(IJ4="N","0",IF(IJ5="Y",IK7/2,"0"))</f>
        <v>0</v>
      </c>
      <c r="IL5" s="273" t="s">
        <v>178</v>
      </c>
      <c r="IM5" s="274"/>
      <c r="IN5" s="275"/>
      <c r="IO5" s="117"/>
      <c r="IP5" s="16" t="str">
        <f>IF(IO4="N","0",IF(IO5="Y",IP7/2,"0"))</f>
        <v>0</v>
      </c>
    </row>
    <row r="6" spans="1:250" x14ac:dyDescent="0.3">
      <c r="A6" s="273" t="s">
        <v>179</v>
      </c>
      <c r="B6" s="274"/>
      <c r="C6" s="275"/>
      <c r="D6" s="117" t="s">
        <v>177</v>
      </c>
      <c r="E6" s="16" t="str">
        <f>IF(D4="N","0",IF(D6="N",E7/2,"0"))</f>
        <v>0</v>
      </c>
      <c r="F6" s="273" t="s">
        <v>179</v>
      </c>
      <c r="G6" s="274"/>
      <c r="H6" s="275"/>
      <c r="I6" s="117" t="s">
        <v>177</v>
      </c>
      <c r="J6" s="16" t="str">
        <f>IF(I4="N","0",IF(I6="N",J7/2,"0"))</f>
        <v>0</v>
      </c>
      <c r="K6" s="273" t="s">
        <v>179</v>
      </c>
      <c r="L6" s="274"/>
      <c r="M6" s="275"/>
      <c r="N6" s="117" t="s">
        <v>177</v>
      </c>
      <c r="O6" s="16" t="str">
        <f>IF(N4="N","0",IF(N6="N",O7/2,"0"))</f>
        <v>0</v>
      </c>
      <c r="P6" s="273" t="s">
        <v>179</v>
      </c>
      <c r="Q6" s="274"/>
      <c r="R6" s="275"/>
      <c r="S6" s="117" t="s">
        <v>176</v>
      </c>
      <c r="T6" s="16">
        <f>IF(S4="N","0",IF(S6="N",T7/2,"0"))</f>
        <v>25</v>
      </c>
      <c r="U6" s="273" t="s">
        <v>179</v>
      </c>
      <c r="V6" s="274"/>
      <c r="W6" s="275"/>
      <c r="X6" s="117" t="s">
        <v>176</v>
      </c>
      <c r="Y6" s="16">
        <f>IF(X4="N","0",IF(X6="N",Y7/2,"0"))</f>
        <v>25</v>
      </c>
      <c r="Z6" s="273" t="s">
        <v>179</v>
      </c>
      <c r="AA6" s="274"/>
      <c r="AB6" s="275"/>
      <c r="AC6" s="117" t="s">
        <v>176</v>
      </c>
      <c r="AD6" s="16">
        <f>IF(AC4="N","0",IF(AC6="N",AD7/2,"0"))</f>
        <v>25</v>
      </c>
      <c r="AE6" s="273" t="s">
        <v>179</v>
      </c>
      <c r="AF6" s="274"/>
      <c r="AG6" s="275"/>
      <c r="AH6" s="117" t="s">
        <v>176</v>
      </c>
      <c r="AI6" s="16">
        <f>IF(AH4="N","0",IF(AH6="N",AI7/2,"0"))</f>
        <v>15</v>
      </c>
      <c r="AJ6" s="273" t="s">
        <v>179</v>
      </c>
      <c r="AK6" s="274"/>
      <c r="AL6" s="275"/>
      <c r="AM6" s="117" t="s">
        <v>176</v>
      </c>
      <c r="AN6" s="16">
        <f>IF(AM4="N","0",IF(AM6="N",AN7/2,"0"))</f>
        <v>25</v>
      </c>
      <c r="AO6" s="273" t="s">
        <v>179</v>
      </c>
      <c r="AP6" s="274"/>
      <c r="AQ6" s="275"/>
      <c r="AR6" s="117" t="s">
        <v>176</v>
      </c>
      <c r="AS6" s="16">
        <f>IF(AR4="N","0",IF(AR6="N",AS7/2,"0"))</f>
        <v>25</v>
      </c>
      <c r="AT6" s="273" t="s">
        <v>179</v>
      </c>
      <c r="AU6" s="274"/>
      <c r="AV6" s="275"/>
      <c r="AW6" s="117" t="s">
        <v>176</v>
      </c>
      <c r="AX6" s="16">
        <f>IF(AW4="N","0",IF(AW6="N",AX7/2,"0"))</f>
        <v>15</v>
      </c>
      <c r="AY6" s="273" t="s">
        <v>179</v>
      </c>
      <c r="AZ6" s="274"/>
      <c r="BA6" s="275"/>
      <c r="BB6" s="117" t="s">
        <v>176</v>
      </c>
      <c r="BC6" s="16">
        <f>IF(BB4="N","0",IF(BB6="N",BC7/2,"0"))</f>
        <v>25</v>
      </c>
      <c r="BD6" s="273" t="s">
        <v>179</v>
      </c>
      <c r="BE6" s="274"/>
      <c r="BF6" s="275"/>
      <c r="BG6" s="117" t="s">
        <v>176</v>
      </c>
      <c r="BH6" s="16">
        <f>IF(BG4="N","0",IF(BG6="N",BH7/2,"0"))</f>
        <v>25</v>
      </c>
      <c r="BI6" s="273" t="s">
        <v>179</v>
      </c>
      <c r="BJ6" s="274"/>
      <c r="BK6" s="275"/>
      <c r="BL6" s="117" t="s">
        <v>176</v>
      </c>
      <c r="BM6" s="16">
        <f>IF(BL4="N","0",IF(BL6="N",BM7/2,"0"))</f>
        <v>25</v>
      </c>
      <c r="BN6" s="273" t="s">
        <v>179</v>
      </c>
      <c r="BO6" s="274"/>
      <c r="BP6" s="275"/>
      <c r="BQ6" s="117" t="s">
        <v>177</v>
      </c>
      <c r="BR6" s="16" t="str">
        <f>IF(BQ4="N","0",IF(BQ6="N",BR7/2,"0"))</f>
        <v>0</v>
      </c>
      <c r="BS6" s="273" t="s">
        <v>179</v>
      </c>
      <c r="BT6" s="274"/>
      <c r="BU6" s="275"/>
      <c r="BV6" s="117" t="s">
        <v>176</v>
      </c>
      <c r="BW6" s="16">
        <f>IF(BV4="N","0",IF(BV6="N",BW7/2,"0"))</f>
        <v>25</v>
      </c>
      <c r="BX6" s="273" t="s">
        <v>179</v>
      </c>
      <c r="BY6" s="274"/>
      <c r="BZ6" s="275"/>
      <c r="CA6" s="117" t="s">
        <v>177</v>
      </c>
      <c r="CB6" s="16" t="str">
        <f>IF(CA4="N","0",IF(CA6="N",CB7/2,"0"))</f>
        <v>0</v>
      </c>
      <c r="CC6" s="273" t="s">
        <v>179</v>
      </c>
      <c r="CD6" s="274"/>
      <c r="CE6" s="275"/>
      <c r="CF6" s="117" t="s">
        <v>177</v>
      </c>
      <c r="CG6" s="16" t="str">
        <f>IF(CF4="N","0",IF(CF6="N",CG7/2,"0"))</f>
        <v>0</v>
      </c>
      <c r="CH6" s="273" t="s">
        <v>179</v>
      </c>
      <c r="CI6" s="274"/>
      <c r="CJ6" s="275"/>
      <c r="CK6" s="117" t="s">
        <v>177</v>
      </c>
      <c r="CL6" s="16" t="str">
        <f>IF(CK4="N","0",IF(CK6="N",CL7/2,"0"))</f>
        <v>0</v>
      </c>
      <c r="CM6" s="273" t="s">
        <v>179</v>
      </c>
      <c r="CN6" s="274"/>
      <c r="CO6" s="275"/>
      <c r="CP6" s="117" t="s">
        <v>177</v>
      </c>
      <c r="CQ6" s="16" t="str">
        <f>IF(CP4="N","0",IF(CP6="N",CQ7/2,"0"))</f>
        <v>0</v>
      </c>
      <c r="CR6" s="273" t="s">
        <v>179</v>
      </c>
      <c r="CS6" s="274"/>
      <c r="CT6" s="275"/>
      <c r="CU6" s="117" t="s">
        <v>176</v>
      </c>
      <c r="CV6" s="16">
        <f>IF(CU4="N","0",IF(CU6="N",CV7/2,"0"))</f>
        <v>0</v>
      </c>
      <c r="CW6" s="273" t="s">
        <v>179</v>
      </c>
      <c r="CX6" s="274"/>
      <c r="CY6" s="275"/>
      <c r="CZ6" s="117" t="s">
        <v>176</v>
      </c>
      <c r="DA6" s="16">
        <f>IF(CZ4="N","0",IF(CZ6="N",DA7/2,"0"))</f>
        <v>0</v>
      </c>
      <c r="DB6" s="273" t="s">
        <v>179</v>
      </c>
      <c r="DC6" s="274"/>
      <c r="DD6" s="275"/>
      <c r="DE6" s="117" t="s">
        <v>177</v>
      </c>
      <c r="DF6" s="16" t="str">
        <f>IF(DE4="N","0",IF(DE6="N",DF7/2,"0"))</f>
        <v>0</v>
      </c>
      <c r="DG6" s="273" t="s">
        <v>179</v>
      </c>
      <c r="DH6" s="274"/>
      <c r="DI6" s="275"/>
      <c r="DJ6" s="117" t="s">
        <v>176</v>
      </c>
      <c r="DK6" s="16">
        <f>IF(DJ4="N","0",IF(DJ6="N",DK7/2,"0"))</f>
        <v>0</v>
      </c>
      <c r="DL6" s="273" t="s">
        <v>179</v>
      </c>
      <c r="DM6" s="274"/>
      <c r="DN6" s="275"/>
      <c r="DO6" s="117" t="s">
        <v>176</v>
      </c>
      <c r="DP6" s="16">
        <f>IF(DO4="N","0",IF(DO6="N",DP7/2,"0"))</f>
        <v>0</v>
      </c>
      <c r="DQ6" s="273" t="s">
        <v>179</v>
      </c>
      <c r="DR6" s="274"/>
      <c r="DS6" s="275"/>
      <c r="DT6" s="117" t="s">
        <v>176</v>
      </c>
      <c r="DU6" s="16">
        <f>IF(DT4="N","0",IF(DT6="N",DU7/2,"0"))</f>
        <v>0</v>
      </c>
      <c r="DV6" s="273" t="s">
        <v>179</v>
      </c>
      <c r="DW6" s="274"/>
      <c r="DX6" s="275"/>
      <c r="DY6" s="117" t="s">
        <v>176</v>
      </c>
      <c r="DZ6" s="16">
        <f>IF(DY4="N","0",IF(DY6="N",DZ7/2,"0"))</f>
        <v>0</v>
      </c>
      <c r="EA6" s="273" t="s">
        <v>179</v>
      </c>
      <c r="EB6" s="274"/>
      <c r="EC6" s="275"/>
      <c r="ED6" s="117" t="s">
        <v>176</v>
      </c>
      <c r="EE6" s="16">
        <f>IF(ED4="N","0",IF(ED6="N",EE7/2,"0"))</f>
        <v>0</v>
      </c>
      <c r="EF6" s="273" t="s">
        <v>179</v>
      </c>
      <c r="EG6" s="274"/>
      <c r="EH6" s="275"/>
      <c r="EI6" s="117" t="s">
        <v>176</v>
      </c>
      <c r="EJ6" s="16">
        <f>IF(EI4="N","0",IF(EI6="N",EJ7/2,"0"))</f>
        <v>0</v>
      </c>
      <c r="EK6" s="273" t="s">
        <v>179</v>
      </c>
      <c r="EL6" s="274"/>
      <c r="EM6" s="275"/>
      <c r="EN6" s="117" t="s">
        <v>176</v>
      </c>
      <c r="EO6" s="16">
        <f>IF(EN4="N","0",IF(EN6="N",EO7/2,"0"))</f>
        <v>0</v>
      </c>
      <c r="EP6" s="273" t="s">
        <v>179</v>
      </c>
      <c r="EQ6" s="274"/>
      <c r="ER6" s="275"/>
      <c r="ES6" s="117" t="s">
        <v>176</v>
      </c>
      <c r="ET6" s="16">
        <f>IF(ES4="N","0",IF(ES6="N",ET7/2,"0"))</f>
        <v>0</v>
      </c>
      <c r="EU6" s="273" t="s">
        <v>179</v>
      </c>
      <c r="EV6" s="274"/>
      <c r="EW6" s="275"/>
      <c r="EX6" s="117" t="s">
        <v>176</v>
      </c>
      <c r="EY6" s="16">
        <f>IF(EX4="N","0",IF(EX6="N",EY7/2,"0"))</f>
        <v>0</v>
      </c>
      <c r="EZ6" s="273" t="s">
        <v>179</v>
      </c>
      <c r="FA6" s="274"/>
      <c r="FB6" s="275"/>
      <c r="FC6" s="117" t="s">
        <v>176</v>
      </c>
      <c r="FD6" s="16">
        <f>IF(FC4="N","0",IF(FC6="N",FD7/2,"0"))</f>
        <v>0</v>
      </c>
      <c r="FE6" s="273" t="s">
        <v>179</v>
      </c>
      <c r="FF6" s="274"/>
      <c r="FG6" s="275"/>
      <c r="FH6" s="117" t="s">
        <v>176</v>
      </c>
      <c r="FI6" s="16">
        <f>IF(FH4="N","0",IF(FH6="N",FI7/2,"0"))</f>
        <v>0</v>
      </c>
      <c r="FJ6" s="273" t="s">
        <v>179</v>
      </c>
      <c r="FK6" s="274"/>
      <c r="FL6" s="275"/>
      <c r="FM6" s="117" t="s">
        <v>176</v>
      </c>
      <c r="FN6" s="16">
        <f>IF(FM4="N","0",IF(FM6="N",FN7/2,"0"))</f>
        <v>0</v>
      </c>
      <c r="FO6" s="273" t="s">
        <v>179</v>
      </c>
      <c r="FP6" s="274"/>
      <c r="FQ6" s="275"/>
      <c r="FR6" s="117" t="s">
        <v>176</v>
      </c>
      <c r="FS6" s="16">
        <f>IF(FR4="N","0",IF(FR6="N",FS7/2,"0"))</f>
        <v>0</v>
      </c>
      <c r="FT6" s="273" t="s">
        <v>179</v>
      </c>
      <c r="FU6" s="274"/>
      <c r="FV6" s="275"/>
      <c r="FW6" s="117" t="s">
        <v>176</v>
      </c>
      <c r="FX6" s="16">
        <f>IF(FW4="N","0",IF(FW6="N",FX7/2,"0"))</f>
        <v>0</v>
      </c>
      <c r="FY6" s="273" t="s">
        <v>179</v>
      </c>
      <c r="FZ6" s="274"/>
      <c r="GA6" s="275"/>
      <c r="GB6" s="117" t="s">
        <v>176</v>
      </c>
      <c r="GC6" s="16">
        <f>IF(GB4="N","0",IF(GB6="N",GC7/2,"0"))</f>
        <v>0</v>
      </c>
      <c r="GD6" s="273" t="s">
        <v>179</v>
      </c>
      <c r="GE6" s="274"/>
      <c r="GF6" s="275"/>
      <c r="GG6" s="117" t="s">
        <v>176</v>
      </c>
      <c r="GH6" s="16">
        <f>IF(GG4="N","0",IF(GG6="N",GH7/2,"0"))</f>
        <v>0</v>
      </c>
      <c r="GI6" s="273" t="s">
        <v>179</v>
      </c>
      <c r="GJ6" s="274"/>
      <c r="GK6" s="275"/>
      <c r="GL6" s="117" t="s">
        <v>176</v>
      </c>
      <c r="GM6" s="16">
        <f>IF(GL4="N","0",IF(GL6="N",GM7/2,"0"))</f>
        <v>0</v>
      </c>
      <c r="GN6" s="273" t="s">
        <v>179</v>
      </c>
      <c r="GO6" s="274"/>
      <c r="GP6" s="275"/>
      <c r="GQ6" s="117" t="s">
        <v>176</v>
      </c>
      <c r="GR6" s="16">
        <f>IF(GQ4="N","0",IF(GQ6="N",GR7/2,"0"))</f>
        <v>0</v>
      </c>
      <c r="GS6" s="273" t="s">
        <v>179</v>
      </c>
      <c r="GT6" s="274"/>
      <c r="GU6" s="275"/>
      <c r="GV6" s="117" t="s">
        <v>176</v>
      </c>
      <c r="GW6" s="16">
        <f>IF(GV4="N","0",IF(GV6="N",GW7/2,"0"))</f>
        <v>0</v>
      </c>
      <c r="GX6" s="273" t="s">
        <v>179</v>
      </c>
      <c r="GY6" s="274"/>
      <c r="GZ6" s="275"/>
      <c r="HA6" s="117" t="s">
        <v>176</v>
      </c>
      <c r="HB6" s="16">
        <f>IF(HA4="N","0",IF(HA6="N",HB7/2,"0"))</f>
        <v>0</v>
      </c>
      <c r="HC6" s="273" t="s">
        <v>179</v>
      </c>
      <c r="HD6" s="274"/>
      <c r="HE6" s="275"/>
      <c r="HF6" s="117" t="s">
        <v>176</v>
      </c>
      <c r="HG6" s="16">
        <f>IF(HF4="N","0",IF(HF6="N",HG7/2,"0"))</f>
        <v>0</v>
      </c>
      <c r="HH6" s="273" t="s">
        <v>179</v>
      </c>
      <c r="HI6" s="274"/>
      <c r="HJ6" s="275"/>
      <c r="HK6" s="117" t="s">
        <v>176</v>
      </c>
      <c r="HL6" s="16">
        <f>IF(HK4="N","0",IF(HK6="N",HL7/2,"0"))</f>
        <v>0</v>
      </c>
      <c r="HM6" s="273" t="s">
        <v>179</v>
      </c>
      <c r="HN6" s="274"/>
      <c r="HO6" s="275"/>
      <c r="HP6" s="117" t="s">
        <v>176</v>
      </c>
      <c r="HQ6" s="16">
        <f>IF(HP4="N","0",IF(HP6="N",HQ7/2,"0"))</f>
        <v>0</v>
      </c>
      <c r="HR6" s="273" t="s">
        <v>179</v>
      </c>
      <c r="HS6" s="274"/>
      <c r="HT6" s="275"/>
      <c r="HU6" s="117" t="s">
        <v>176</v>
      </c>
      <c r="HV6" s="16">
        <f>IF(HU4="N","0",IF(HU6="N",HV7/2,"0"))</f>
        <v>0</v>
      </c>
      <c r="HW6" s="273" t="s">
        <v>179</v>
      </c>
      <c r="HX6" s="274"/>
      <c r="HY6" s="275"/>
      <c r="HZ6" s="117" t="s">
        <v>176</v>
      </c>
      <c r="IA6" s="16">
        <f>IF(HZ4="N","0",IF(HZ6="N",IA7/2,"0"))</f>
        <v>0</v>
      </c>
      <c r="IB6" s="273" t="s">
        <v>179</v>
      </c>
      <c r="IC6" s="274"/>
      <c r="ID6" s="275"/>
      <c r="IE6" s="117" t="s">
        <v>176</v>
      </c>
      <c r="IF6" s="16">
        <f>IF(IE4="N","0",IF(IE6="N",IF7/2,"0"))</f>
        <v>0</v>
      </c>
      <c r="IG6" s="273" t="s">
        <v>179</v>
      </c>
      <c r="IH6" s="274"/>
      <c r="II6" s="275"/>
      <c r="IJ6" s="117" t="s">
        <v>176</v>
      </c>
      <c r="IK6" s="16">
        <f>IF(IJ4="N","0",IF(IJ6="N",IK7/2,"0"))</f>
        <v>0</v>
      </c>
      <c r="IL6" s="273" t="s">
        <v>179</v>
      </c>
      <c r="IM6" s="274"/>
      <c r="IN6" s="275"/>
      <c r="IO6" s="117" t="s">
        <v>176</v>
      </c>
      <c r="IP6" s="16">
        <f>IF(IO4="N","0",IF(IO6="N",IP7/2,"0"))</f>
        <v>0</v>
      </c>
    </row>
    <row r="7" spans="1:250" x14ac:dyDescent="0.3">
      <c r="A7" s="273" t="s">
        <v>180</v>
      </c>
      <c r="B7" s="274"/>
      <c r="C7" s="275"/>
      <c r="D7" s="117"/>
      <c r="E7" s="16">
        <f>IF(OR(D7="RPX",D7="SS"),30,IF(OR(D7="RPX-T",D7="EUC"),50,0))</f>
        <v>0</v>
      </c>
      <c r="F7" s="273" t="s">
        <v>180</v>
      </c>
      <c r="G7" s="274"/>
      <c r="H7" s="275"/>
      <c r="I7" s="117"/>
      <c r="J7" s="16">
        <f>IF(OR(I7="RPX",I7="SS"),30,IF(OR(I7="RPX-T",I7="EUC"),50,0))</f>
        <v>0</v>
      </c>
      <c r="K7" s="273" t="s">
        <v>180</v>
      </c>
      <c r="L7" s="274"/>
      <c r="M7" s="275"/>
      <c r="N7" s="117" t="s">
        <v>181</v>
      </c>
      <c r="O7" s="16">
        <f>IF(OR(N7="RPX",N7="SS"),30,IF(OR(N7="RPX-T",N7="EUC"),50,0))</f>
        <v>50</v>
      </c>
      <c r="P7" s="273" t="s">
        <v>180</v>
      </c>
      <c r="Q7" s="274"/>
      <c r="R7" s="275"/>
      <c r="S7" s="117" t="s">
        <v>181</v>
      </c>
      <c r="T7" s="16">
        <f>IF(OR(S7="RPX",S7="SS"),30,IF(OR(S7="RPX-T",S7="EUC"),50,0))</f>
        <v>50</v>
      </c>
      <c r="U7" s="273" t="s">
        <v>180</v>
      </c>
      <c r="V7" s="274"/>
      <c r="W7" s="275"/>
      <c r="X7" s="117" t="s">
        <v>181</v>
      </c>
      <c r="Y7" s="16">
        <f>IF(OR(X7="RPX",X7="SS"),30,IF(OR(X7="RPX-T",X7="EUC"),50,0))</f>
        <v>50</v>
      </c>
      <c r="Z7" s="273" t="s">
        <v>180</v>
      </c>
      <c r="AA7" s="274"/>
      <c r="AB7" s="275"/>
      <c r="AC7" s="117" t="s">
        <v>181</v>
      </c>
      <c r="AD7" s="16">
        <f>IF(OR(AC7="RPX",AC7="SS"),30,IF(OR(AC7="RPX-T",AC7="EUC"),50,0))</f>
        <v>50</v>
      </c>
      <c r="AE7" s="273" t="s">
        <v>180</v>
      </c>
      <c r="AF7" s="274"/>
      <c r="AG7" s="275"/>
      <c r="AH7" s="117" t="s">
        <v>182</v>
      </c>
      <c r="AI7" s="16">
        <f>IF(OR(AH7="RPX",AH7="SS"),30,IF(OR(AH7="RPX-T",AH7="EUC"),50,0))</f>
        <v>30</v>
      </c>
      <c r="AJ7" s="273" t="s">
        <v>180</v>
      </c>
      <c r="AK7" s="274"/>
      <c r="AL7" s="275"/>
      <c r="AM7" s="117" t="s">
        <v>181</v>
      </c>
      <c r="AN7" s="16">
        <f>IF(OR(AM7="RPX",AM7="SS"),30,IF(OR(AM7="RPX-T",AM7="EUC"),50,0))</f>
        <v>50</v>
      </c>
      <c r="AO7" s="273" t="s">
        <v>180</v>
      </c>
      <c r="AP7" s="274"/>
      <c r="AQ7" s="275"/>
      <c r="AR7" s="117" t="s">
        <v>181</v>
      </c>
      <c r="AS7" s="16">
        <f>IF(OR(AR7="RPX",AR7="SS"),30,IF(OR(AR7="RPX-T",AR7="EUC"),50,0))</f>
        <v>50</v>
      </c>
      <c r="AT7" s="273" t="s">
        <v>180</v>
      </c>
      <c r="AU7" s="274"/>
      <c r="AV7" s="275"/>
      <c r="AW7" s="117" t="s">
        <v>182</v>
      </c>
      <c r="AX7" s="16">
        <f>IF(OR(AW7="RPX",AW7="SS"),30,IF(OR(AW7="RPX-T",AW7="EUC"),50,0))</f>
        <v>30</v>
      </c>
      <c r="AY7" s="273" t="s">
        <v>180</v>
      </c>
      <c r="AZ7" s="274"/>
      <c r="BA7" s="275"/>
      <c r="BB7" s="117" t="s">
        <v>181</v>
      </c>
      <c r="BC7" s="16">
        <f>IF(OR(BB7="RPX",BB7="SS"),30,IF(OR(BB7="RPX-T",BB7="EUC"),50,0))</f>
        <v>50</v>
      </c>
      <c r="BD7" s="273" t="s">
        <v>180</v>
      </c>
      <c r="BE7" s="274"/>
      <c r="BF7" s="275"/>
      <c r="BG7" s="117" t="s">
        <v>181</v>
      </c>
      <c r="BH7" s="16">
        <f>IF(OR(BG7="RPX",BG7="SS"),30,IF(OR(BG7="RPX-T",BG7="EUC"),50,0))</f>
        <v>50</v>
      </c>
      <c r="BI7" s="273" t="s">
        <v>180</v>
      </c>
      <c r="BJ7" s="274"/>
      <c r="BK7" s="275"/>
      <c r="BL7" s="117" t="s">
        <v>181</v>
      </c>
      <c r="BM7" s="16">
        <f>IF(OR(BL7="RPX",BL7="SS"),30,IF(OR(BL7="RPX-T",BL7="EUC"),50,0))</f>
        <v>50</v>
      </c>
      <c r="BN7" s="273" t="s">
        <v>180</v>
      </c>
      <c r="BO7" s="274"/>
      <c r="BP7" s="275"/>
      <c r="BQ7" s="117" t="s">
        <v>182</v>
      </c>
      <c r="BR7" s="16">
        <f>IF(OR(BQ7="RPX",BQ7="SS"),30,IF(OR(BQ7="RPX-T",BQ7="EUC"),50,0))</f>
        <v>30</v>
      </c>
      <c r="BS7" s="273" t="s">
        <v>180</v>
      </c>
      <c r="BT7" s="274"/>
      <c r="BU7" s="275"/>
      <c r="BV7" s="117" t="s">
        <v>181</v>
      </c>
      <c r="BW7" s="16">
        <f>IF(OR(BV7="RPX",BV7="SS"),30,IF(OR(BV7="RPX-T",BV7="EUC"),50,0))</f>
        <v>50</v>
      </c>
      <c r="BX7" s="273" t="s">
        <v>180</v>
      </c>
      <c r="BY7" s="274"/>
      <c r="BZ7" s="275"/>
      <c r="CA7" s="117"/>
      <c r="CB7" s="16">
        <f>IF(OR(CA7="RPX",CA7="SS"),30,IF(OR(CA7="RPX-T",CA7="EUC"),50,0))</f>
        <v>0</v>
      </c>
      <c r="CC7" s="273" t="s">
        <v>180</v>
      </c>
      <c r="CD7" s="274"/>
      <c r="CE7" s="275"/>
      <c r="CF7" s="117"/>
      <c r="CG7" s="16">
        <f>IF(OR(CF7="RPX",CF7="SS"),30,IF(OR(CF7="RPX-T",CF7="EUC"),50,0))</f>
        <v>0</v>
      </c>
      <c r="CH7" s="273" t="s">
        <v>180</v>
      </c>
      <c r="CI7" s="274"/>
      <c r="CJ7" s="275"/>
      <c r="CK7" s="117"/>
      <c r="CL7" s="16">
        <f>IF(OR(CK7="RPX",CK7="SS"),30,IF(OR(CK7="RPX-T",CK7="EUC"),50,0))</f>
        <v>0</v>
      </c>
      <c r="CM7" s="273" t="s">
        <v>180</v>
      </c>
      <c r="CN7" s="274"/>
      <c r="CO7" s="275"/>
      <c r="CP7" s="117"/>
      <c r="CQ7" s="16">
        <f>IF(OR(CP7="RPX",CP7="SS"),30,IF(OR(CP7="RPX-T",CP7="EUC"),50,0))</f>
        <v>0</v>
      </c>
      <c r="CR7" s="273" t="s">
        <v>180</v>
      </c>
      <c r="CS7" s="274"/>
      <c r="CT7" s="275"/>
      <c r="CU7" s="117"/>
      <c r="CV7" s="16">
        <f>IF(OR(CU7="RPX",CU7="SS"),30,IF(OR(CU7="RPX-T",CU7="EUC"),50,0))</f>
        <v>0</v>
      </c>
      <c r="CW7" s="273" t="s">
        <v>180</v>
      </c>
      <c r="CX7" s="274"/>
      <c r="CY7" s="275"/>
      <c r="CZ7" s="117"/>
      <c r="DA7" s="16">
        <f>IF(OR(CZ7="RPX",CZ7="SS"),30,IF(OR(CZ7="RPX-T",CZ7="EUC"),50,0))</f>
        <v>0</v>
      </c>
      <c r="DB7" s="273" t="s">
        <v>180</v>
      </c>
      <c r="DC7" s="274"/>
      <c r="DD7" s="275"/>
      <c r="DE7" s="117"/>
      <c r="DF7" s="16">
        <f>IF(OR(DE7="RPX",DE7="SS"),30,IF(OR(DE7="RPX-T",DE7="EUC"),50,0))</f>
        <v>0</v>
      </c>
      <c r="DG7" s="273" t="s">
        <v>180</v>
      </c>
      <c r="DH7" s="274"/>
      <c r="DI7" s="275"/>
      <c r="DJ7" s="117"/>
      <c r="DK7" s="16">
        <f>IF(OR(DJ7="RPX",DJ7="SS"),30,IF(OR(DJ7="RPX-T",DJ7="EUC"),50,0))</f>
        <v>0</v>
      </c>
      <c r="DL7" s="273" t="s">
        <v>180</v>
      </c>
      <c r="DM7" s="274"/>
      <c r="DN7" s="275"/>
      <c r="DO7" s="117"/>
      <c r="DP7" s="16">
        <f>IF(OR(DO7="RPX",DO7="SS"),30,IF(OR(DO7="RPX-T",DO7="EUC"),50,0))</f>
        <v>0</v>
      </c>
      <c r="DQ7" s="273" t="s">
        <v>180</v>
      </c>
      <c r="DR7" s="274"/>
      <c r="DS7" s="275"/>
      <c r="DT7" s="117"/>
      <c r="DU7" s="16">
        <f>IF(OR(DT7="RPX",DT7="SS"),30,IF(OR(DT7="RPX-T",DT7="EUC"),50,0))</f>
        <v>0</v>
      </c>
      <c r="DV7" s="273" t="s">
        <v>180</v>
      </c>
      <c r="DW7" s="274"/>
      <c r="DX7" s="275"/>
      <c r="DY7" s="117"/>
      <c r="DZ7" s="16">
        <f>IF(OR(DY7="RPX",DY7="SS"),30,IF(OR(DY7="RPX-T",DY7="EUC"),50,0))</f>
        <v>0</v>
      </c>
      <c r="EA7" s="273" t="s">
        <v>180</v>
      </c>
      <c r="EB7" s="274"/>
      <c r="EC7" s="275"/>
      <c r="ED7" s="117"/>
      <c r="EE7" s="16">
        <f>IF(OR(ED7="RPX",ED7="SS"),30,IF(OR(ED7="RPX-T",ED7="EUC"),50,0))</f>
        <v>0</v>
      </c>
      <c r="EF7" s="273" t="s">
        <v>180</v>
      </c>
      <c r="EG7" s="274"/>
      <c r="EH7" s="275"/>
      <c r="EI7" s="117"/>
      <c r="EJ7" s="16">
        <f>IF(OR(EI7="RPX",EI7="SS"),30,IF(OR(EI7="RPX-T",EI7="EUC"),50,0))</f>
        <v>0</v>
      </c>
      <c r="EK7" s="273" t="s">
        <v>180</v>
      </c>
      <c r="EL7" s="274"/>
      <c r="EM7" s="275"/>
      <c r="EN7" s="117"/>
      <c r="EO7" s="16">
        <f>IF(OR(EN7="RPX",EN7="SS"),30,IF(OR(EN7="RPX-T",EN7="EUC"),50,0))</f>
        <v>0</v>
      </c>
      <c r="EP7" s="273" t="s">
        <v>180</v>
      </c>
      <c r="EQ7" s="274"/>
      <c r="ER7" s="275"/>
      <c r="ES7" s="117"/>
      <c r="ET7" s="16">
        <f>IF(OR(ES7="RPX",ES7="SS"),30,IF(OR(ES7="RPX-T",ES7="EUC"),50,0))</f>
        <v>0</v>
      </c>
      <c r="EU7" s="273" t="s">
        <v>180</v>
      </c>
      <c r="EV7" s="274"/>
      <c r="EW7" s="275"/>
      <c r="EX7" s="117"/>
      <c r="EY7" s="16">
        <f>IF(OR(EX7="RPX",EX7="SS"),30,IF(OR(EX7="RPX-T",EX7="EUC"),50,0))</f>
        <v>0</v>
      </c>
      <c r="EZ7" s="273" t="s">
        <v>180</v>
      </c>
      <c r="FA7" s="274"/>
      <c r="FB7" s="275"/>
      <c r="FC7" s="117"/>
      <c r="FD7" s="16">
        <f>IF(OR(FC7="RPX",FC7="SS"),30,IF(OR(FC7="RPX-T",FC7="EUC"),50,0))</f>
        <v>0</v>
      </c>
      <c r="FE7" s="273" t="s">
        <v>180</v>
      </c>
      <c r="FF7" s="274"/>
      <c r="FG7" s="275"/>
      <c r="FH7" s="117"/>
      <c r="FI7" s="16">
        <f>IF(OR(FH7="RPX",FH7="SS"),30,IF(OR(FH7="RPX-T",FH7="EUC"),50,0))</f>
        <v>0</v>
      </c>
      <c r="FJ7" s="273" t="s">
        <v>180</v>
      </c>
      <c r="FK7" s="274"/>
      <c r="FL7" s="275"/>
      <c r="FM7" s="117"/>
      <c r="FN7" s="16">
        <f>IF(OR(FM7="RPX",FM7="SS"),30,IF(OR(FM7="RPX-T",FM7="EUC"),50,0))</f>
        <v>0</v>
      </c>
      <c r="FO7" s="273" t="s">
        <v>180</v>
      </c>
      <c r="FP7" s="274"/>
      <c r="FQ7" s="275"/>
      <c r="FR7" s="117"/>
      <c r="FS7" s="16">
        <f>IF(OR(FR7="RPX",FR7="SS"),30,IF(OR(FR7="RPX-T",FR7="EUC"),50,0))</f>
        <v>0</v>
      </c>
      <c r="FT7" s="273" t="s">
        <v>180</v>
      </c>
      <c r="FU7" s="274"/>
      <c r="FV7" s="275"/>
      <c r="FW7" s="117"/>
      <c r="FX7" s="16">
        <f>IF(OR(FW7="RPX",FW7="SS"),30,IF(OR(FW7="RPX-T",FW7="EUC"),50,0))</f>
        <v>0</v>
      </c>
      <c r="FY7" s="273" t="s">
        <v>180</v>
      </c>
      <c r="FZ7" s="274"/>
      <c r="GA7" s="275"/>
      <c r="GB7" s="117"/>
      <c r="GC7" s="16">
        <f>IF(OR(GB7="RPX",GB7="SS"),30,IF(OR(GB7="RPX-T",GB7="EUC"),50,0))</f>
        <v>0</v>
      </c>
      <c r="GD7" s="273" t="s">
        <v>180</v>
      </c>
      <c r="GE7" s="274"/>
      <c r="GF7" s="275"/>
      <c r="GG7" s="117"/>
      <c r="GH7" s="16">
        <f>IF(OR(GG7="RPX",GG7="SS"),30,IF(OR(GG7="RPX-T",GG7="EUC"),50,0))</f>
        <v>0</v>
      </c>
      <c r="GI7" s="273" t="s">
        <v>180</v>
      </c>
      <c r="GJ7" s="274"/>
      <c r="GK7" s="275"/>
      <c r="GL7" s="117"/>
      <c r="GM7" s="16">
        <f>IF(OR(GL7="RPX",GL7="SS"),30,IF(OR(GL7="RPX-T",GL7="EUC"),50,0))</f>
        <v>0</v>
      </c>
      <c r="GN7" s="273" t="s">
        <v>180</v>
      </c>
      <c r="GO7" s="274"/>
      <c r="GP7" s="275"/>
      <c r="GQ7" s="117"/>
      <c r="GR7" s="16">
        <f>IF(OR(GQ7="RPX",GQ7="SS"),30,IF(OR(GQ7="RPX-T",GQ7="EUC"),50,0))</f>
        <v>0</v>
      </c>
      <c r="GS7" s="273" t="s">
        <v>180</v>
      </c>
      <c r="GT7" s="274"/>
      <c r="GU7" s="275"/>
      <c r="GV7" s="117"/>
      <c r="GW7" s="16">
        <f>IF(OR(GV7="RPX",GV7="SS"),30,IF(OR(GV7="RPX-T",GV7="EUC"),50,0))</f>
        <v>0</v>
      </c>
      <c r="GX7" s="273" t="s">
        <v>180</v>
      </c>
      <c r="GY7" s="274"/>
      <c r="GZ7" s="275"/>
      <c r="HA7" s="117"/>
      <c r="HB7" s="16">
        <f>IF(OR(HA7="RPX",HA7="SS"),30,IF(OR(HA7="RPX-T",HA7="EUC"),50,0))</f>
        <v>0</v>
      </c>
      <c r="HC7" s="273" t="s">
        <v>180</v>
      </c>
      <c r="HD7" s="274"/>
      <c r="HE7" s="275"/>
      <c r="HF7" s="117"/>
      <c r="HG7" s="16">
        <f>IF(OR(HF7="RPX",HF7="SS"),30,IF(OR(HF7="RPX-T",HF7="EUC"),50,0))</f>
        <v>0</v>
      </c>
      <c r="HH7" s="273" t="s">
        <v>180</v>
      </c>
      <c r="HI7" s="274"/>
      <c r="HJ7" s="275"/>
      <c r="HK7" s="117"/>
      <c r="HL7" s="16">
        <f>IF(OR(HK7="RPX",HK7="SS"),30,IF(OR(HK7="RPX-T",HK7="EUC"),50,0))</f>
        <v>0</v>
      </c>
      <c r="HM7" s="273" t="s">
        <v>180</v>
      </c>
      <c r="HN7" s="274"/>
      <c r="HO7" s="275"/>
      <c r="HP7" s="117"/>
      <c r="HQ7" s="16">
        <f>IF(OR(HP7="RPX",HP7="SS"),30,IF(OR(HP7="RPX-T",HP7="EUC"),50,0))</f>
        <v>0</v>
      </c>
      <c r="HR7" s="273" t="s">
        <v>180</v>
      </c>
      <c r="HS7" s="274"/>
      <c r="HT7" s="275"/>
      <c r="HU7" s="117"/>
      <c r="HV7" s="16">
        <f>IF(OR(HU7="RPX",HU7="SS"),30,IF(OR(HU7="RPX-T",HU7="EUC"),50,0))</f>
        <v>0</v>
      </c>
      <c r="HW7" s="273" t="s">
        <v>180</v>
      </c>
      <c r="HX7" s="274"/>
      <c r="HY7" s="275"/>
      <c r="HZ7" s="117"/>
      <c r="IA7" s="16">
        <f>IF(OR(HZ7="RPX",HZ7="SS"),30,IF(OR(HZ7="RPX-T",HZ7="EUC"),50,0))</f>
        <v>0</v>
      </c>
      <c r="IB7" s="273" t="s">
        <v>180</v>
      </c>
      <c r="IC7" s="274"/>
      <c r="ID7" s="275"/>
      <c r="IE7" s="117"/>
      <c r="IF7" s="16">
        <f>IF(OR(IE7="RPX",IE7="SS"),30,IF(OR(IE7="RPX-T",IE7="EUC"),50,0))</f>
        <v>0</v>
      </c>
      <c r="IG7" s="273" t="s">
        <v>180</v>
      </c>
      <c r="IH7" s="274"/>
      <c r="II7" s="275"/>
      <c r="IJ7" s="117"/>
      <c r="IK7" s="16">
        <f>IF(OR(IJ7="RPX",IJ7="SS"),30,IF(OR(IJ7="RPX-T",IJ7="EUC"),50,0))</f>
        <v>0</v>
      </c>
      <c r="IL7" s="273" t="s">
        <v>180</v>
      </c>
      <c r="IM7" s="274"/>
      <c r="IN7" s="275"/>
      <c r="IO7" s="117"/>
      <c r="IP7" s="16">
        <f>IF(OR(IO7="RPX",IO7="SS"),30,IF(OR(IO7="RPX-T",IO7="EUC"),50,0))</f>
        <v>0</v>
      </c>
    </row>
    <row r="8" spans="1:250" s="93" customFormat="1" ht="28.8" x14ac:dyDescent="0.3">
      <c r="A8" s="91" t="s">
        <v>183</v>
      </c>
      <c r="B8" s="91" t="s">
        <v>184</v>
      </c>
      <c r="C8" s="91" t="s">
        <v>185</v>
      </c>
      <c r="D8" s="91" t="s">
        <v>186</v>
      </c>
      <c r="E8" s="92"/>
      <c r="F8" s="91" t="s">
        <v>183</v>
      </c>
      <c r="G8" s="91" t="s">
        <v>184</v>
      </c>
      <c r="H8" s="91" t="s">
        <v>185</v>
      </c>
      <c r="I8" s="91" t="s">
        <v>186</v>
      </c>
      <c r="J8" s="92"/>
      <c r="K8" s="91" t="s">
        <v>183</v>
      </c>
      <c r="L8" s="91" t="s">
        <v>184</v>
      </c>
      <c r="M8" s="91" t="s">
        <v>185</v>
      </c>
      <c r="N8" s="91" t="s">
        <v>186</v>
      </c>
      <c r="O8" s="92"/>
      <c r="P8" s="91" t="s">
        <v>183</v>
      </c>
      <c r="Q8" s="91" t="s">
        <v>184</v>
      </c>
      <c r="R8" s="91" t="s">
        <v>185</v>
      </c>
      <c r="S8" s="91" t="s">
        <v>186</v>
      </c>
      <c r="T8" s="92"/>
      <c r="U8" s="91" t="s">
        <v>183</v>
      </c>
      <c r="V8" s="91" t="s">
        <v>184</v>
      </c>
      <c r="W8" s="91" t="s">
        <v>185</v>
      </c>
      <c r="X8" s="91" t="s">
        <v>186</v>
      </c>
      <c r="Y8" s="92"/>
      <c r="Z8" s="91" t="s">
        <v>183</v>
      </c>
      <c r="AA8" s="91" t="s">
        <v>184</v>
      </c>
      <c r="AB8" s="91" t="s">
        <v>185</v>
      </c>
      <c r="AC8" s="91" t="s">
        <v>186</v>
      </c>
      <c r="AD8" s="92"/>
      <c r="AE8" s="91" t="s">
        <v>183</v>
      </c>
      <c r="AF8" s="91" t="s">
        <v>184</v>
      </c>
      <c r="AG8" s="91" t="s">
        <v>185</v>
      </c>
      <c r="AH8" s="91" t="s">
        <v>186</v>
      </c>
      <c r="AI8" s="92"/>
      <c r="AJ8" s="91" t="s">
        <v>183</v>
      </c>
      <c r="AK8" s="91" t="s">
        <v>184</v>
      </c>
      <c r="AL8" s="91" t="s">
        <v>185</v>
      </c>
      <c r="AM8" s="91" t="s">
        <v>186</v>
      </c>
      <c r="AN8" s="92"/>
      <c r="AO8" s="91" t="s">
        <v>183</v>
      </c>
      <c r="AP8" s="91" t="s">
        <v>184</v>
      </c>
      <c r="AQ8" s="91" t="s">
        <v>185</v>
      </c>
      <c r="AR8" s="91" t="s">
        <v>186</v>
      </c>
      <c r="AS8" s="92"/>
      <c r="AT8" s="91" t="s">
        <v>183</v>
      </c>
      <c r="AU8" s="91" t="s">
        <v>184</v>
      </c>
      <c r="AV8" s="91" t="s">
        <v>185</v>
      </c>
      <c r="AW8" s="91" t="s">
        <v>186</v>
      </c>
      <c r="AX8" s="92"/>
      <c r="AY8" s="91" t="s">
        <v>183</v>
      </c>
      <c r="AZ8" s="91" t="s">
        <v>184</v>
      </c>
      <c r="BA8" s="91" t="s">
        <v>185</v>
      </c>
      <c r="BB8" s="91" t="s">
        <v>186</v>
      </c>
      <c r="BC8" s="92"/>
      <c r="BD8" s="91" t="s">
        <v>183</v>
      </c>
      <c r="BE8" s="91" t="s">
        <v>184</v>
      </c>
      <c r="BF8" s="91" t="s">
        <v>185</v>
      </c>
      <c r="BG8" s="91" t="s">
        <v>186</v>
      </c>
      <c r="BH8" s="92"/>
      <c r="BI8" s="91" t="s">
        <v>183</v>
      </c>
      <c r="BJ8" s="91" t="s">
        <v>184</v>
      </c>
      <c r="BK8" s="91" t="s">
        <v>185</v>
      </c>
      <c r="BL8" s="91" t="s">
        <v>186</v>
      </c>
      <c r="BM8" s="92"/>
      <c r="BN8" s="91" t="s">
        <v>183</v>
      </c>
      <c r="BO8" s="91" t="s">
        <v>184</v>
      </c>
      <c r="BP8" s="91" t="s">
        <v>185</v>
      </c>
      <c r="BQ8" s="91" t="s">
        <v>186</v>
      </c>
      <c r="BR8" s="92"/>
      <c r="BS8" s="91" t="s">
        <v>183</v>
      </c>
      <c r="BT8" s="91" t="s">
        <v>184</v>
      </c>
      <c r="BU8" s="91" t="s">
        <v>185</v>
      </c>
      <c r="BV8" s="91" t="s">
        <v>186</v>
      </c>
      <c r="BW8" s="92"/>
      <c r="BX8" s="91" t="s">
        <v>183</v>
      </c>
      <c r="BY8" s="91" t="s">
        <v>184</v>
      </c>
      <c r="BZ8" s="91" t="s">
        <v>185</v>
      </c>
      <c r="CA8" s="91" t="s">
        <v>186</v>
      </c>
      <c r="CB8" s="92"/>
      <c r="CC8" s="91" t="s">
        <v>183</v>
      </c>
      <c r="CD8" s="91" t="s">
        <v>184</v>
      </c>
      <c r="CE8" s="91" t="s">
        <v>185</v>
      </c>
      <c r="CF8" s="91" t="s">
        <v>186</v>
      </c>
      <c r="CG8" s="92"/>
      <c r="CH8" s="91" t="s">
        <v>183</v>
      </c>
      <c r="CI8" s="91" t="s">
        <v>184</v>
      </c>
      <c r="CJ8" s="91" t="s">
        <v>185</v>
      </c>
      <c r="CK8" s="91" t="s">
        <v>186</v>
      </c>
      <c r="CL8" s="92"/>
      <c r="CM8" s="91" t="s">
        <v>183</v>
      </c>
      <c r="CN8" s="91" t="s">
        <v>184</v>
      </c>
      <c r="CO8" s="91" t="s">
        <v>185</v>
      </c>
      <c r="CP8" s="91" t="s">
        <v>186</v>
      </c>
      <c r="CQ8" s="92"/>
      <c r="CR8" s="91" t="s">
        <v>183</v>
      </c>
      <c r="CS8" s="91" t="s">
        <v>184</v>
      </c>
      <c r="CT8" s="91" t="s">
        <v>185</v>
      </c>
      <c r="CU8" s="91" t="s">
        <v>186</v>
      </c>
      <c r="CV8" s="92"/>
      <c r="CW8" s="91" t="s">
        <v>183</v>
      </c>
      <c r="CX8" s="91" t="s">
        <v>184</v>
      </c>
      <c r="CY8" s="91" t="s">
        <v>185</v>
      </c>
      <c r="CZ8" s="91" t="s">
        <v>186</v>
      </c>
      <c r="DA8" s="92"/>
      <c r="DB8" s="91" t="s">
        <v>183</v>
      </c>
      <c r="DC8" s="91" t="s">
        <v>184</v>
      </c>
      <c r="DD8" s="91" t="s">
        <v>185</v>
      </c>
      <c r="DE8" s="91" t="s">
        <v>186</v>
      </c>
      <c r="DF8" s="92"/>
      <c r="DG8" s="91" t="s">
        <v>183</v>
      </c>
      <c r="DH8" s="91" t="s">
        <v>184</v>
      </c>
      <c r="DI8" s="91" t="s">
        <v>185</v>
      </c>
      <c r="DJ8" s="91" t="s">
        <v>186</v>
      </c>
      <c r="DK8" s="92"/>
      <c r="DL8" s="91" t="s">
        <v>183</v>
      </c>
      <c r="DM8" s="91" t="s">
        <v>184</v>
      </c>
      <c r="DN8" s="91" t="s">
        <v>185</v>
      </c>
      <c r="DO8" s="91" t="s">
        <v>186</v>
      </c>
      <c r="DP8" s="92"/>
      <c r="DQ8" s="91" t="s">
        <v>183</v>
      </c>
      <c r="DR8" s="91" t="s">
        <v>184</v>
      </c>
      <c r="DS8" s="91" t="s">
        <v>185</v>
      </c>
      <c r="DT8" s="91" t="s">
        <v>186</v>
      </c>
      <c r="DU8" s="92"/>
      <c r="DV8" s="91" t="s">
        <v>183</v>
      </c>
      <c r="DW8" s="91" t="s">
        <v>184</v>
      </c>
      <c r="DX8" s="91" t="s">
        <v>185</v>
      </c>
      <c r="DY8" s="91" t="s">
        <v>186</v>
      </c>
      <c r="DZ8" s="92"/>
      <c r="EA8" s="91" t="s">
        <v>183</v>
      </c>
      <c r="EB8" s="91" t="s">
        <v>184</v>
      </c>
      <c r="EC8" s="91" t="s">
        <v>185</v>
      </c>
      <c r="ED8" s="91" t="s">
        <v>186</v>
      </c>
      <c r="EE8" s="92"/>
      <c r="EF8" s="91" t="s">
        <v>183</v>
      </c>
      <c r="EG8" s="91" t="s">
        <v>184</v>
      </c>
      <c r="EH8" s="91" t="s">
        <v>185</v>
      </c>
      <c r="EI8" s="91" t="s">
        <v>186</v>
      </c>
      <c r="EJ8" s="92"/>
      <c r="EK8" s="91" t="s">
        <v>183</v>
      </c>
      <c r="EL8" s="91" t="s">
        <v>184</v>
      </c>
      <c r="EM8" s="91" t="s">
        <v>185</v>
      </c>
      <c r="EN8" s="91" t="s">
        <v>186</v>
      </c>
      <c r="EO8" s="92"/>
      <c r="EP8" s="91" t="s">
        <v>183</v>
      </c>
      <c r="EQ8" s="91" t="s">
        <v>184</v>
      </c>
      <c r="ER8" s="91" t="s">
        <v>185</v>
      </c>
      <c r="ES8" s="91" t="s">
        <v>186</v>
      </c>
      <c r="ET8" s="92"/>
      <c r="EU8" s="91" t="s">
        <v>183</v>
      </c>
      <c r="EV8" s="91" t="s">
        <v>184</v>
      </c>
      <c r="EW8" s="91" t="s">
        <v>185</v>
      </c>
      <c r="EX8" s="91" t="s">
        <v>186</v>
      </c>
      <c r="EY8" s="92"/>
      <c r="EZ8" s="91" t="s">
        <v>183</v>
      </c>
      <c r="FA8" s="91" t="s">
        <v>184</v>
      </c>
      <c r="FB8" s="91" t="s">
        <v>185</v>
      </c>
      <c r="FC8" s="91" t="s">
        <v>186</v>
      </c>
      <c r="FD8" s="92"/>
      <c r="FE8" s="91" t="s">
        <v>183</v>
      </c>
      <c r="FF8" s="91" t="s">
        <v>184</v>
      </c>
      <c r="FG8" s="91" t="s">
        <v>185</v>
      </c>
      <c r="FH8" s="91" t="s">
        <v>186</v>
      </c>
      <c r="FI8" s="92"/>
      <c r="FJ8" s="91" t="s">
        <v>183</v>
      </c>
      <c r="FK8" s="91" t="s">
        <v>184</v>
      </c>
      <c r="FL8" s="91" t="s">
        <v>185</v>
      </c>
      <c r="FM8" s="91" t="s">
        <v>186</v>
      </c>
      <c r="FN8" s="92"/>
      <c r="FO8" s="91" t="s">
        <v>183</v>
      </c>
      <c r="FP8" s="91" t="s">
        <v>184</v>
      </c>
      <c r="FQ8" s="91" t="s">
        <v>185</v>
      </c>
      <c r="FR8" s="91" t="s">
        <v>186</v>
      </c>
      <c r="FS8" s="92"/>
      <c r="FT8" s="91" t="s">
        <v>183</v>
      </c>
      <c r="FU8" s="91" t="s">
        <v>184</v>
      </c>
      <c r="FV8" s="91" t="s">
        <v>185</v>
      </c>
      <c r="FW8" s="91" t="s">
        <v>186</v>
      </c>
      <c r="FX8" s="92"/>
      <c r="FY8" s="91" t="s">
        <v>183</v>
      </c>
      <c r="FZ8" s="91" t="s">
        <v>184</v>
      </c>
      <c r="GA8" s="91" t="s">
        <v>185</v>
      </c>
      <c r="GB8" s="91" t="s">
        <v>186</v>
      </c>
      <c r="GC8" s="92"/>
      <c r="GD8" s="91" t="s">
        <v>183</v>
      </c>
      <c r="GE8" s="91" t="s">
        <v>184</v>
      </c>
      <c r="GF8" s="91" t="s">
        <v>185</v>
      </c>
      <c r="GG8" s="91" t="s">
        <v>186</v>
      </c>
      <c r="GH8" s="92"/>
      <c r="GI8" s="91" t="s">
        <v>183</v>
      </c>
      <c r="GJ8" s="91" t="s">
        <v>184</v>
      </c>
      <c r="GK8" s="91" t="s">
        <v>185</v>
      </c>
      <c r="GL8" s="91" t="s">
        <v>186</v>
      </c>
      <c r="GM8" s="92"/>
      <c r="GN8" s="91" t="s">
        <v>183</v>
      </c>
      <c r="GO8" s="91" t="s">
        <v>184</v>
      </c>
      <c r="GP8" s="91" t="s">
        <v>185</v>
      </c>
      <c r="GQ8" s="91" t="s">
        <v>186</v>
      </c>
      <c r="GR8" s="92"/>
      <c r="GS8" s="91" t="s">
        <v>183</v>
      </c>
      <c r="GT8" s="91" t="s">
        <v>184</v>
      </c>
      <c r="GU8" s="91" t="s">
        <v>185</v>
      </c>
      <c r="GV8" s="91" t="s">
        <v>186</v>
      </c>
      <c r="GW8" s="92"/>
      <c r="GX8" s="91" t="s">
        <v>183</v>
      </c>
      <c r="GY8" s="91" t="s">
        <v>184</v>
      </c>
      <c r="GZ8" s="91" t="s">
        <v>185</v>
      </c>
      <c r="HA8" s="91" t="s">
        <v>186</v>
      </c>
      <c r="HB8" s="92"/>
      <c r="HC8" s="91" t="s">
        <v>183</v>
      </c>
      <c r="HD8" s="91" t="s">
        <v>184</v>
      </c>
      <c r="HE8" s="91" t="s">
        <v>185</v>
      </c>
      <c r="HF8" s="91" t="s">
        <v>186</v>
      </c>
      <c r="HG8" s="92"/>
      <c r="HH8" s="91" t="s">
        <v>183</v>
      </c>
      <c r="HI8" s="91" t="s">
        <v>184</v>
      </c>
      <c r="HJ8" s="91" t="s">
        <v>185</v>
      </c>
      <c r="HK8" s="91" t="s">
        <v>186</v>
      </c>
      <c r="HL8" s="92"/>
      <c r="HM8" s="91" t="s">
        <v>183</v>
      </c>
      <c r="HN8" s="91" t="s">
        <v>184</v>
      </c>
      <c r="HO8" s="91" t="s">
        <v>185</v>
      </c>
      <c r="HP8" s="91" t="s">
        <v>186</v>
      </c>
      <c r="HQ8" s="92"/>
      <c r="HR8" s="91" t="s">
        <v>183</v>
      </c>
      <c r="HS8" s="91" t="s">
        <v>184</v>
      </c>
      <c r="HT8" s="91" t="s">
        <v>185</v>
      </c>
      <c r="HU8" s="91" t="s">
        <v>186</v>
      </c>
      <c r="HV8" s="92"/>
      <c r="HW8" s="91" t="s">
        <v>183</v>
      </c>
      <c r="HX8" s="91" t="s">
        <v>184</v>
      </c>
      <c r="HY8" s="91" t="s">
        <v>185</v>
      </c>
      <c r="HZ8" s="91" t="s">
        <v>186</v>
      </c>
      <c r="IA8" s="92"/>
      <c r="IB8" s="91" t="s">
        <v>183</v>
      </c>
      <c r="IC8" s="91" t="s">
        <v>184</v>
      </c>
      <c r="ID8" s="91" t="s">
        <v>185</v>
      </c>
      <c r="IE8" s="91" t="s">
        <v>186</v>
      </c>
      <c r="IF8" s="92"/>
      <c r="IG8" s="91" t="s">
        <v>183</v>
      </c>
      <c r="IH8" s="91" t="s">
        <v>184</v>
      </c>
      <c r="II8" s="91" t="s">
        <v>185</v>
      </c>
      <c r="IJ8" s="91" t="s">
        <v>186</v>
      </c>
      <c r="IK8" s="92"/>
      <c r="IL8" s="91" t="s">
        <v>183</v>
      </c>
      <c r="IM8" s="91" t="s">
        <v>184</v>
      </c>
      <c r="IN8" s="91" t="s">
        <v>185</v>
      </c>
      <c r="IO8" s="91" t="s">
        <v>186</v>
      </c>
      <c r="IP8" s="92"/>
    </row>
    <row r="9" spans="1:250" x14ac:dyDescent="0.3">
      <c r="A9" s="90">
        <v>0</v>
      </c>
      <c r="B9" s="90"/>
      <c r="C9" s="90"/>
      <c r="D9" s="116"/>
      <c r="E9" s="16">
        <f>IF(A9="",IF(C9="","",C9),A9)</f>
        <v>0</v>
      </c>
      <c r="F9" s="90"/>
      <c r="G9" s="90"/>
      <c r="H9" s="90">
        <v>0</v>
      </c>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c r="AF9" s="90"/>
      <c r="AG9" s="90">
        <v>0</v>
      </c>
      <c r="AH9" s="116"/>
      <c r="AI9" s="16">
        <f>IF(AE9="",IF(AG9="","",AG9),AE9)</f>
        <v>0</v>
      </c>
      <c r="AJ9" s="90">
        <v>0</v>
      </c>
      <c r="AK9" s="90"/>
      <c r="AL9" s="90"/>
      <c r="AM9" s="116"/>
      <c r="AN9" s="16">
        <f>IF(AJ9="",IF(AL9="","",AL9),AJ9)</f>
        <v>0</v>
      </c>
      <c r="AO9" s="90"/>
      <c r="AP9" s="90"/>
      <c r="AQ9" s="90">
        <v>0</v>
      </c>
      <c r="AR9" s="116"/>
      <c r="AS9" s="16">
        <f>IF(AO9="",IF(AQ9="","",AQ9),AO9)</f>
        <v>0</v>
      </c>
      <c r="AT9" s="90"/>
      <c r="AU9" s="90"/>
      <c r="AV9" s="90">
        <v>0</v>
      </c>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c r="BO9" s="90"/>
      <c r="BP9" s="90">
        <v>0</v>
      </c>
      <c r="BQ9" s="116"/>
      <c r="BR9" s="16">
        <f>IF(BN9="",IF(BP9="","",BP9),BN9)</f>
        <v>0</v>
      </c>
      <c r="BS9" s="90">
        <v>0</v>
      </c>
      <c r="BT9" s="90"/>
      <c r="BU9" s="90"/>
      <c r="BV9" s="116"/>
      <c r="BW9" s="16">
        <f>IF(BS9="",IF(BU9="","",BU9),BS9)</f>
        <v>0</v>
      </c>
      <c r="BX9" s="90"/>
      <c r="BY9" s="90"/>
      <c r="BZ9" s="90">
        <v>0</v>
      </c>
      <c r="CA9" s="116"/>
      <c r="CB9" s="16">
        <f>IF(BX9="",IF(BZ9="","",BZ9),BX9)</f>
        <v>0</v>
      </c>
      <c r="CC9" s="90">
        <v>0</v>
      </c>
      <c r="CD9" s="90"/>
      <c r="CE9" s="90"/>
      <c r="CF9" s="116"/>
      <c r="CG9" s="16">
        <f>IF(CC9="",IF(CE9="","",CE9),CC9)</f>
        <v>0</v>
      </c>
      <c r="CH9" s="90">
        <v>0</v>
      </c>
      <c r="CI9" s="90"/>
      <c r="CJ9" s="90"/>
      <c r="CK9" s="116"/>
      <c r="CL9" s="16">
        <f>IF(CH9="",IF(CJ9="","",CJ9),CH9)</f>
        <v>0</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3">
      <c r="A10" s="90"/>
      <c r="B10" s="90">
        <v>50</v>
      </c>
      <c r="C10" s="116"/>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c r="AG10" s="90"/>
      <c r="AH10" s="116">
        <v>50</v>
      </c>
      <c r="AI10" s="16">
        <f>IF(AE10="",AG10,AE10)</f>
        <v>0</v>
      </c>
      <c r="AJ10" s="90"/>
      <c r="AK10" s="90">
        <v>50</v>
      </c>
      <c r="AL10" s="90"/>
      <c r="AM10" s="116"/>
      <c r="AN10" s="16">
        <f>IF(AJ10="",AL10,AJ10)</f>
        <v>0</v>
      </c>
      <c r="AO10" s="90"/>
      <c r="AP10" s="90"/>
      <c r="AQ10" s="90"/>
      <c r="AR10" s="116">
        <v>50</v>
      </c>
      <c r="AS10" s="16">
        <f>IF(AO10="",AQ10,AO10)</f>
        <v>0</v>
      </c>
      <c r="AT10" s="90"/>
      <c r="AU10" s="90"/>
      <c r="AV10" s="90"/>
      <c r="AW10" s="116">
        <v>50</v>
      </c>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c r="BP10" s="90"/>
      <c r="BQ10" s="116">
        <v>50</v>
      </c>
      <c r="BR10" s="16">
        <f>IF(BN10="",BP10,BN10)</f>
        <v>0</v>
      </c>
      <c r="BS10" s="90"/>
      <c r="BT10" s="90">
        <v>50</v>
      </c>
      <c r="BU10" s="90"/>
      <c r="BV10" s="116"/>
      <c r="BW10" s="16">
        <f>IF(BS10="",BU10,BS10)</f>
        <v>0</v>
      </c>
      <c r="BX10" s="90"/>
      <c r="BY10" s="90"/>
      <c r="BZ10" s="90"/>
      <c r="CA10" s="116">
        <v>50</v>
      </c>
      <c r="CB10" s="16">
        <f>IF(BX10="",BZ10,BX10)</f>
        <v>0</v>
      </c>
      <c r="CC10" s="90"/>
      <c r="CD10" s="90">
        <v>50</v>
      </c>
      <c r="CE10" s="90"/>
      <c r="CF10" s="116"/>
      <c r="CG10" s="16">
        <f>IF(CC10="",CE10,CC10)</f>
        <v>0</v>
      </c>
      <c r="CH10" s="90"/>
      <c r="CI10" s="90">
        <v>50</v>
      </c>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3">
      <c r="A11" s="90">
        <v>10</v>
      </c>
      <c r="B11" s="90"/>
      <c r="C11" s="90"/>
      <c r="D11" s="116"/>
      <c r="E11" s="16">
        <f t="shared" ref="E11:E74" si="1">IF(A11="",C11,A11)</f>
        <v>10</v>
      </c>
      <c r="F11" s="90"/>
      <c r="G11" s="90"/>
      <c r="H11" s="90">
        <v>145</v>
      </c>
      <c r="I11" s="116"/>
      <c r="J11" s="16">
        <f t="shared" ref="J11:J74" si="2">IF(F11="",H11,F11)</f>
        <v>145</v>
      </c>
      <c r="K11" s="90"/>
      <c r="L11" s="90">
        <v>21</v>
      </c>
      <c r="M11" s="90"/>
      <c r="N11" s="116"/>
      <c r="O11" s="16">
        <f t="shared" ref="O11:O74" si="3">IF(K11="",M11,K11)</f>
        <v>0</v>
      </c>
      <c r="P11" s="254"/>
      <c r="Q11" s="90">
        <v>22</v>
      </c>
      <c r="R11" s="90"/>
      <c r="S11" s="116"/>
      <c r="T11" s="16">
        <f t="shared" ref="T11:T74" si="4">IF(P11="",R11,P11)</f>
        <v>0</v>
      </c>
      <c r="U11" s="254">
        <v>179</v>
      </c>
      <c r="V11" s="90"/>
      <c r="W11" s="90"/>
      <c r="X11" s="116"/>
      <c r="Y11" s="16">
        <f t="shared" ref="Y11:Y74" si="5">IF(U11="",W11,U11)</f>
        <v>179</v>
      </c>
      <c r="Z11" s="90">
        <v>263</v>
      </c>
      <c r="AA11" s="90"/>
      <c r="AB11" s="90"/>
      <c r="AC11" s="116"/>
      <c r="AD11" s="16">
        <f t="shared" ref="AD11:AD74" si="6">IF(Z11="",AB11,Z11)</f>
        <v>263</v>
      </c>
      <c r="AE11" s="90"/>
      <c r="AF11" s="90"/>
      <c r="AG11" s="90">
        <v>190</v>
      </c>
      <c r="AH11" s="116"/>
      <c r="AI11" s="16">
        <f t="shared" ref="AI11:AI74" si="7">IF(AE11="",AG11,AE11)</f>
        <v>190</v>
      </c>
      <c r="AJ11" s="90"/>
      <c r="AK11" s="90">
        <v>22</v>
      </c>
      <c r="AL11" s="90"/>
      <c r="AM11" s="116"/>
      <c r="AN11" s="16">
        <f t="shared" ref="AN11:AN74" si="8">IF(AJ11="",AL11,AJ11)</f>
        <v>0</v>
      </c>
      <c r="AO11" s="90"/>
      <c r="AP11" s="90"/>
      <c r="AQ11" s="90">
        <v>145</v>
      </c>
      <c r="AR11" s="116"/>
      <c r="AS11" s="16">
        <f t="shared" ref="AS11:AS74" si="9">IF(AO11="",AQ11,AO11)</f>
        <v>145</v>
      </c>
      <c r="AT11" s="90"/>
      <c r="AU11" s="90"/>
      <c r="AV11" s="90">
        <v>125</v>
      </c>
      <c r="AW11" s="116"/>
      <c r="AX11" s="16">
        <f t="shared" ref="AX11:AX74" si="10">IF(AT11="",AV11,AT11)</f>
        <v>125</v>
      </c>
      <c r="AY11" s="90">
        <v>10</v>
      </c>
      <c r="AZ11" s="90"/>
      <c r="BA11" s="90"/>
      <c r="BB11" s="116"/>
      <c r="BC11" s="16">
        <f t="shared" ref="BC11:BC74" si="11">IF(AY11="",BA11,AY11)</f>
        <v>10</v>
      </c>
      <c r="BD11" s="90">
        <v>10</v>
      </c>
      <c r="BE11" s="90"/>
      <c r="BF11" s="90"/>
      <c r="BG11" s="116"/>
      <c r="BH11" s="16">
        <f t="shared" ref="BH11:BH74" si="12">IF(BD11="",BF11,BD11)</f>
        <v>10</v>
      </c>
      <c r="BI11" s="90">
        <v>10</v>
      </c>
      <c r="BJ11" s="90"/>
      <c r="BK11" s="90"/>
      <c r="BL11" s="116"/>
      <c r="BM11" s="16">
        <f t="shared" ref="BM11:BM74" si="13">IF(BI11="",BK11,BI11)</f>
        <v>10</v>
      </c>
      <c r="BN11" s="90"/>
      <c r="BO11" s="90"/>
      <c r="BP11" s="90">
        <v>91</v>
      </c>
      <c r="BQ11" s="116"/>
      <c r="BR11" s="16">
        <f t="shared" ref="BR11:BR74" si="14">IF(BN11="",BP11,BN11)</f>
        <v>91</v>
      </c>
      <c r="BS11" s="90">
        <v>250</v>
      </c>
      <c r="BT11" s="90"/>
      <c r="BU11" s="90"/>
      <c r="BV11" s="116"/>
      <c r="BW11" s="16">
        <f t="shared" ref="BW11:BW74" si="15">IF(BS11="",BU11,BS11)</f>
        <v>250</v>
      </c>
      <c r="BX11" s="90"/>
      <c r="BY11" s="90"/>
      <c r="BZ11" s="90">
        <v>170</v>
      </c>
      <c r="CA11" s="116"/>
      <c r="CB11" s="16">
        <f t="shared" ref="CB11:CB74" si="16">IF(BX11="",BZ11,BX11)</f>
        <v>170</v>
      </c>
      <c r="CC11" s="254"/>
      <c r="CD11" s="90">
        <v>22</v>
      </c>
      <c r="CE11" s="90"/>
      <c r="CF11" s="116"/>
      <c r="CG11" s="16">
        <f t="shared" ref="CG11:CG74" si="17">IF(CC11="",CE11,CC11)</f>
        <v>0</v>
      </c>
      <c r="CH11" s="90">
        <v>1300</v>
      </c>
      <c r="CI11" s="90"/>
      <c r="CJ11" s="90"/>
      <c r="CK11" s="116"/>
      <c r="CL11" s="16">
        <f t="shared" ref="CL11:CL74" si="18">IF(CH11="",CJ11,CH11)</f>
        <v>1300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3">
      <c r="A12" s="90"/>
      <c r="B12" s="90">
        <v>21</v>
      </c>
      <c r="C12" s="116"/>
      <c r="D12" s="116"/>
      <c r="E12" s="16">
        <f t="shared" si="1"/>
        <v>0</v>
      </c>
      <c r="F12" s="90"/>
      <c r="G12" s="90"/>
      <c r="H12" s="90">
        <v>172</v>
      </c>
      <c r="I12" s="116"/>
      <c r="J12" s="16">
        <f t="shared" si="2"/>
        <v>172</v>
      </c>
      <c r="K12" s="90">
        <v>73</v>
      </c>
      <c r="L12" s="90"/>
      <c r="M12" s="90"/>
      <c r="N12" s="116"/>
      <c r="O12" s="16">
        <f t="shared" si="3"/>
        <v>73</v>
      </c>
      <c r="P12" s="254">
        <v>126</v>
      </c>
      <c r="Q12" s="90"/>
      <c r="R12" s="90"/>
      <c r="S12" s="116"/>
      <c r="T12" s="16">
        <f t="shared" si="4"/>
        <v>126</v>
      </c>
      <c r="U12" s="90">
        <v>254</v>
      </c>
      <c r="V12" s="90"/>
      <c r="W12" s="90"/>
      <c r="X12" s="116"/>
      <c r="Y12" s="16">
        <f t="shared" si="5"/>
        <v>254</v>
      </c>
      <c r="Z12" s="90"/>
      <c r="AA12" s="90">
        <v>20</v>
      </c>
      <c r="AB12" s="90"/>
      <c r="AC12" s="116"/>
      <c r="AD12" s="16">
        <f t="shared" si="6"/>
        <v>0</v>
      </c>
      <c r="AE12" s="90"/>
      <c r="AF12" s="90"/>
      <c r="AG12" s="90">
        <v>198</v>
      </c>
      <c r="AH12" s="116"/>
      <c r="AI12" s="16">
        <f t="shared" si="7"/>
        <v>198</v>
      </c>
      <c r="AJ12" s="90">
        <v>222</v>
      </c>
      <c r="AK12" s="90"/>
      <c r="AL12" s="90"/>
      <c r="AM12" s="116"/>
      <c r="AN12" s="16">
        <f t="shared" si="8"/>
        <v>222</v>
      </c>
      <c r="AO12" s="90"/>
      <c r="AP12" s="90"/>
      <c r="AQ12" s="90">
        <v>172</v>
      </c>
      <c r="AR12" s="116"/>
      <c r="AS12" s="16">
        <f t="shared" si="9"/>
        <v>172</v>
      </c>
      <c r="AT12" s="90"/>
      <c r="AU12" s="90"/>
      <c r="AV12" s="90">
        <v>107</v>
      </c>
      <c r="AW12" s="116"/>
      <c r="AX12" s="16">
        <f t="shared" si="10"/>
        <v>107</v>
      </c>
      <c r="AY12" s="90"/>
      <c r="AZ12" s="90">
        <v>21</v>
      </c>
      <c r="BA12" s="90"/>
      <c r="BB12" s="116"/>
      <c r="BC12" s="16">
        <f t="shared" si="11"/>
        <v>0</v>
      </c>
      <c r="BD12" s="90"/>
      <c r="BE12" s="90">
        <v>21</v>
      </c>
      <c r="BF12" s="90"/>
      <c r="BG12" s="116"/>
      <c r="BH12" s="16">
        <f t="shared" si="12"/>
        <v>0</v>
      </c>
      <c r="BI12" s="90"/>
      <c r="BJ12" s="90">
        <v>21</v>
      </c>
      <c r="BK12" s="90"/>
      <c r="BL12" s="116"/>
      <c r="BM12" s="16">
        <f t="shared" si="13"/>
        <v>0</v>
      </c>
      <c r="BN12" s="90"/>
      <c r="BO12" s="90"/>
      <c r="BP12" s="90">
        <v>218</v>
      </c>
      <c r="BQ12" s="116"/>
      <c r="BR12" s="16">
        <f t="shared" si="14"/>
        <v>218</v>
      </c>
      <c r="BS12" s="90">
        <v>295</v>
      </c>
      <c r="BT12" s="90"/>
      <c r="BU12" s="90"/>
      <c r="BV12" s="116"/>
      <c r="BW12" s="16">
        <f t="shared" si="15"/>
        <v>295</v>
      </c>
      <c r="BX12" s="90"/>
      <c r="BY12" s="90"/>
      <c r="BZ12" s="90"/>
      <c r="CA12" s="116">
        <v>50</v>
      </c>
      <c r="CB12" s="16">
        <f t="shared" si="16"/>
        <v>0</v>
      </c>
      <c r="CC12" s="254">
        <v>126</v>
      </c>
      <c r="CD12" s="90"/>
      <c r="CE12" s="90"/>
      <c r="CF12" s="116"/>
      <c r="CG12" s="16">
        <f t="shared" si="17"/>
        <v>126</v>
      </c>
      <c r="CH12" s="90"/>
      <c r="CI12" s="90">
        <v>50</v>
      </c>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3">
      <c r="A13" s="90"/>
      <c r="B13" s="90"/>
      <c r="C13" s="116">
        <v>99</v>
      </c>
      <c r="D13" s="116"/>
      <c r="E13" s="16">
        <f t="shared" si="1"/>
        <v>99</v>
      </c>
      <c r="F13" s="90"/>
      <c r="G13" s="90"/>
      <c r="H13" s="90">
        <v>111</v>
      </c>
      <c r="I13" s="116"/>
      <c r="J13" s="16">
        <f t="shared" si="2"/>
        <v>111</v>
      </c>
      <c r="K13" s="90">
        <v>300</v>
      </c>
      <c r="L13" s="90"/>
      <c r="M13" s="90"/>
      <c r="N13" s="116"/>
      <c r="O13" s="16">
        <f t="shared" si="3"/>
        <v>300</v>
      </c>
      <c r="P13" s="90">
        <v>239</v>
      </c>
      <c r="Q13" s="90"/>
      <c r="R13" s="90"/>
      <c r="S13" s="116"/>
      <c r="T13" s="16">
        <f t="shared" si="4"/>
        <v>239</v>
      </c>
      <c r="U13" s="90">
        <v>260</v>
      </c>
      <c r="V13" s="90"/>
      <c r="W13" s="90"/>
      <c r="X13" s="116"/>
      <c r="Y13" s="16">
        <f t="shared" si="5"/>
        <v>260</v>
      </c>
      <c r="Z13" s="90">
        <v>259</v>
      </c>
      <c r="AA13" s="90"/>
      <c r="AB13" s="90"/>
      <c r="AC13" s="116"/>
      <c r="AD13" s="16">
        <f t="shared" si="6"/>
        <v>259</v>
      </c>
      <c r="AE13" s="90"/>
      <c r="AF13" s="90"/>
      <c r="AG13" s="90">
        <v>194</v>
      </c>
      <c r="AH13" s="116"/>
      <c r="AI13" s="16">
        <f t="shared" si="7"/>
        <v>194</v>
      </c>
      <c r="AJ13" s="90">
        <v>126</v>
      </c>
      <c r="AK13" s="90"/>
      <c r="AL13" s="90"/>
      <c r="AM13" s="116"/>
      <c r="AN13" s="16">
        <f t="shared" si="8"/>
        <v>126</v>
      </c>
      <c r="AO13" s="90"/>
      <c r="AP13" s="90"/>
      <c r="AQ13" s="90">
        <v>111</v>
      </c>
      <c r="AR13" s="116"/>
      <c r="AS13" s="16">
        <f t="shared" si="9"/>
        <v>111</v>
      </c>
      <c r="AT13" s="90"/>
      <c r="AU13" s="90"/>
      <c r="AV13" s="90">
        <v>102</v>
      </c>
      <c r="AW13" s="116"/>
      <c r="AX13" s="16">
        <f t="shared" si="10"/>
        <v>102</v>
      </c>
      <c r="AY13" s="90"/>
      <c r="AZ13" s="90"/>
      <c r="BA13" s="90">
        <v>99</v>
      </c>
      <c r="BB13" s="116"/>
      <c r="BC13" s="16">
        <f t="shared" si="11"/>
        <v>99</v>
      </c>
      <c r="BD13" s="90"/>
      <c r="BE13" s="90"/>
      <c r="BF13" s="90">
        <v>75</v>
      </c>
      <c r="BG13" s="116"/>
      <c r="BH13" s="16">
        <f t="shared" si="12"/>
        <v>75</v>
      </c>
      <c r="BI13" s="90"/>
      <c r="BJ13" s="90"/>
      <c r="BK13" s="90">
        <v>143</v>
      </c>
      <c r="BL13" s="116"/>
      <c r="BM13" s="16">
        <f t="shared" si="13"/>
        <v>143</v>
      </c>
      <c r="BN13" s="90"/>
      <c r="BO13" s="90"/>
      <c r="BP13" s="90">
        <v>142</v>
      </c>
      <c r="BQ13" s="116"/>
      <c r="BR13" s="16">
        <f t="shared" si="14"/>
        <v>142</v>
      </c>
      <c r="BS13" s="90"/>
      <c r="BT13" s="90">
        <v>20</v>
      </c>
      <c r="BU13" s="90"/>
      <c r="BV13" s="116"/>
      <c r="BW13" s="16">
        <f t="shared" si="15"/>
        <v>0</v>
      </c>
      <c r="BX13" s="90"/>
      <c r="BY13" s="90"/>
      <c r="BZ13" s="90"/>
      <c r="CA13" s="116"/>
      <c r="CB13" s="16">
        <f t="shared" si="16"/>
        <v>0</v>
      </c>
      <c r="CC13" s="90">
        <v>239</v>
      </c>
      <c r="CD13" s="90"/>
      <c r="CE13" s="90"/>
      <c r="CF13" s="116"/>
      <c r="CG13" s="16">
        <f t="shared" si="17"/>
        <v>239</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3">
      <c r="A14" s="90"/>
      <c r="B14" s="90"/>
      <c r="C14" s="116">
        <v>102</v>
      </c>
      <c r="D14" s="116"/>
      <c r="E14" s="16">
        <f t="shared" si="1"/>
        <v>102</v>
      </c>
      <c r="F14" s="90"/>
      <c r="G14" s="90"/>
      <c r="H14" s="90">
        <v>97</v>
      </c>
      <c r="I14" s="116"/>
      <c r="J14" s="16">
        <f t="shared" si="2"/>
        <v>97</v>
      </c>
      <c r="K14" s="90">
        <v>145</v>
      </c>
      <c r="L14" s="90"/>
      <c r="M14" s="90"/>
      <c r="N14" s="116"/>
      <c r="O14" s="16">
        <f t="shared" si="3"/>
        <v>145</v>
      </c>
      <c r="P14" s="254"/>
      <c r="Q14" s="90">
        <v>20</v>
      </c>
      <c r="R14" s="90"/>
      <c r="S14" s="116"/>
      <c r="T14" s="16">
        <f t="shared" si="4"/>
        <v>0</v>
      </c>
      <c r="U14" s="90"/>
      <c r="V14" s="90">
        <v>20</v>
      </c>
      <c r="W14" s="90"/>
      <c r="X14" s="116"/>
      <c r="Y14" s="16">
        <f t="shared" si="5"/>
        <v>0</v>
      </c>
      <c r="Z14" s="90">
        <v>276</v>
      </c>
      <c r="AA14" s="90"/>
      <c r="AB14" s="90"/>
      <c r="AC14" s="116"/>
      <c r="AD14" s="16">
        <f t="shared" si="6"/>
        <v>276</v>
      </c>
      <c r="AE14" s="90"/>
      <c r="AF14" s="90"/>
      <c r="AG14" s="90"/>
      <c r="AH14" s="116">
        <v>50</v>
      </c>
      <c r="AI14" s="16">
        <f t="shared" si="7"/>
        <v>0</v>
      </c>
      <c r="AJ14" s="90">
        <v>116</v>
      </c>
      <c r="AK14" s="90"/>
      <c r="AL14" s="90"/>
      <c r="AM14" s="116"/>
      <c r="AN14" s="16">
        <f t="shared" si="8"/>
        <v>116</v>
      </c>
      <c r="AO14" s="90"/>
      <c r="AP14" s="90">
        <v>21</v>
      </c>
      <c r="AQ14" s="90"/>
      <c r="AR14" s="116"/>
      <c r="AS14" s="16">
        <f t="shared" si="9"/>
        <v>0</v>
      </c>
      <c r="AT14" s="90"/>
      <c r="AU14" s="90"/>
      <c r="AV14" s="90">
        <v>103</v>
      </c>
      <c r="AW14" s="116"/>
      <c r="AX14" s="16">
        <f t="shared" si="10"/>
        <v>103</v>
      </c>
      <c r="AY14" s="90"/>
      <c r="AZ14" s="90"/>
      <c r="BA14" s="90"/>
      <c r="BB14" s="116">
        <v>50</v>
      </c>
      <c r="BC14" s="16">
        <f t="shared" si="11"/>
        <v>0</v>
      </c>
      <c r="BD14" s="90"/>
      <c r="BE14" s="90"/>
      <c r="BF14" s="90">
        <v>105</v>
      </c>
      <c r="BG14" s="116"/>
      <c r="BH14" s="16">
        <f t="shared" si="12"/>
        <v>105</v>
      </c>
      <c r="BI14" s="90"/>
      <c r="BJ14" s="90"/>
      <c r="BK14" s="90">
        <v>10</v>
      </c>
      <c r="BL14" s="116"/>
      <c r="BM14" s="16">
        <f t="shared" si="13"/>
        <v>10</v>
      </c>
      <c r="BN14" s="90"/>
      <c r="BO14" s="90"/>
      <c r="BP14" s="90">
        <v>34</v>
      </c>
      <c r="BQ14" s="116"/>
      <c r="BR14" s="16">
        <f t="shared" si="14"/>
        <v>34</v>
      </c>
      <c r="BS14" s="90">
        <v>525</v>
      </c>
      <c r="BT14" s="90"/>
      <c r="BU14" s="90"/>
      <c r="BV14" s="116"/>
      <c r="BW14" s="16">
        <f t="shared" si="15"/>
        <v>525</v>
      </c>
      <c r="BX14" s="90"/>
      <c r="BY14" s="90"/>
      <c r="BZ14" s="90"/>
      <c r="CA14" s="116"/>
      <c r="CB14" s="16">
        <f t="shared" si="16"/>
        <v>0</v>
      </c>
      <c r="CC14" s="90">
        <v>115</v>
      </c>
      <c r="CD14" s="90"/>
      <c r="CE14" s="90"/>
      <c r="CF14" s="116"/>
      <c r="CG14" s="16">
        <f t="shared" si="17"/>
        <v>115</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3">
      <c r="A15" s="90"/>
      <c r="B15" s="90"/>
      <c r="C15" s="116">
        <v>129</v>
      </c>
      <c r="D15" s="116"/>
      <c r="E15" s="16">
        <f t="shared" si="1"/>
        <v>129</v>
      </c>
      <c r="F15" s="90"/>
      <c r="G15" s="90"/>
      <c r="H15" s="90">
        <v>135</v>
      </c>
      <c r="I15" s="116"/>
      <c r="J15" s="16">
        <f t="shared" si="2"/>
        <v>135</v>
      </c>
      <c r="K15" s="90"/>
      <c r="L15" s="90">
        <v>22</v>
      </c>
      <c r="M15" s="90"/>
      <c r="N15" s="116"/>
      <c r="O15" s="16">
        <f t="shared" si="3"/>
        <v>0</v>
      </c>
      <c r="P15" s="90">
        <v>239</v>
      </c>
      <c r="Q15" s="90"/>
      <c r="R15" s="90"/>
      <c r="S15" s="116"/>
      <c r="T15" s="16">
        <f t="shared" si="4"/>
        <v>239</v>
      </c>
      <c r="U15" s="90">
        <v>270</v>
      </c>
      <c r="V15" s="90"/>
      <c r="W15" s="90"/>
      <c r="X15" s="116"/>
      <c r="Y15" s="16">
        <f t="shared" si="5"/>
        <v>270</v>
      </c>
      <c r="Z15" s="90">
        <v>96</v>
      </c>
      <c r="AA15" s="90"/>
      <c r="AB15" s="90"/>
      <c r="AC15" s="116"/>
      <c r="AD15" s="16">
        <f t="shared" si="6"/>
        <v>96</v>
      </c>
      <c r="AE15" s="90"/>
      <c r="AF15" s="90"/>
      <c r="AG15" s="90">
        <v>311</v>
      </c>
      <c r="AH15" s="116"/>
      <c r="AI15" s="16">
        <f t="shared" si="7"/>
        <v>311</v>
      </c>
      <c r="AJ15" s="90">
        <v>117</v>
      </c>
      <c r="AK15" s="90"/>
      <c r="AL15" s="90"/>
      <c r="AM15" s="116"/>
      <c r="AN15" s="16">
        <f t="shared" si="8"/>
        <v>117</v>
      </c>
      <c r="AO15" s="90">
        <v>125</v>
      </c>
      <c r="AP15" s="90"/>
      <c r="AQ15" s="90"/>
      <c r="AR15" s="116"/>
      <c r="AS15" s="16">
        <f t="shared" si="9"/>
        <v>125</v>
      </c>
      <c r="AT15" s="90"/>
      <c r="AU15" s="90"/>
      <c r="AV15" s="90"/>
      <c r="AW15" s="116">
        <v>50</v>
      </c>
      <c r="AX15" s="16">
        <f t="shared" si="10"/>
        <v>0</v>
      </c>
      <c r="AY15" s="90"/>
      <c r="AZ15" s="90"/>
      <c r="BA15" s="90">
        <v>102</v>
      </c>
      <c r="BB15" s="116"/>
      <c r="BC15" s="16">
        <f t="shared" si="11"/>
        <v>102</v>
      </c>
      <c r="BD15" s="90"/>
      <c r="BE15" s="90"/>
      <c r="BF15" s="90">
        <v>105</v>
      </c>
      <c r="BG15" s="116"/>
      <c r="BH15" s="16">
        <f t="shared" si="12"/>
        <v>105</v>
      </c>
      <c r="BI15" s="90"/>
      <c r="BJ15" s="90"/>
      <c r="BK15" s="90">
        <v>173</v>
      </c>
      <c r="BL15" s="116"/>
      <c r="BM15" s="16">
        <f t="shared" si="13"/>
        <v>173</v>
      </c>
      <c r="BN15" s="90"/>
      <c r="BO15" s="90"/>
      <c r="BP15" s="90">
        <v>127</v>
      </c>
      <c r="BQ15" s="116"/>
      <c r="BR15" s="16">
        <f t="shared" si="14"/>
        <v>127</v>
      </c>
      <c r="BS15" s="90"/>
      <c r="BT15" s="90"/>
      <c r="BU15" s="90"/>
      <c r="BV15" s="116"/>
      <c r="BW15" s="16">
        <f t="shared" si="15"/>
        <v>0</v>
      </c>
      <c r="BX15" s="90"/>
      <c r="BY15" s="90"/>
      <c r="BZ15" s="90"/>
      <c r="CA15" s="116"/>
      <c r="CB15" s="16">
        <f t="shared" si="16"/>
        <v>0</v>
      </c>
      <c r="CC15" s="90"/>
      <c r="CD15" s="90">
        <v>50</v>
      </c>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3">
      <c r="A16" s="90"/>
      <c r="B16" s="90"/>
      <c r="C16" s="116">
        <v>146</v>
      </c>
      <c r="D16" s="116"/>
      <c r="E16" s="16">
        <f t="shared" si="1"/>
        <v>146</v>
      </c>
      <c r="F16" s="90"/>
      <c r="G16" s="90"/>
      <c r="H16" s="90"/>
      <c r="I16" s="116">
        <v>50</v>
      </c>
      <c r="J16" s="16">
        <f t="shared" si="2"/>
        <v>0</v>
      </c>
      <c r="K16" s="90"/>
      <c r="L16" s="90"/>
      <c r="M16" s="90"/>
      <c r="N16" s="116">
        <v>50</v>
      </c>
      <c r="O16" s="16">
        <f t="shared" si="3"/>
        <v>0</v>
      </c>
      <c r="P16" s="90">
        <v>120</v>
      </c>
      <c r="Q16" s="90"/>
      <c r="R16" s="90"/>
      <c r="S16" s="116"/>
      <c r="T16" s="16">
        <f t="shared" si="4"/>
        <v>120</v>
      </c>
      <c r="U16" s="90">
        <v>129</v>
      </c>
      <c r="V16" s="90"/>
      <c r="W16" s="90"/>
      <c r="X16" s="116"/>
      <c r="Y16" s="16">
        <f t="shared" si="5"/>
        <v>129</v>
      </c>
      <c r="Z16" s="90">
        <v>72</v>
      </c>
      <c r="AA16" s="90"/>
      <c r="AB16" s="90"/>
      <c r="AC16" s="116"/>
      <c r="AD16" s="16">
        <f t="shared" si="6"/>
        <v>72</v>
      </c>
      <c r="AE16" s="90"/>
      <c r="AF16" s="90"/>
      <c r="AG16" s="90">
        <v>257</v>
      </c>
      <c r="AH16" s="116"/>
      <c r="AI16" s="16">
        <f t="shared" si="7"/>
        <v>257</v>
      </c>
      <c r="AJ16" s="90"/>
      <c r="AK16" s="90">
        <v>20</v>
      </c>
      <c r="AL16" s="90"/>
      <c r="AM16" s="116"/>
      <c r="AN16" s="16">
        <f t="shared" si="8"/>
        <v>0</v>
      </c>
      <c r="AO16" s="90">
        <v>280</v>
      </c>
      <c r="AP16" s="90"/>
      <c r="AQ16" s="90"/>
      <c r="AR16" s="116"/>
      <c r="AS16" s="16">
        <f t="shared" si="9"/>
        <v>280</v>
      </c>
      <c r="AT16" s="90"/>
      <c r="AU16" s="90"/>
      <c r="AV16" s="90">
        <v>108</v>
      </c>
      <c r="AW16" s="116"/>
      <c r="AX16" s="16">
        <f t="shared" si="10"/>
        <v>108</v>
      </c>
      <c r="AY16" s="90"/>
      <c r="AZ16" s="90"/>
      <c r="BA16" s="90">
        <v>129</v>
      </c>
      <c r="BB16" s="116"/>
      <c r="BC16" s="16">
        <f t="shared" si="11"/>
        <v>129</v>
      </c>
      <c r="BD16" s="90"/>
      <c r="BE16" s="90"/>
      <c r="BF16" s="90"/>
      <c r="BG16" s="116">
        <v>50</v>
      </c>
      <c r="BH16" s="16">
        <f t="shared" si="12"/>
        <v>0</v>
      </c>
      <c r="BI16" s="90"/>
      <c r="BJ16" s="90"/>
      <c r="BK16" s="90">
        <v>165</v>
      </c>
      <c r="BL16" s="116"/>
      <c r="BM16" s="16">
        <f t="shared" si="13"/>
        <v>165</v>
      </c>
      <c r="BN16" s="90"/>
      <c r="BO16" s="90"/>
      <c r="BP16" s="90">
        <v>160</v>
      </c>
      <c r="BQ16" s="116"/>
      <c r="BR16" s="16">
        <f t="shared" si="14"/>
        <v>160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3">
      <c r="A17" s="90"/>
      <c r="B17" s="90"/>
      <c r="C17" s="116">
        <v>189</v>
      </c>
      <c r="D17" s="116"/>
      <c r="E17" s="16">
        <f t="shared" si="1"/>
        <v>189</v>
      </c>
      <c r="F17" s="90"/>
      <c r="G17" s="90"/>
      <c r="H17" s="90"/>
      <c r="I17" s="116"/>
      <c r="J17" s="16">
        <f t="shared" si="2"/>
        <v>0</v>
      </c>
      <c r="K17" s="90"/>
      <c r="L17" s="90"/>
      <c r="M17" s="90"/>
      <c r="N17" s="116"/>
      <c r="O17" s="16">
        <f t="shared" si="3"/>
        <v>0</v>
      </c>
      <c r="P17" s="90">
        <v>134</v>
      </c>
      <c r="Q17" s="90"/>
      <c r="R17" s="90"/>
      <c r="S17" s="116"/>
      <c r="T17" s="16">
        <f t="shared" si="4"/>
        <v>134</v>
      </c>
      <c r="U17" s="90">
        <v>221</v>
      </c>
      <c r="V17" s="90"/>
      <c r="W17" s="90"/>
      <c r="X17" s="116"/>
      <c r="Y17" s="16">
        <f t="shared" si="5"/>
        <v>221</v>
      </c>
      <c r="Z17" s="90"/>
      <c r="AA17" s="90"/>
      <c r="AB17" s="90"/>
      <c r="AC17" s="116"/>
      <c r="AD17" s="16">
        <f t="shared" si="6"/>
        <v>0</v>
      </c>
      <c r="AE17" s="90"/>
      <c r="AF17" s="90"/>
      <c r="AG17" s="90">
        <v>95</v>
      </c>
      <c r="AH17" s="116"/>
      <c r="AI17" s="16">
        <f t="shared" si="7"/>
        <v>95</v>
      </c>
      <c r="AJ17" s="90">
        <v>126</v>
      </c>
      <c r="AK17" s="90"/>
      <c r="AL17" s="90"/>
      <c r="AM17" s="116"/>
      <c r="AN17" s="16">
        <f t="shared" si="8"/>
        <v>126</v>
      </c>
      <c r="AO17" s="90">
        <v>136</v>
      </c>
      <c r="AP17" s="90"/>
      <c r="AQ17" s="90"/>
      <c r="AR17" s="116"/>
      <c r="AS17" s="16">
        <f t="shared" si="9"/>
        <v>136</v>
      </c>
      <c r="AT17" s="90"/>
      <c r="AU17" s="90"/>
      <c r="AV17" s="90">
        <v>109</v>
      </c>
      <c r="AW17" s="116"/>
      <c r="AX17" s="16">
        <f t="shared" si="10"/>
        <v>109</v>
      </c>
      <c r="AY17" s="90"/>
      <c r="AZ17" s="90"/>
      <c r="BA17" s="90">
        <v>76</v>
      </c>
      <c r="BB17" s="116"/>
      <c r="BC17" s="16">
        <f t="shared" si="11"/>
        <v>76</v>
      </c>
      <c r="BD17" s="90"/>
      <c r="BE17" s="90"/>
      <c r="BF17" s="90">
        <v>104</v>
      </c>
      <c r="BG17" s="116"/>
      <c r="BH17" s="16">
        <f t="shared" si="12"/>
        <v>104</v>
      </c>
      <c r="BI17" s="90"/>
      <c r="BJ17" s="90"/>
      <c r="BK17" s="90"/>
      <c r="BL17" s="116">
        <v>50</v>
      </c>
      <c r="BM17" s="16">
        <f t="shared" si="13"/>
        <v>0</v>
      </c>
      <c r="BN17" s="90"/>
      <c r="BO17" s="90"/>
      <c r="BP17" s="90"/>
      <c r="BQ17" s="116">
        <v>50</v>
      </c>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3">
      <c r="A18" s="90"/>
      <c r="B18" s="90"/>
      <c r="C18" s="116"/>
      <c r="D18" s="116">
        <v>50</v>
      </c>
      <c r="E18" s="16">
        <f t="shared" si="1"/>
        <v>0</v>
      </c>
      <c r="F18" s="90"/>
      <c r="G18" s="90"/>
      <c r="H18" s="90"/>
      <c r="I18" s="116"/>
      <c r="J18" s="16">
        <f t="shared" si="2"/>
        <v>0</v>
      </c>
      <c r="K18" s="90"/>
      <c r="L18" s="90"/>
      <c r="M18" s="90"/>
      <c r="N18" s="116"/>
      <c r="O18" s="16">
        <f t="shared" si="3"/>
        <v>0</v>
      </c>
      <c r="P18" s="90"/>
      <c r="Q18" s="90">
        <v>20</v>
      </c>
      <c r="R18" s="90"/>
      <c r="S18" s="116"/>
      <c r="T18" s="16">
        <f t="shared" si="4"/>
        <v>0</v>
      </c>
      <c r="U18" s="90"/>
      <c r="V18" s="90">
        <v>20</v>
      </c>
      <c r="W18" s="90"/>
      <c r="X18" s="116"/>
      <c r="Y18" s="16">
        <f t="shared" si="5"/>
        <v>0</v>
      </c>
      <c r="Z18" s="90"/>
      <c r="AA18" s="90"/>
      <c r="AB18" s="90"/>
      <c r="AC18" s="116"/>
      <c r="AD18" s="16">
        <f t="shared" si="6"/>
        <v>0</v>
      </c>
      <c r="AE18" s="90"/>
      <c r="AF18" s="90"/>
      <c r="AG18" s="90"/>
      <c r="AH18" s="116"/>
      <c r="AI18" s="16">
        <f t="shared" si="7"/>
        <v>0</v>
      </c>
      <c r="AJ18" s="90">
        <v>121</v>
      </c>
      <c r="AK18" s="90"/>
      <c r="AL18" s="90"/>
      <c r="AM18" s="116"/>
      <c r="AN18" s="16">
        <f t="shared" si="8"/>
        <v>121</v>
      </c>
      <c r="AO18" s="90"/>
      <c r="AP18" s="90">
        <v>20</v>
      </c>
      <c r="AQ18" s="90"/>
      <c r="AR18" s="116"/>
      <c r="AS18" s="16">
        <f t="shared" si="9"/>
        <v>0</v>
      </c>
      <c r="AT18" s="90"/>
      <c r="AU18" s="90"/>
      <c r="AV18" s="90">
        <v>101</v>
      </c>
      <c r="AW18" s="116"/>
      <c r="AX18" s="16">
        <f t="shared" si="10"/>
        <v>101</v>
      </c>
      <c r="AY18" s="90"/>
      <c r="AZ18" s="90"/>
      <c r="BA18" s="90">
        <v>91</v>
      </c>
      <c r="BB18" s="116"/>
      <c r="BC18" s="16">
        <f t="shared" si="11"/>
        <v>91</v>
      </c>
      <c r="BD18" s="90"/>
      <c r="BE18" s="90"/>
      <c r="BF18" s="90">
        <v>102</v>
      </c>
      <c r="BG18" s="116"/>
      <c r="BH18" s="16">
        <f t="shared" si="12"/>
        <v>102</v>
      </c>
      <c r="BI18" s="90"/>
      <c r="BJ18" s="90"/>
      <c r="BK18" s="90">
        <v>127</v>
      </c>
      <c r="BL18" s="116"/>
      <c r="BM18" s="16">
        <f t="shared" si="13"/>
        <v>127</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3">
      <c r="A19" s="90"/>
      <c r="B19" s="90"/>
      <c r="C19" s="90"/>
      <c r="D19" s="116"/>
      <c r="E19" s="16">
        <f t="shared" si="1"/>
        <v>0</v>
      </c>
      <c r="F19" s="90"/>
      <c r="G19" s="90"/>
      <c r="H19" s="90"/>
      <c r="I19" s="116"/>
      <c r="J19" s="16">
        <f t="shared" si="2"/>
        <v>0</v>
      </c>
      <c r="K19" s="90"/>
      <c r="L19" s="90"/>
      <c r="M19" s="90"/>
      <c r="N19" s="116"/>
      <c r="O19" s="16">
        <f t="shared" si="3"/>
        <v>0</v>
      </c>
      <c r="P19" s="90">
        <v>266</v>
      </c>
      <c r="Q19" s="90"/>
      <c r="R19" s="90"/>
      <c r="S19" s="116"/>
      <c r="T19" s="16">
        <f t="shared" si="4"/>
        <v>266</v>
      </c>
      <c r="U19" s="90">
        <v>256</v>
      </c>
      <c r="V19" s="90"/>
      <c r="W19" s="90"/>
      <c r="X19" s="116"/>
      <c r="Y19" s="16">
        <f t="shared" si="5"/>
        <v>256</v>
      </c>
      <c r="Z19" s="90"/>
      <c r="AA19" s="90"/>
      <c r="AB19" s="90"/>
      <c r="AC19" s="116"/>
      <c r="AD19" s="16">
        <f t="shared" si="6"/>
        <v>0</v>
      </c>
      <c r="AE19" s="90"/>
      <c r="AF19" s="90"/>
      <c r="AG19" s="90"/>
      <c r="AH19" s="116"/>
      <c r="AI19" s="16">
        <f t="shared" si="7"/>
        <v>0</v>
      </c>
      <c r="AJ19" s="90">
        <v>117</v>
      </c>
      <c r="AK19" s="90"/>
      <c r="AL19" s="90"/>
      <c r="AM19" s="116"/>
      <c r="AN19" s="16">
        <f t="shared" si="8"/>
        <v>117</v>
      </c>
      <c r="AO19" s="90">
        <v>148</v>
      </c>
      <c r="AP19" s="90"/>
      <c r="AQ19" s="90"/>
      <c r="AR19" s="116"/>
      <c r="AS19" s="16">
        <f t="shared" si="9"/>
        <v>148</v>
      </c>
      <c r="AT19" s="90"/>
      <c r="AU19" s="90"/>
      <c r="AV19" s="90">
        <v>103</v>
      </c>
      <c r="AW19" s="116"/>
      <c r="AX19" s="16">
        <f t="shared" si="10"/>
        <v>103</v>
      </c>
      <c r="AY19" s="90"/>
      <c r="AZ19" s="90"/>
      <c r="BA19" s="90">
        <v>118</v>
      </c>
      <c r="BB19" s="116"/>
      <c r="BC19" s="16">
        <f t="shared" si="11"/>
        <v>118</v>
      </c>
      <c r="BD19" s="90"/>
      <c r="BE19" s="90"/>
      <c r="BF19" s="90">
        <v>106</v>
      </c>
      <c r="BG19" s="116"/>
      <c r="BH19" s="16">
        <f t="shared" si="12"/>
        <v>106</v>
      </c>
      <c r="BI19" s="90"/>
      <c r="BJ19" s="90"/>
      <c r="BK19" s="90">
        <v>108</v>
      </c>
      <c r="BL19" s="116"/>
      <c r="BM19" s="16">
        <f t="shared" si="13"/>
        <v>108</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3">
      <c r="A20" s="90"/>
      <c r="B20" s="90"/>
      <c r="C20" s="90"/>
      <c r="D20" s="116"/>
      <c r="E20" s="16">
        <f t="shared" si="1"/>
        <v>0</v>
      </c>
      <c r="F20" s="90"/>
      <c r="G20" s="90"/>
      <c r="H20" s="90"/>
      <c r="I20" s="116"/>
      <c r="J20" s="16">
        <f t="shared" si="2"/>
        <v>0</v>
      </c>
      <c r="K20" s="90"/>
      <c r="L20" s="90"/>
      <c r="M20" s="90"/>
      <c r="N20" s="116"/>
      <c r="O20" s="16">
        <f t="shared" si="3"/>
        <v>0</v>
      </c>
      <c r="P20" s="90">
        <v>131</v>
      </c>
      <c r="Q20" s="90"/>
      <c r="R20" s="90"/>
      <c r="S20" s="116"/>
      <c r="T20" s="16">
        <f t="shared" si="4"/>
        <v>131</v>
      </c>
      <c r="U20" s="90">
        <v>228</v>
      </c>
      <c r="V20" s="90"/>
      <c r="W20" s="90"/>
      <c r="X20" s="116"/>
      <c r="Y20" s="16">
        <f t="shared" si="5"/>
        <v>228</v>
      </c>
      <c r="Z20" s="90"/>
      <c r="AA20" s="90"/>
      <c r="AB20" s="90"/>
      <c r="AC20" s="116"/>
      <c r="AD20" s="16">
        <f t="shared" si="6"/>
        <v>0</v>
      </c>
      <c r="AE20" s="90"/>
      <c r="AF20" s="90"/>
      <c r="AG20" s="90"/>
      <c r="AH20" s="116"/>
      <c r="AI20" s="16">
        <f t="shared" si="7"/>
        <v>0</v>
      </c>
      <c r="AJ20" s="90">
        <v>158</v>
      </c>
      <c r="AK20" s="90"/>
      <c r="AL20" s="90"/>
      <c r="AM20" s="116"/>
      <c r="AN20" s="16">
        <f t="shared" si="8"/>
        <v>158</v>
      </c>
      <c r="AO20" s="90">
        <v>275</v>
      </c>
      <c r="AP20" s="90"/>
      <c r="AQ20" s="90"/>
      <c r="AR20" s="116"/>
      <c r="AS20" s="16">
        <f t="shared" si="9"/>
        <v>275</v>
      </c>
      <c r="AT20" s="90"/>
      <c r="AU20" s="90"/>
      <c r="AV20" s="90">
        <v>104</v>
      </c>
      <c r="AW20" s="116"/>
      <c r="AX20" s="16">
        <f>IF(AT20="",AV20,AT20)</f>
        <v>104</v>
      </c>
      <c r="AY20" s="90"/>
      <c r="AZ20" s="90"/>
      <c r="BA20" s="90"/>
      <c r="BB20" s="116">
        <v>50</v>
      </c>
      <c r="BC20" s="16">
        <f t="shared" si="11"/>
        <v>0</v>
      </c>
      <c r="BD20" s="90"/>
      <c r="BE20" s="90"/>
      <c r="BF20" s="90">
        <v>105</v>
      </c>
      <c r="BG20" s="116"/>
      <c r="BH20" s="16">
        <f t="shared" si="12"/>
        <v>105</v>
      </c>
      <c r="BI20" s="90"/>
      <c r="BJ20" s="90"/>
      <c r="BK20" s="90">
        <v>132</v>
      </c>
      <c r="BL20" s="116"/>
      <c r="BM20" s="16">
        <f t="shared" si="13"/>
        <v>132</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3">
      <c r="A21" s="90"/>
      <c r="B21" s="90"/>
      <c r="C21" s="90"/>
      <c r="D21" s="116"/>
      <c r="E21" s="16">
        <f t="shared" si="1"/>
        <v>0</v>
      </c>
      <c r="F21" s="90"/>
      <c r="G21" s="90"/>
      <c r="H21" s="90"/>
      <c r="I21" s="116"/>
      <c r="J21" s="16">
        <f t="shared" si="2"/>
        <v>0</v>
      </c>
      <c r="K21" s="90"/>
      <c r="L21" s="90"/>
      <c r="M21" s="90"/>
      <c r="N21" s="116"/>
      <c r="O21" s="16">
        <f t="shared" si="3"/>
        <v>0</v>
      </c>
      <c r="P21" s="90">
        <v>295</v>
      </c>
      <c r="Q21" s="90"/>
      <c r="R21" s="90"/>
      <c r="S21" s="116"/>
      <c r="T21" s="16">
        <f t="shared" si="4"/>
        <v>295</v>
      </c>
      <c r="U21" s="90">
        <v>98</v>
      </c>
      <c r="V21" s="90"/>
      <c r="W21" s="90"/>
      <c r="X21" s="116"/>
      <c r="Y21" s="16">
        <f t="shared" si="5"/>
        <v>98</v>
      </c>
      <c r="Z21" s="90"/>
      <c r="AA21" s="90"/>
      <c r="AB21" s="90"/>
      <c r="AC21" s="116"/>
      <c r="AD21" s="16">
        <f t="shared" si="6"/>
        <v>0</v>
      </c>
      <c r="AE21" s="90"/>
      <c r="AF21" s="90"/>
      <c r="AG21" s="90"/>
      <c r="AH21" s="116"/>
      <c r="AI21" s="16">
        <f t="shared" si="7"/>
        <v>0</v>
      </c>
      <c r="AJ21" s="90"/>
      <c r="AK21" s="90"/>
      <c r="AL21" s="90"/>
      <c r="AM21" s="116"/>
      <c r="AN21" s="16">
        <f t="shared" si="8"/>
        <v>0</v>
      </c>
      <c r="AO21" s="90">
        <v>165</v>
      </c>
      <c r="AP21" s="90"/>
      <c r="AQ21" s="90"/>
      <c r="AR21" s="116"/>
      <c r="AS21" s="16">
        <f t="shared" si="9"/>
        <v>165</v>
      </c>
      <c r="AT21" s="90"/>
      <c r="AU21" s="90"/>
      <c r="AV21" s="90">
        <v>146</v>
      </c>
      <c r="AW21" s="116"/>
      <c r="AX21" s="16">
        <f>IF(AT21="",AV21,AT21)</f>
        <v>146</v>
      </c>
      <c r="AY21" s="90"/>
      <c r="AZ21" s="90"/>
      <c r="BA21" s="90">
        <v>102</v>
      </c>
      <c r="BB21" s="116"/>
      <c r="BC21" s="16">
        <f t="shared" si="11"/>
        <v>102</v>
      </c>
      <c r="BD21" s="90"/>
      <c r="BE21" s="90"/>
      <c r="BF21" s="90">
        <v>210</v>
      </c>
      <c r="BG21" s="116"/>
      <c r="BH21" s="16">
        <f t="shared" si="12"/>
        <v>210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3">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v>50</v>
      </c>
      <c r="AX22" s="16">
        <f t="shared" si="10"/>
        <v>0</v>
      </c>
      <c r="AY22" s="90"/>
      <c r="AZ22" s="90"/>
      <c r="BA22" s="90">
        <v>103</v>
      </c>
      <c r="BB22" s="116"/>
      <c r="BC22" s="16">
        <f t="shared" si="11"/>
        <v>103</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254"/>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3">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v>56</v>
      </c>
      <c r="AW23" s="116"/>
      <c r="AX23" s="16">
        <f t="shared" si="10"/>
        <v>56</v>
      </c>
      <c r="AY23" s="90"/>
      <c r="AZ23" s="90"/>
      <c r="BA23" s="90">
        <v>105</v>
      </c>
      <c r="BB23" s="116"/>
      <c r="BC23" s="16">
        <f t="shared" si="11"/>
        <v>105</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254"/>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3">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v>32</v>
      </c>
      <c r="AW24" s="116"/>
      <c r="AX24" s="16">
        <f t="shared" si="10"/>
        <v>32</v>
      </c>
      <c r="AY24" s="90"/>
      <c r="AZ24" s="90"/>
      <c r="BA24" s="90">
        <v>80</v>
      </c>
      <c r="BB24" s="116"/>
      <c r="BC24" s="16">
        <f t="shared" si="11"/>
        <v>80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3">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v>78</v>
      </c>
      <c r="AW25" s="116"/>
      <c r="AX25" s="16">
        <f t="shared" si="10"/>
        <v>78</v>
      </c>
      <c r="AY25" s="90"/>
      <c r="AZ25" s="90"/>
      <c r="BA25" s="90">
        <v>79</v>
      </c>
      <c r="BB25" s="116"/>
      <c r="BC25" s="16">
        <f t="shared" si="11"/>
        <v>79</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3">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v>142</v>
      </c>
      <c r="AW26" s="116"/>
      <c r="AX26" s="16">
        <f t="shared" si="10"/>
        <v>142</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3">
      <c r="A27" s="90"/>
      <c r="B27" s="90"/>
      <c r="C27" s="90"/>
      <c r="D27" s="116"/>
      <c r="E27" s="16">
        <f t="shared" si="1"/>
        <v>0</v>
      </c>
      <c r="F27" s="90"/>
      <c r="G27" s="90"/>
      <c r="H27" s="90"/>
      <c r="I27" s="116" t="s">
        <v>187</v>
      </c>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v>100</v>
      </c>
      <c r="AW27" s="116"/>
      <c r="AX27" s="16">
        <f t="shared" si="10"/>
        <v>100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3">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v>115</v>
      </c>
      <c r="AW28" s="116"/>
      <c r="AX28" s="16">
        <f t="shared" si="10"/>
        <v>115</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3">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3">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3">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3">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3">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3">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3">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3">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3">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3">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3">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3">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3">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3">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3">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3">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3">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3">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3">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3">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3">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3">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3">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3">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3">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3">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3">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3">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3">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3">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3">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3">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3">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3">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3">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3">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3">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3">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3">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3">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3">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3">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3">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3">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3">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3">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3">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3">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3">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3">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3">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3">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3">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3">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3">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3">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3">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3">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3">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3">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3">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3">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3">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3">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3">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3">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3">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3">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3">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3">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3">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3">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3">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3">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3">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3">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3">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3">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3">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3">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3">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3">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3">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3">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3">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3">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3">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3">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3">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3">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3">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3">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3">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3">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3">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3">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3">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3">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3">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3">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3">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3">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3">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3">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3">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3">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3">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3">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3">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3">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3">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3">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3">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3">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3">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3">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3">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3">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3">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3">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3">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3">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3">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3">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3">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3">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3">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3">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3">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3">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3">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3">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3">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3">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3">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3">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3">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3">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3">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3">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3">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3">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3">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3">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3">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3">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3">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3">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3">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3">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3">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3">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3">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3">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3">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3">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3">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3">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3">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3">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3">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3">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3">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3">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3">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3">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3">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3">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3">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3">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3">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3">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3">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3">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3">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3">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3">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3">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3">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3">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1" priority="205">
      <formula>IF(A25&gt;0,A25&lt;20)</formula>
    </cfRule>
  </conditionalFormatting>
  <conditionalFormatting sqref="F20:F208">
    <cfRule type="expression" dxfId="1580" priority="86">
      <formula>IF(F20&gt;0,F20&lt;20)</formula>
    </cfRule>
  </conditionalFormatting>
  <conditionalFormatting sqref="K22:K208">
    <cfRule type="expression" dxfId="1579" priority="85">
      <formula>IF(K22&gt;0,K22&lt;20)</formula>
    </cfRule>
  </conditionalFormatting>
  <conditionalFormatting sqref="P20:P208">
    <cfRule type="expression" dxfId="1578" priority="84">
      <formula>IF(P20&gt;0,P20&lt;20)</formula>
    </cfRule>
  </conditionalFormatting>
  <conditionalFormatting sqref="U22:U208">
    <cfRule type="expression" dxfId="1577" priority="83">
      <formula>IF(U22&gt;0,U22&lt;20)</formula>
    </cfRule>
  </conditionalFormatting>
  <conditionalFormatting sqref="Z17:Z208">
    <cfRule type="expression" dxfId="1576" priority="82">
      <formula>IF(Z17&gt;0,Z17&lt;20)</formula>
    </cfRule>
  </conditionalFormatting>
  <conditionalFormatting sqref="AE15:AE208">
    <cfRule type="expression" dxfId="1575" priority="81">
      <formula>IF(AE15&gt;0,AE15&lt;20)</formula>
    </cfRule>
  </conditionalFormatting>
  <conditionalFormatting sqref="AJ25:AJ208">
    <cfRule type="expression" dxfId="1574" priority="80">
      <formula>IF(AJ25&gt;0,AJ25&lt;20)</formula>
    </cfRule>
  </conditionalFormatting>
  <conditionalFormatting sqref="AO16:AO208">
    <cfRule type="expression" dxfId="1573" priority="79">
      <formula>IF(AO16&gt;0,AO16&lt;20)</formula>
    </cfRule>
  </conditionalFormatting>
  <conditionalFormatting sqref="AT14:AT208">
    <cfRule type="expression" dxfId="1572" priority="78">
      <formula>IF(AT14&gt;0,AT14&lt;20)</formula>
    </cfRule>
  </conditionalFormatting>
  <conditionalFormatting sqref="AY9:AY208">
    <cfRule type="expression" dxfId="1571" priority="77">
      <formula>IF(AY9&gt;0,AY9&lt;20)</formula>
    </cfRule>
  </conditionalFormatting>
  <conditionalFormatting sqref="BD9:BD208">
    <cfRule type="expression" dxfId="1570" priority="76">
      <formula>IF(BD9&gt;0,BD9&lt;20)</formula>
    </cfRule>
  </conditionalFormatting>
  <conditionalFormatting sqref="BI9:BI208">
    <cfRule type="expression" dxfId="1569" priority="75">
      <formula>IF(BI9&gt;0,BI9&lt;20)</formula>
    </cfRule>
  </conditionalFormatting>
  <conditionalFormatting sqref="BN9:BN10 BN14:BN208">
    <cfRule type="expression" dxfId="1568" priority="74">
      <formula>IF(BN9&gt;0,BN9&lt;20)</formula>
    </cfRule>
  </conditionalFormatting>
  <conditionalFormatting sqref="BS9:BS208">
    <cfRule type="expression" dxfId="1567" priority="73">
      <formula>IF(BS9&gt;0,BS9&lt;20)</formula>
    </cfRule>
  </conditionalFormatting>
  <conditionalFormatting sqref="BX9:BX208">
    <cfRule type="expression" dxfId="1566" priority="72">
      <formula>IF(BX9&gt;0,BX9&lt;20)</formula>
    </cfRule>
  </conditionalFormatting>
  <conditionalFormatting sqref="CC25:CC208 CC14:CC19">
    <cfRule type="expression" dxfId="1565" priority="71">
      <formula>IF(CC14&gt;0,CC14&lt;20)</formula>
    </cfRule>
  </conditionalFormatting>
  <conditionalFormatting sqref="CH9:CH208">
    <cfRule type="expression" dxfId="1564" priority="70">
      <formula>IF(CH9&gt;0,CH9&lt;20)</formula>
    </cfRule>
  </conditionalFormatting>
  <conditionalFormatting sqref="CM9:CM208">
    <cfRule type="expression" dxfId="1563" priority="69">
      <formula>IF(CM9&gt;0,CM9&lt;20)</formula>
    </cfRule>
  </conditionalFormatting>
  <conditionalFormatting sqref="CR9:CR208">
    <cfRule type="expression" dxfId="1562" priority="68">
      <formula>IF(CR9&gt;0,CR9&lt;20)</formula>
    </cfRule>
  </conditionalFormatting>
  <conditionalFormatting sqref="CW9:CW208">
    <cfRule type="expression" dxfId="1561" priority="67">
      <formula>IF(CW9&gt;0,CW9&lt;20)</formula>
    </cfRule>
  </conditionalFormatting>
  <conditionalFormatting sqref="DB9:DB208">
    <cfRule type="expression" dxfId="1560" priority="66">
      <formula>IF(DB9&gt;0,DB9&lt;20)</formula>
    </cfRule>
  </conditionalFormatting>
  <conditionalFormatting sqref="DG9:DG208">
    <cfRule type="expression" dxfId="1559" priority="65">
      <formula>IF(DG9&gt;0,DG9&lt;20)</formula>
    </cfRule>
  </conditionalFormatting>
  <conditionalFormatting sqref="DL9:DL208">
    <cfRule type="expression" dxfId="1558" priority="64">
      <formula>IF(DL9&gt;0,DL9&lt;20)</formula>
    </cfRule>
  </conditionalFormatting>
  <conditionalFormatting sqref="DQ9:DQ208">
    <cfRule type="expression" dxfId="1557" priority="63">
      <formula>IF(DQ9&gt;0,DQ9&lt;20)</formula>
    </cfRule>
  </conditionalFormatting>
  <conditionalFormatting sqref="DV9:DV208">
    <cfRule type="expression" dxfId="1556" priority="62">
      <formula>IF(DV9&gt;0,DV9&lt;20)</formula>
    </cfRule>
  </conditionalFormatting>
  <conditionalFormatting sqref="EA9:EA208">
    <cfRule type="expression" dxfId="1555" priority="61">
      <formula>IF(EA9&gt;0,EA9&lt;20)</formula>
    </cfRule>
  </conditionalFormatting>
  <conditionalFormatting sqref="EF9:EF208">
    <cfRule type="expression" dxfId="1554" priority="60">
      <formula>IF(EF9&gt;0,EF9&lt;20)</formula>
    </cfRule>
  </conditionalFormatting>
  <conditionalFormatting sqref="EK9:EK208">
    <cfRule type="expression" dxfId="1553" priority="59">
      <formula>IF(EK9&gt;0,EK9&lt;20)</formula>
    </cfRule>
  </conditionalFormatting>
  <conditionalFormatting sqref="EP9:EP208">
    <cfRule type="expression" dxfId="1552" priority="58">
      <formula>IF(EP9&gt;0,EP9&lt;20)</formula>
    </cfRule>
  </conditionalFormatting>
  <conditionalFormatting sqref="EU9:EU208">
    <cfRule type="expression" dxfId="1551" priority="57">
      <formula>IF(EU9&gt;0,EU9&lt;20)</formula>
    </cfRule>
  </conditionalFormatting>
  <conditionalFormatting sqref="EZ9:EZ208">
    <cfRule type="expression" dxfId="1550" priority="56">
      <formula>IF(EZ9&gt;0,EZ9&lt;20)</formula>
    </cfRule>
  </conditionalFormatting>
  <conditionalFormatting sqref="FE9:FE208">
    <cfRule type="expression" dxfId="1549" priority="55">
      <formula>IF(FE9&gt;0,FE9&lt;20)</formula>
    </cfRule>
  </conditionalFormatting>
  <conditionalFormatting sqref="IL9:IL208">
    <cfRule type="expression" dxfId="1548" priority="38">
      <formula>IF(IL9&gt;0,IL9&lt;20)</formula>
    </cfRule>
  </conditionalFormatting>
  <conditionalFormatting sqref="FJ9:FJ208">
    <cfRule type="expression" dxfId="1547" priority="54">
      <formula>IF(FJ9&gt;0,FJ9&lt;20)</formula>
    </cfRule>
  </conditionalFormatting>
  <conditionalFormatting sqref="FO9:FO208">
    <cfRule type="expression" dxfId="1546" priority="53">
      <formula>IF(FO9&gt;0,FO9&lt;20)</formula>
    </cfRule>
  </conditionalFormatting>
  <conditionalFormatting sqref="FT9:FT208">
    <cfRule type="expression" dxfId="1545" priority="52">
      <formula>IF(FT9&gt;0,FT9&lt;20)</formula>
    </cfRule>
  </conditionalFormatting>
  <conditionalFormatting sqref="FY9:FY208">
    <cfRule type="expression" dxfId="1544" priority="51">
      <formula>IF(FY9&gt;0,FY9&lt;20)</formula>
    </cfRule>
  </conditionalFormatting>
  <conditionalFormatting sqref="GD9:GD208">
    <cfRule type="expression" dxfId="1543" priority="50">
      <formula>IF(GD9&gt;0,GD9&lt;20)</formula>
    </cfRule>
  </conditionalFormatting>
  <conditionalFormatting sqref="GI9:GI208">
    <cfRule type="expression" dxfId="1542" priority="49">
      <formula>IF(GI9&gt;0,GI9&lt;20)</formula>
    </cfRule>
  </conditionalFormatting>
  <conditionalFormatting sqref="GN9:GN208">
    <cfRule type="expression" dxfId="1541" priority="48">
      <formula>IF(GN9&gt;0,GN9&lt;20)</formula>
    </cfRule>
  </conditionalFormatting>
  <conditionalFormatting sqref="GS9:GS208">
    <cfRule type="expression" dxfId="1540" priority="47">
      <formula>IF(GS9&gt;0,GS9&lt;20)</formula>
    </cfRule>
  </conditionalFormatting>
  <conditionalFormatting sqref="GX9:GX208">
    <cfRule type="expression" dxfId="1539" priority="46">
      <formula>IF(GX9&gt;0,GX9&lt;20)</formula>
    </cfRule>
  </conditionalFormatting>
  <conditionalFormatting sqref="HC9:HC208">
    <cfRule type="expression" dxfId="1538" priority="45">
      <formula>IF(HC9&gt;0,HC9&lt;20)</formula>
    </cfRule>
  </conditionalFormatting>
  <conditionalFormatting sqref="HH9:HH208">
    <cfRule type="expression" dxfId="1537" priority="44">
      <formula>IF(HH9&gt;0,HH9&lt;20)</formula>
    </cfRule>
  </conditionalFormatting>
  <conditionalFormatting sqref="HM9:HM208">
    <cfRule type="expression" dxfId="1536" priority="43">
      <formula>IF(HM9&gt;0,HM9&lt;20)</formula>
    </cfRule>
  </conditionalFormatting>
  <conditionalFormatting sqref="HR9:HR208">
    <cfRule type="expression" dxfId="1535" priority="42">
      <formula>IF(HR9&gt;0,HR9&lt;20)</formula>
    </cfRule>
  </conditionalFormatting>
  <conditionalFormatting sqref="HW9:HW208">
    <cfRule type="expression" dxfId="1534" priority="41">
      <formula>IF(HW9&gt;0,HW9&lt;20)</formula>
    </cfRule>
  </conditionalFormatting>
  <conditionalFormatting sqref="IB9:IB208">
    <cfRule type="expression" dxfId="1533" priority="40">
      <formula>IF(IB9&gt;0,IB9&lt;20)</formula>
    </cfRule>
  </conditionalFormatting>
  <conditionalFormatting sqref="IG9:IG208">
    <cfRule type="expression" dxfId="1532" priority="39">
      <formula>IF(IG9&gt;0,IG9&lt;20)</formula>
    </cfRule>
  </conditionalFormatting>
  <conditionalFormatting sqref="A19:A24">
    <cfRule type="expression" dxfId="1531" priority="36">
      <formula>IF(A19&gt;0,A19&lt;20)</formula>
    </cfRule>
  </conditionalFormatting>
  <conditionalFormatting sqref="F12:F19">
    <cfRule type="expression" dxfId="1530" priority="35">
      <formula>IF(F12&gt;0,F12&lt;20)</formula>
    </cfRule>
  </conditionalFormatting>
  <conditionalFormatting sqref="K14:K21">
    <cfRule type="expression" dxfId="1529" priority="34">
      <formula>IF(K14&gt;0,K14&lt;20)</formula>
    </cfRule>
  </conditionalFormatting>
  <conditionalFormatting sqref="U17:U21">
    <cfRule type="expression" dxfId="1528" priority="31">
      <formula>IF(U17&gt;0,U17&lt;20)</formula>
    </cfRule>
  </conditionalFormatting>
  <conditionalFormatting sqref="AJ11:AJ24">
    <cfRule type="expression" dxfId="1527" priority="28">
      <formula>IF(AJ11&gt;0,AJ11&lt;20)</formula>
    </cfRule>
  </conditionalFormatting>
  <conditionalFormatting sqref="F9:F11">
    <cfRule type="expression" dxfId="1526" priority="27">
      <formula>IF(F9&gt;0,F9&lt;20)</formula>
    </cfRule>
  </conditionalFormatting>
  <conditionalFormatting sqref="K13:K14">
    <cfRule type="expression" dxfId="1525" priority="26">
      <formula>IF(K13&gt;0,K13&lt;20)</formula>
    </cfRule>
  </conditionalFormatting>
  <conditionalFormatting sqref="K9:K14">
    <cfRule type="expression" dxfId="1524" priority="25">
      <formula>IF(K9&gt;0,K9&lt;20)</formula>
    </cfRule>
  </conditionalFormatting>
  <conditionalFormatting sqref="Z9:Z17">
    <cfRule type="expression" dxfId="1523" priority="22">
      <formula>IF(Z9&gt;0,Z9&lt;20)</formula>
    </cfRule>
  </conditionalFormatting>
  <conditionalFormatting sqref="AE13:AE14">
    <cfRule type="expression" dxfId="1522" priority="21">
      <formula>IF(AE13&gt;0,AE13&lt;20)</formula>
    </cfRule>
  </conditionalFormatting>
  <conditionalFormatting sqref="AE9:AE12">
    <cfRule type="expression" dxfId="1521" priority="20">
      <formula>IF(AE9&gt;0,AE9&lt;20)</formula>
    </cfRule>
  </conditionalFormatting>
  <conditionalFormatting sqref="AJ9:AJ13">
    <cfRule type="expression" dxfId="1520" priority="19">
      <formula>IF(AJ9&gt;0,AJ9&lt;20)</formula>
    </cfRule>
  </conditionalFormatting>
  <conditionalFormatting sqref="AO9:AO19">
    <cfRule type="expression" dxfId="1519" priority="18">
      <formula>IF(AO9&gt;0,AO9&lt;20)</formula>
    </cfRule>
  </conditionalFormatting>
  <conditionalFormatting sqref="AT9:AT13">
    <cfRule type="expression" dxfId="1518" priority="17">
      <formula>IF(AT9&gt;0,AT9&lt;20)</formula>
    </cfRule>
  </conditionalFormatting>
  <conditionalFormatting sqref="A9">
    <cfRule type="expression" dxfId="1517" priority="16">
      <formula>AND(A$9&lt;&gt;"",A$9&lt;20)</formula>
    </cfRule>
  </conditionalFormatting>
  <conditionalFormatting sqref="A10:A18">
    <cfRule type="expression" dxfId="1516" priority="15">
      <formula>AND(A10&lt;&gt;"",A10&lt;20)</formula>
    </cfRule>
  </conditionalFormatting>
  <conditionalFormatting sqref="P11:P22">
    <cfRule type="expression" dxfId="1515" priority="14">
      <formula>IF(P11&gt;0,P11&lt;20)</formula>
    </cfRule>
  </conditionalFormatting>
  <conditionalFormatting sqref="P9:P16">
    <cfRule type="expression" dxfId="1514" priority="13">
      <formula>IF(P9&gt;0,P9&lt;20)</formula>
    </cfRule>
  </conditionalFormatting>
  <conditionalFormatting sqref="A11">
    <cfRule type="expression" dxfId="1513" priority="12">
      <formula>AND(A$9&lt;&gt;"",A$9&lt;20)</formula>
    </cfRule>
  </conditionalFormatting>
  <conditionalFormatting sqref="K15">
    <cfRule type="expression" dxfId="1512" priority="10">
      <formula>IF(K15&gt;0,K15&lt;20)</formula>
    </cfRule>
  </conditionalFormatting>
  <conditionalFormatting sqref="K15">
    <cfRule type="expression" dxfId="1511" priority="9">
      <formula>IF(K15&gt;0,K15&lt;20)</formula>
    </cfRule>
  </conditionalFormatting>
  <conditionalFormatting sqref="U9:U17">
    <cfRule type="expression" dxfId="1510" priority="8">
      <formula>IF(U9&gt;0,U9&lt;20)</formula>
    </cfRule>
  </conditionalFormatting>
  <conditionalFormatting sqref="BN11:BN13">
    <cfRule type="expression" dxfId="1509" priority="7">
      <formula>IF(BN11&gt;0,BN11&lt;20)</formula>
    </cfRule>
  </conditionalFormatting>
  <conditionalFormatting sqref="BN11">
    <cfRule type="expression" dxfId="1508" priority="6">
      <formula>IF(BN11&gt;0,BN11&lt;20)</formula>
    </cfRule>
  </conditionalFormatting>
  <conditionalFormatting sqref="BN11">
    <cfRule type="expression" dxfId="1507" priority="5">
      <formula>IF(BN11&gt;0,BN11&lt;20)</formula>
    </cfRule>
  </conditionalFormatting>
  <conditionalFormatting sqref="CC22:CC24">
    <cfRule type="expression" dxfId="1506" priority="4">
      <formula>IF(CC22&gt;0,CC22&lt;20)</formula>
    </cfRule>
  </conditionalFormatting>
  <conditionalFormatting sqref="CC20:CC24">
    <cfRule type="expression" dxfId="1505" priority="3">
      <formula>IF(CC20&gt;0,CC20&lt;20)</formula>
    </cfRule>
  </conditionalFormatting>
  <conditionalFormatting sqref="CC11:CC13">
    <cfRule type="expression" dxfId="1504" priority="2">
      <formula>IF(CC11&gt;0,CC11&lt;20)</formula>
    </cfRule>
  </conditionalFormatting>
  <conditionalFormatting sqref="CC9:CC13">
    <cfRule type="expression" dxfId="1503" priority="1">
      <formula>IF(CC9&gt;0,CC9&lt;20)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A2052"/>
  <sheetViews>
    <sheetView tabSelected="1" topLeftCell="D202" zoomScale="115" zoomScaleNormal="115" workbookViewId="0">
      <selection activeCell="M225" sqref="M225:U225"/>
    </sheetView>
  </sheetViews>
  <sheetFormatPr defaultColWidth="9.109375" defaultRowHeight="14.4" x14ac:dyDescent="0.3"/>
  <cols>
    <col min="1" max="1" width="3.44140625" style="27" customWidth="1"/>
    <col min="2" max="2" width="27" style="27" customWidth="1"/>
    <col min="3" max="3" width="10.33203125" style="27" customWidth="1"/>
    <col min="4" max="4" width="43.44140625" style="27" customWidth="1"/>
    <col min="5" max="5" width="9.6640625" style="27" bestFit="1" customWidth="1"/>
    <col min="6" max="6" width="8.5546875" style="27" customWidth="1"/>
    <col min="7" max="7" width="17.6640625" style="27" customWidth="1"/>
    <col min="8" max="8" width="10.6640625" style="27" bestFit="1" customWidth="1"/>
    <col min="9" max="9" width="10.109375" style="27" customWidth="1"/>
    <col min="10" max="10" width="15.6640625" style="27" customWidth="1"/>
    <col min="11" max="11" width="8.88671875" style="27" customWidth="1"/>
    <col min="12" max="12" width="9" style="27" customWidth="1"/>
    <col min="13" max="15" width="8.5546875" style="27" customWidth="1"/>
    <col min="16" max="18" width="9" style="27" customWidth="1"/>
    <col min="19" max="19" width="9.88671875" style="27" customWidth="1"/>
    <col min="20" max="20" width="9.33203125" style="27" customWidth="1"/>
    <col min="21" max="22" width="8.6640625" style="27" customWidth="1"/>
    <col min="23" max="24" width="9" style="27" customWidth="1"/>
    <col min="25" max="25" width="4.33203125" style="27" bestFit="1" customWidth="1"/>
    <col min="26" max="26" width="13.33203125" style="27" customWidth="1"/>
    <col min="27" max="27" width="7.109375" style="27" customWidth="1"/>
    <col min="28" max="28" width="6.6640625" style="27" customWidth="1"/>
    <col min="29" max="30" width="3.109375" style="27" customWidth="1"/>
    <col min="31" max="33" width="15.6640625" style="109" hidden="1" customWidth="1"/>
    <col min="34" max="34" width="9.109375" style="109" hidden="1" customWidth="1"/>
    <col min="35" max="45" width="15.6640625" style="109" hidden="1" customWidth="1"/>
    <col min="46" max="46" width="9.109375" style="110" hidden="1" customWidth="1"/>
    <col min="47" max="50" width="15.6640625" style="110" hidden="1" customWidth="1"/>
    <col min="51" max="52" width="9.109375" style="27" hidden="1" customWidth="1"/>
    <col min="53" max="53" width="18.88671875" style="27" hidden="1" customWidth="1"/>
    <col min="54" max="16384" width="9.109375" style="27"/>
  </cols>
  <sheetData>
    <row r="1" spans="1:53" ht="15.75" customHeight="1" thickBot="1" x14ac:dyDescent="0.35">
      <c r="A1" s="88"/>
      <c r="B1" s="89" t="s">
        <v>188</v>
      </c>
      <c r="C1" s="328" t="s">
        <v>189</v>
      </c>
      <c r="D1" s="329"/>
      <c r="E1" s="88"/>
      <c r="F1" s="88"/>
      <c r="G1" s="89" t="s">
        <v>190</v>
      </c>
      <c r="H1" s="326" t="s">
        <v>191</v>
      </c>
      <c r="I1" s="327"/>
      <c r="J1" s="114"/>
      <c r="K1" s="197"/>
      <c r="L1" s="197"/>
      <c r="M1" s="197"/>
      <c r="N1" s="197"/>
      <c r="O1" s="197"/>
      <c r="P1" s="197"/>
      <c r="Q1" s="197"/>
      <c r="R1" s="197"/>
      <c r="S1" s="197"/>
      <c r="T1" s="197"/>
      <c r="U1" s="197"/>
      <c r="V1" s="197"/>
      <c r="W1" s="197"/>
      <c r="X1" s="197"/>
      <c r="Y1" s="88"/>
      <c r="Z1" s="88"/>
      <c r="AA1" s="88"/>
      <c r="AB1" s="88"/>
      <c r="AC1" s="88"/>
      <c r="AD1" s="88"/>
      <c r="AE1" s="109" t="s">
        <v>192</v>
      </c>
      <c r="AF1" s="109" t="s">
        <v>193</v>
      </c>
      <c r="AG1" s="109" t="s">
        <v>194</v>
      </c>
      <c r="AI1" s="109" t="s">
        <v>195</v>
      </c>
      <c r="AJ1" s="109" t="s">
        <v>196</v>
      </c>
      <c r="AK1" s="109" t="s">
        <v>197</v>
      </c>
      <c r="AL1" s="109" t="s">
        <v>198</v>
      </c>
      <c r="AM1" s="109" t="s">
        <v>199</v>
      </c>
      <c r="AN1" s="109" t="s">
        <v>200</v>
      </c>
      <c r="AO1" s="109" t="s">
        <v>201</v>
      </c>
      <c r="AP1" s="109" t="s">
        <v>202</v>
      </c>
      <c r="AQ1" s="109" t="s">
        <v>203</v>
      </c>
      <c r="AR1" s="109" t="s">
        <v>204</v>
      </c>
      <c r="AS1" s="109" t="s">
        <v>205</v>
      </c>
      <c r="AU1" s="110" t="s">
        <v>206</v>
      </c>
      <c r="AV1" s="110" t="s">
        <v>207</v>
      </c>
      <c r="AW1" s="110" t="s">
        <v>208</v>
      </c>
      <c r="AX1" s="110" t="s">
        <v>209</v>
      </c>
      <c r="BA1" s="230" t="s">
        <v>210</v>
      </c>
    </row>
    <row r="2" spans="1:53" ht="16.2" thickBot="1" x14ac:dyDescent="0.35">
      <c r="A2" s="88"/>
      <c r="B2" s="89" t="s">
        <v>211</v>
      </c>
      <c r="C2" s="328" t="s">
        <v>212</v>
      </c>
      <c r="D2" s="329"/>
      <c r="E2" s="88"/>
      <c r="F2" s="88"/>
      <c r="G2" s="89" t="s">
        <v>213</v>
      </c>
      <c r="H2" s="326" t="s">
        <v>214</v>
      </c>
      <c r="I2" s="327"/>
      <c r="J2" s="114"/>
      <c r="K2" s="197"/>
      <c r="L2" s="197"/>
      <c r="M2" s="197"/>
      <c r="N2" s="197"/>
      <c r="O2" s="197"/>
      <c r="P2" s="197"/>
      <c r="Q2" s="197"/>
      <c r="R2" s="197"/>
      <c r="S2" s="197"/>
      <c r="T2" s="197"/>
      <c r="U2" s="197"/>
      <c r="V2" s="197"/>
      <c r="W2" s="197"/>
      <c r="X2" s="197"/>
      <c r="Y2" s="88"/>
      <c r="Z2" s="88"/>
      <c r="AA2" s="88"/>
      <c r="AB2" s="88"/>
      <c r="AC2" s="88"/>
      <c r="AD2" s="88"/>
      <c r="BA2" s="230" t="s">
        <v>215</v>
      </c>
    </row>
    <row r="3" spans="1:53" ht="15.6" x14ac:dyDescent="0.3">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FA_IMPORT_A02PPZD</v>
      </c>
    </row>
    <row r="4" spans="1:53" ht="15" thickBot="1" x14ac:dyDescent="0.35">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5">
      <c r="A5" s="88"/>
      <c r="B5" s="85" t="s">
        <v>216</v>
      </c>
      <c r="C5" s="25"/>
      <c r="D5" s="25"/>
      <c r="E5" s="25"/>
      <c r="F5" s="88"/>
      <c r="G5" s="25"/>
      <c r="H5" s="25"/>
      <c r="I5" s="87"/>
      <c r="J5" s="26"/>
      <c r="K5" s="25"/>
      <c r="L5" s="25"/>
      <c r="M5" s="196" t="s">
        <v>217</v>
      </c>
      <c r="N5" s="196" t="s">
        <v>218</v>
      </c>
      <c r="O5" s="196" t="s">
        <v>219</v>
      </c>
      <c r="P5" s="196" t="s">
        <v>220</v>
      </c>
      <c r="Q5" s="196" t="s">
        <v>221</v>
      </c>
      <c r="R5" s="196" t="s">
        <v>222</v>
      </c>
      <c r="S5" s="196" t="s">
        <v>223</v>
      </c>
      <c r="T5" s="196" t="s">
        <v>224</v>
      </c>
      <c r="U5" s="196" t="s">
        <v>225</v>
      </c>
      <c r="V5" s="196" t="s">
        <v>226</v>
      </c>
      <c r="W5" s="113" t="s">
        <v>227</v>
      </c>
      <c r="X5" s="196" t="s">
        <v>228</v>
      </c>
      <c r="Y5" s="25"/>
      <c r="Z5" s="25"/>
      <c r="AA5" s="25"/>
      <c r="AB5" s="25"/>
      <c r="AC5" s="25"/>
      <c r="AD5" s="25"/>
    </row>
    <row r="6" spans="1:53" ht="15.6" thickTop="1" thickBot="1" x14ac:dyDescent="0.35">
      <c r="A6" s="88"/>
      <c r="B6" s="312" t="s">
        <v>229</v>
      </c>
      <c r="C6" s="313"/>
      <c r="D6" s="314" t="s">
        <v>230</v>
      </c>
      <c r="E6" s="305"/>
      <c r="F6" s="88"/>
      <c r="G6" s="315" t="s">
        <v>231</v>
      </c>
      <c r="H6" s="316"/>
      <c r="I6" s="28">
        <f>SUM(E17:E41)</f>
        <v>240</v>
      </c>
      <c r="J6" s="317" t="s">
        <v>232</v>
      </c>
      <c r="K6" s="318"/>
      <c r="L6" s="305"/>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5" t="s">
        <v>233</v>
      </c>
      <c r="AA6" s="296"/>
      <c r="AB6" s="297"/>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234</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5">
      <c r="A7" s="88"/>
      <c r="B7" s="29" t="s">
        <v>235</v>
      </c>
      <c r="C7" s="30">
        <v>0</v>
      </c>
      <c r="D7" s="31" t="s">
        <v>236</v>
      </c>
      <c r="E7" s="66" t="str">
        <f>TEXT(IF('Cable Calculator'!D7="","",'Cable Calculator'!D7),)</f>
        <v/>
      </c>
      <c r="F7" s="88"/>
      <c r="G7" s="304" t="s">
        <v>237</v>
      </c>
      <c r="H7" s="305"/>
      <c r="I7" s="33">
        <f>E8-I6</f>
        <v>48</v>
      </c>
      <c r="J7" s="289" t="s">
        <v>238</v>
      </c>
      <c r="K7" s="290"/>
      <c r="L7" s="34">
        <f>I11</f>
        <v>121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239</v>
      </c>
      <c r="AA7" s="300" t="s">
        <v>240</v>
      </c>
      <c r="AB7" s="301"/>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241</v>
      </c>
      <c r="AU7" s="109">
        <f>COUNTIFS($E7,"SS",$AS7,"Y")</f>
        <v>0</v>
      </c>
      <c r="AV7" s="111">
        <f>COUNTIFS($E7,"RPX",$AS7,"Y")</f>
        <v>0</v>
      </c>
      <c r="AW7" s="111">
        <f>COUNTIFS($E7,"EUC",$AS7,"Y")</f>
        <v>0</v>
      </c>
      <c r="AX7" s="109">
        <f>COUNTIFS($E7,"RPX-T",$AS7,"Y")</f>
        <v>0</v>
      </c>
    </row>
    <row r="8" spans="1:53" ht="15.6" thickTop="1" thickBot="1" x14ac:dyDescent="0.35">
      <c r="A8" s="88"/>
      <c r="B8" s="36" t="s">
        <v>242</v>
      </c>
      <c r="C8" s="37">
        <v>0</v>
      </c>
      <c r="D8" s="38" t="s">
        <v>243</v>
      </c>
      <c r="E8" s="32">
        <v>288</v>
      </c>
      <c r="F8" s="88"/>
      <c r="G8" s="291" t="s">
        <v>244</v>
      </c>
      <c r="H8" s="292"/>
      <c r="I8" s="35">
        <f>IF(E8=0,0,12-(MOD(I6,12)))</f>
        <v>12</v>
      </c>
      <c r="J8" s="289" t="s">
        <v>245</v>
      </c>
      <c r="K8" s="290"/>
      <c r="L8" s="39">
        <f>I12-I6</f>
        <v>120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9"/>
      <c r="AA8" s="302"/>
      <c r="AB8" s="303"/>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246</v>
      </c>
      <c r="AU8" s="109">
        <f>COUNTIFS($E7,"SS",$AS8,"Y")</f>
        <v>0</v>
      </c>
      <c r="AV8" s="108">
        <f>COUNTIFS($E7,"RPX",$AS8,"Y")</f>
        <v>0</v>
      </c>
      <c r="AW8" s="108">
        <f>COUNTIFS($E7,"EUC",$AS8,"Y")</f>
        <v>0</v>
      </c>
      <c r="AX8" s="109">
        <f>COUNTIFS($E7,"RPX-T",$AS8,"Y")</f>
        <v>0</v>
      </c>
    </row>
    <row r="9" spans="1:53" ht="16.5" customHeight="1" thickTop="1" thickBot="1" x14ac:dyDescent="0.35">
      <c r="A9" s="88"/>
      <c r="B9" s="40" t="s">
        <v>247</v>
      </c>
      <c r="C9" s="30">
        <v>0</v>
      </c>
      <c r="D9" s="41" t="s">
        <v>248</v>
      </c>
      <c r="E9" s="42">
        <v>48</v>
      </c>
      <c r="F9" s="88"/>
      <c r="G9" s="321" t="s">
        <v>249</v>
      </c>
      <c r="H9" s="43" t="s">
        <v>250</v>
      </c>
      <c r="I9" s="35">
        <f>IF(E9&lt;&gt;0,1,0)</f>
        <v>1</v>
      </c>
      <c r="J9" s="291" t="s">
        <v>251</v>
      </c>
      <c r="K9" s="292"/>
      <c r="L9" s="44">
        <f>'Cable Calculator'!D3</f>
        <v>796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252</v>
      </c>
      <c r="AU9" s="109">
        <f>COUNTIFS($E7,"SS",$AS9,"Y")</f>
        <v>0</v>
      </c>
      <c r="AV9" s="108">
        <f>COUNTIFS($E7,"RPX",$AS9,"Y")</f>
        <v>0</v>
      </c>
      <c r="AW9" s="108">
        <f>COUNTIFS($E7,"EUC",$AS9,"Y")</f>
        <v>0</v>
      </c>
      <c r="AX9" s="109">
        <f>COUNTIFS($E7,"RPX-T",$AS9,"Y")</f>
        <v>0</v>
      </c>
    </row>
    <row r="10" spans="1:53" ht="15.6" thickTop="1" thickBot="1" x14ac:dyDescent="0.35">
      <c r="A10" s="88"/>
      <c r="B10" s="29" t="s">
        <v>253</v>
      </c>
      <c r="C10" s="37">
        <v>0</v>
      </c>
      <c r="D10" s="41" t="s">
        <v>254</v>
      </c>
      <c r="E10" s="42">
        <v>121</v>
      </c>
      <c r="F10" s="88"/>
      <c r="G10" s="322"/>
      <c r="H10" s="47" t="s">
        <v>255</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5">
      <c r="A11" s="88"/>
      <c r="B11" s="36" t="s">
        <v>256</v>
      </c>
      <c r="C11" s="30">
        <v>0</v>
      </c>
      <c r="D11" s="49" t="s">
        <v>257</v>
      </c>
      <c r="E11" s="50">
        <f>E8/12</f>
        <v>24</v>
      </c>
      <c r="F11" s="88"/>
      <c r="G11" s="321" t="s">
        <v>258</v>
      </c>
      <c r="H11" s="51" t="s">
        <v>259</v>
      </c>
      <c r="I11" s="112">
        <f>E10</f>
        <v>121</v>
      </c>
      <c r="J11" s="323" t="s">
        <v>260</v>
      </c>
      <c r="K11" s="324"/>
      <c r="L11" s="325"/>
      <c r="M11" s="52" t="s">
        <v>261</v>
      </c>
      <c r="N11" s="106"/>
      <c r="O11" s="106"/>
      <c r="P11" s="192"/>
      <c r="Q11" s="192"/>
      <c r="R11" s="192"/>
      <c r="S11" s="192"/>
      <c r="T11" s="192"/>
      <c r="U11" s="192"/>
      <c r="V11" s="192"/>
      <c r="W11" s="53">
        <f>SUM(P11:U11)</f>
        <v>0</v>
      </c>
      <c r="X11" s="54"/>
      <c r="Y11" s="25"/>
      <c r="Z11" s="45">
        <v>3</v>
      </c>
      <c r="AA11" s="46">
        <v>25</v>
      </c>
      <c r="AB11" s="46">
        <v>36</v>
      </c>
      <c r="AC11" s="25"/>
      <c r="AD11" s="25"/>
    </row>
    <row r="12" spans="1:53" ht="15.6" thickTop="1" thickBot="1" x14ac:dyDescent="0.35">
      <c r="A12" s="88"/>
      <c r="B12" s="36" t="s">
        <v>262</v>
      </c>
      <c r="C12" s="30">
        <v>0</v>
      </c>
      <c r="D12" s="31" t="s">
        <v>263</v>
      </c>
      <c r="E12" s="101" t="str">
        <f>IF('Cable Calculator'!D5="","",'Cable Calculator'!D5)</f>
        <v>N</v>
      </c>
      <c r="F12" s="88"/>
      <c r="G12" s="322"/>
      <c r="H12" s="47" t="s">
        <v>264</v>
      </c>
      <c r="I12" s="35">
        <f>IF(E10="","0",IF(AND(E7="EUC",E8=432), I11+(203-E9),IF(E10=0,0,(E10+(E8-E9)-1))))</f>
        <v>360</v>
      </c>
      <c r="J12" s="286" t="str">
        <f>IFERROR(IF(OR(E7="EUC",E7="SS"),"---",IF(OR(P6,S6),"NO 2F Tethers for RPX!",IF(OR(P8,S8),"NO 6F Tethers for RPX!","---"))),"---")</f>
        <v>---</v>
      </c>
      <c r="K12" s="287"/>
      <c r="L12" s="288"/>
      <c r="M12" s="286" t="str">
        <f>IF(E9&gt;60,"Dead Count &gt;60: Consider Downsize","---")</f>
        <v>---</v>
      </c>
      <c r="N12" s="287"/>
      <c r="O12" s="287"/>
      <c r="P12" s="287"/>
      <c r="Q12" s="287"/>
      <c r="R12" s="287"/>
      <c r="S12" s="287"/>
      <c r="T12" s="287"/>
      <c r="U12" s="288"/>
      <c r="V12" s="100"/>
      <c r="W12" s="54">
        <f>SUM(P12:U12)</f>
        <v>0</v>
      </c>
      <c r="X12" s="54"/>
      <c r="Y12" s="25"/>
      <c r="Z12" s="45">
        <v>4</v>
      </c>
      <c r="AA12" s="46">
        <v>37</v>
      </c>
      <c r="AB12" s="46">
        <v>48</v>
      </c>
      <c r="AC12" s="25"/>
      <c r="AD12" s="25"/>
    </row>
    <row r="13" spans="1:53" ht="15.6" thickTop="1" thickBot="1" x14ac:dyDescent="0.35">
      <c r="A13" s="88"/>
      <c r="B13" s="55" t="s">
        <v>265</v>
      </c>
      <c r="C13" s="56">
        <f>SUM(C7:C12)+I6</f>
        <v>240</v>
      </c>
      <c r="D13" s="31" t="s">
        <v>266</v>
      </c>
      <c r="E13" s="101" t="str">
        <f>IF(AS7="Y","DBL",IF(AS8="Y","TRPL",IF(AS9="Y","QUAD","")))</f>
        <v/>
      </c>
      <c r="F13" s="88"/>
      <c r="G13" s="192"/>
      <c r="H13" s="57"/>
      <c r="I13" s="192"/>
      <c r="J13" s="286"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7"/>
      <c r="L13" s="288"/>
      <c r="M13" s="286" t="str">
        <f>IF(AND(OR(E7="SS",E7="RPX",E7="EUC",E7="RPX-T"),(OR(C17="",C17="Field SPL"))),"Cannot have FlexNap cables without tethers","---")</f>
        <v>---</v>
      </c>
      <c r="N13" s="287"/>
      <c r="O13" s="287"/>
      <c r="P13" s="287"/>
      <c r="Q13" s="287"/>
      <c r="R13" s="287"/>
      <c r="S13" s="287"/>
      <c r="T13" s="287"/>
      <c r="U13" s="288"/>
      <c r="V13" s="25"/>
      <c r="W13" s="58"/>
      <c r="X13" s="58"/>
      <c r="Y13" s="25"/>
      <c r="Z13" s="45">
        <v>5</v>
      </c>
      <c r="AA13" s="46">
        <v>49</v>
      </c>
      <c r="AB13" s="46">
        <v>60</v>
      </c>
      <c r="AC13" s="25"/>
      <c r="AD13" s="25"/>
    </row>
    <row r="14" spans="1:53" ht="15.6" thickTop="1" thickBot="1" x14ac:dyDescent="0.35">
      <c r="A14" s="88"/>
      <c r="B14" s="59"/>
      <c r="C14" s="60"/>
      <c r="D14" s="61"/>
      <c r="E14" s="62"/>
      <c r="F14" s="88"/>
      <c r="G14" s="63"/>
      <c r="H14" s="64"/>
      <c r="I14" s="63"/>
      <c r="J14" s="286" t="str">
        <f>IF(AND(OR(E7="RPX", E7="RPX-T", E7="SS"),E8=216),"NO 216 For RPX, RPX-T, OR SS CABLE","---")</f>
        <v>---</v>
      </c>
      <c r="K14" s="287"/>
      <c r="L14" s="288"/>
      <c r="M14" s="286" t="str" cm="1">
        <f t="array" ref="M14">IF(AND(E7="",OR(C17:C41="FST",C17:C41="REV T",C17:C41="DBL REV",C17:C41="TPL REV", C17:C41="QD REV")),"Non-FlexNap cables cannot have tethers","---")</f>
        <v>---</v>
      </c>
      <c r="N14" s="287"/>
      <c r="O14" s="287"/>
      <c r="P14" s="287"/>
      <c r="Q14" s="287"/>
      <c r="R14" s="287"/>
      <c r="S14" s="287"/>
      <c r="T14" s="287"/>
      <c r="U14" s="288"/>
      <c r="V14" s="25"/>
      <c r="W14" s="58"/>
      <c r="X14" s="58"/>
      <c r="Y14" s="25"/>
      <c r="Z14" s="45">
        <v>6</v>
      </c>
      <c r="AA14" s="65">
        <v>61</v>
      </c>
      <c r="AB14" s="65">
        <v>72</v>
      </c>
      <c r="AC14" s="25"/>
      <c r="AD14" s="25"/>
    </row>
    <row r="15" spans="1:53" ht="15.75" customHeight="1" thickBot="1" x14ac:dyDescent="0.35">
      <c r="A15" s="88"/>
      <c r="B15" s="321" t="s">
        <v>267</v>
      </c>
      <c r="C15" s="293" t="s">
        <v>268</v>
      </c>
      <c r="D15" s="293" t="s">
        <v>269</v>
      </c>
      <c r="E15" s="306" t="s">
        <v>270</v>
      </c>
      <c r="F15" s="293" t="s">
        <v>271</v>
      </c>
      <c r="G15" s="308" t="s">
        <v>272</v>
      </c>
      <c r="H15" s="308" t="s">
        <v>273</v>
      </c>
      <c r="I15" s="308" t="s">
        <v>274</v>
      </c>
      <c r="J15" s="310" t="s">
        <v>275</v>
      </c>
      <c r="K15" s="293" t="s">
        <v>276</v>
      </c>
      <c r="L15" s="280" t="s">
        <v>277</v>
      </c>
      <c r="M15" s="282" t="s">
        <v>278</v>
      </c>
      <c r="N15" s="282"/>
      <c r="O15" s="282"/>
      <c r="P15" s="282"/>
      <c r="Q15" s="282"/>
      <c r="R15" s="282"/>
      <c r="S15" s="282"/>
      <c r="T15" s="282"/>
      <c r="U15" s="283"/>
      <c r="V15" s="107"/>
      <c r="W15" s="72"/>
      <c r="X15" s="72"/>
      <c r="Y15" s="72"/>
      <c r="Z15" s="45">
        <v>7</v>
      </c>
      <c r="AA15" s="65">
        <v>73</v>
      </c>
      <c r="AB15" s="65">
        <v>84</v>
      </c>
      <c r="AC15" s="25"/>
      <c r="AD15" s="25"/>
    </row>
    <row r="16" spans="1:53" ht="15" thickBot="1" x14ac:dyDescent="0.35">
      <c r="A16" s="88"/>
      <c r="B16" s="322"/>
      <c r="C16" s="294"/>
      <c r="D16" s="294"/>
      <c r="E16" s="307"/>
      <c r="F16" s="294"/>
      <c r="G16" s="309"/>
      <c r="H16" s="309"/>
      <c r="I16" s="309"/>
      <c r="J16" s="311"/>
      <c r="K16" s="294"/>
      <c r="L16" s="281"/>
      <c r="M16" s="284"/>
      <c r="N16" s="284"/>
      <c r="O16" s="284"/>
      <c r="P16" s="284"/>
      <c r="Q16" s="284"/>
      <c r="R16" s="284"/>
      <c r="S16" s="284"/>
      <c r="T16" s="284"/>
      <c r="U16" s="285"/>
      <c r="V16" s="107"/>
      <c r="W16" s="72"/>
      <c r="X16" s="72"/>
      <c r="Y16" s="72"/>
      <c r="Z16" s="45">
        <v>8</v>
      </c>
      <c r="AA16" s="46">
        <v>85</v>
      </c>
      <c r="AB16" s="46">
        <v>96</v>
      </c>
      <c r="AC16" s="25"/>
      <c r="AD16" s="25"/>
      <c r="AI16" s="109" t="s">
        <v>279</v>
      </c>
      <c r="AJ16" s="109" t="s">
        <v>280</v>
      </c>
      <c r="AK16" s="109" t="s">
        <v>281</v>
      </c>
      <c r="AL16" s="109" t="s">
        <v>282</v>
      </c>
    </row>
    <row r="17" spans="1:53" ht="15" thickBot="1" x14ac:dyDescent="0.35">
      <c r="A17" s="88"/>
      <c r="B17" s="66" t="s">
        <v>283</v>
      </c>
      <c r="C17" s="67" t="s">
        <v>284</v>
      </c>
      <c r="D17" s="102"/>
      <c r="E17" s="32">
        <v>36</v>
      </c>
      <c r="F17" s="32"/>
      <c r="G17" s="68" t="s">
        <v>285</v>
      </c>
      <c r="H17" s="69">
        <f>IF(I17=0,0,I17-(E17-1))</f>
        <v>325</v>
      </c>
      <c r="I17" s="70">
        <f>IF(E17=0,0,I12)</f>
        <v>360</v>
      </c>
      <c r="J17" s="71" t="s">
        <v>286</v>
      </c>
      <c r="K17" s="32"/>
      <c r="L17" s="233"/>
      <c r="M17" s="278" t="s">
        <v>287</v>
      </c>
      <c r="N17" s="278"/>
      <c r="O17" s="278"/>
      <c r="P17" s="278"/>
      <c r="Q17" s="278"/>
      <c r="R17" s="278"/>
      <c r="S17" s="278"/>
      <c r="T17" s="278"/>
      <c r="U17" s="279"/>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325-360</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 thickBot="1" x14ac:dyDescent="0.35">
      <c r="A18" s="88"/>
      <c r="B18" s="66" t="s">
        <v>288</v>
      </c>
      <c r="C18" s="67" t="s">
        <v>284</v>
      </c>
      <c r="D18" s="102"/>
      <c r="E18" s="32">
        <v>36</v>
      </c>
      <c r="F18" s="32"/>
      <c r="G18" s="68" t="s">
        <v>285</v>
      </c>
      <c r="H18" s="69">
        <f t="shared" ref="H18:H41" si="9">IF(E18=0,0,I18-(E18-1))</f>
        <v>289</v>
      </c>
      <c r="I18" s="70">
        <f t="shared" ref="I18:I41" si="10">IF(E18=0,0,H17-1)</f>
        <v>324</v>
      </c>
      <c r="J18" s="73" t="str">
        <f>IF(C18="","--",IF(AND(C18&lt;&gt;"FST",C18&lt;&gt;"TCF",BA17&lt;&gt;0),BA17,"--"))</f>
        <v>--</v>
      </c>
      <c r="K18" s="32"/>
      <c r="L18" s="233"/>
      <c r="M18" s="278" t="s">
        <v>289</v>
      </c>
      <c r="N18" s="278"/>
      <c r="O18" s="278"/>
      <c r="P18" s="278"/>
      <c r="Q18" s="278"/>
      <c r="R18" s="278"/>
      <c r="S18" s="278"/>
      <c r="T18" s="278"/>
      <c r="U18" s="279"/>
      <c r="V18" s="103"/>
      <c r="W18" s="72"/>
      <c r="X18" s="72"/>
      <c r="Y18" s="72"/>
      <c r="Z18" s="45">
        <v>10</v>
      </c>
      <c r="AA18" s="46">
        <v>109</v>
      </c>
      <c r="AB18" s="46">
        <v>120</v>
      </c>
      <c r="AC18" s="72">
        <f t="shared" si="0"/>
        <v>1</v>
      </c>
      <c r="AD18" s="72">
        <f t="shared" si="1"/>
        <v>1</v>
      </c>
      <c r="AE18" s="109" t="str">
        <f t="shared" si="2"/>
        <v>289-324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 thickBot="1" x14ac:dyDescent="0.35">
      <c r="A19" s="88"/>
      <c r="B19" s="74" t="s">
        <v>290</v>
      </c>
      <c r="C19" s="67" t="s">
        <v>284</v>
      </c>
      <c r="D19" s="102"/>
      <c r="E19" s="32">
        <v>144</v>
      </c>
      <c r="F19" s="32"/>
      <c r="G19" s="75" t="s">
        <v>285</v>
      </c>
      <c r="H19" s="69">
        <f t="shared" si="9"/>
        <v>145</v>
      </c>
      <c r="I19" s="70">
        <f t="shared" si="10"/>
        <v>288</v>
      </c>
      <c r="J19" s="73" t="str">
        <f t="shared" ref="J19:J41" si="11">IF(C19="","--",IF(AND(C19&lt;&gt;"FST",C19&lt;&gt;"TCF",BA18&lt;&gt;0),BA18,"--"))</f>
        <v>--</v>
      </c>
      <c r="K19" s="32"/>
      <c r="L19" s="233"/>
      <c r="M19" s="278" t="s">
        <v>291</v>
      </c>
      <c r="N19" s="278"/>
      <c r="O19" s="278"/>
      <c r="P19" s="278"/>
      <c r="Q19" s="278"/>
      <c r="R19" s="278"/>
      <c r="S19" s="278"/>
      <c r="T19" s="278"/>
      <c r="U19" s="279"/>
      <c r="V19" s="103"/>
      <c r="W19" s="72"/>
      <c r="X19" s="72"/>
      <c r="Y19" s="72"/>
      <c r="Z19" s="45">
        <v>11</v>
      </c>
      <c r="AA19" s="46">
        <v>121</v>
      </c>
      <c r="AB19" s="46">
        <v>132</v>
      </c>
      <c r="AC19" s="72">
        <f t="shared" si="0"/>
        <v>1</v>
      </c>
      <c r="AD19" s="72">
        <f t="shared" si="1"/>
        <v>1</v>
      </c>
      <c r="AE19" s="109" t="str">
        <f t="shared" si="2"/>
        <v>145-288</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 thickBot="1" x14ac:dyDescent="0.35">
      <c r="A20" s="88"/>
      <c r="B20" s="66" t="s">
        <v>292</v>
      </c>
      <c r="C20" s="67" t="s">
        <v>284</v>
      </c>
      <c r="D20" s="102"/>
      <c r="E20" s="32">
        <v>24</v>
      </c>
      <c r="F20" s="32"/>
      <c r="G20" s="68" t="s">
        <v>285</v>
      </c>
      <c r="H20" s="69">
        <f t="shared" si="9"/>
        <v>121</v>
      </c>
      <c r="I20" s="70">
        <f t="shared" si="10"/>
        <v>144</v>
      </c>
      <c r="J20" s="73" t="str">
        <f t="shared" si="11"/>
        <v>--</v>
      </c>
      <c r="K20" s="32"/>
      <c r="L20" s="233"/>
      <c r="M20" s="278" t="s">
        <v>291</v>
      </c>
      <c r="N20" s="278"/>
      <c r="O20" s="278"/>
      <c r="P20" s="278"/>
      <c r="Q20" s="278"/>
      <c r="R20" s="278"/>
      <c r="S20" s="278"/>
      <c r="T20" s="278"/>
      <c r="U20" s="279"/>
      <c r="V20" s="103"/>
      <c r="W20" s="72"/>
      <c r="X20" s="72"/>
      <c r="Y20" s="72"/>
      <c r="Z20" s="45">
        <v>12</v>
      </c>
      <c r="AA20" s="76">
        <v>133</v>
      </c>
      <c r="AB20" s="76">
        <v>144</v>
      </c>
      <c r="AC20" s="72">
        <f t="shared" si="0"/>
        <v>1</v>
      </c>
      <c r="AD20" s="72">
        <f t="shared" si="1"/>
        <v>1</v>
      </c>
      <c r="AE20" s="109" t="str">
        <f t="shared" si="2"/>
        <v>121-144</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 thickBot="1" x14ac:dyDescent="0.35">
      <c r="A21" s="88"/>
      <c r="B21" s="66" t="s">
        <v>293</v>
      </c>
      <c r="C21" s="67"/>
      <c r="D21" s="102"/>
      <c r="E21" s="32"/>
      <c r="F21" s="32"/>
      <c r="G21" s="68" t="s">
        <v>285</v>
      </c>
      <c r="H21" s="69">
        <f t="shared" si="9"/>
        <v>0</v>
      </c>
      <c r="I21" s="70">
        <f t="shared" si="10"/>
        <v>0</v>
      </c>
      <c r="J21" s="73" t="str">
        <f t="shared" si="11"/>
        <v>--</v>
      </c>
      <c r="K21" s="32"/>
      <c r="L21" s="233"/>
      <c r="M21" s="278"/>
      <c r="N21" s="278"/>
      <c r="O21" s="278"/>
      <c r="P21" s="278"/>
      <c r="Q21" s="278"/>
      <c r="R21" s="278"/>
      <c r="S21" s="278"/>
      <c r="T21" s="278"/>
      <c r="U21" s="279"/>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 thickBot="1" x14ac:dyDescent="0.35">
      <c r="A22" s="88"/>
      <c r="B22" s="66" t="s">
        <v>294</v>
      </c>
      <c r="C22" s="67"/>
      <c r="D22" s="102"/>
      <c r="E22" s="32"/>
      <c r="F22" s="32"/>
      <c r="G22" s="68" t="s">
        <v>285</v>
      </c>
      <c r="H22" s="69">
        <f t="shared" si="9"/>
        <v>0</v>
      </c>
      <c r="I22" s="70">
        <f t="shared" si="10"/>
        <v>0</v>
      </c>
      <c r="J22" s="73" t="str">
        <f t="shared" si="11"/>
        <v>--</v>
      </c>
      <c r="K22" s="32"/>
      <c r="L22" s="233"/>
      <c r="M22" s="278"/>
      <c r="N22" s="278"/>
      <c r="O22" s="278"/>
      <c r="P22" s="278"/>
      <c r="Q22" s="278"/>
      <c r="R22" s="278"/>
      <c r="S22" s="278"/>
      <c r="T22" s="278"/>
      <c r="U22" s="279"/>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 thickBot="1" x14ac:dyDescent="0.35">
      <c r="A23" s="88"/>
      <c r="B23" s="66" t="s">
        <v>295</v>
      </c>
      <c r="C23" s="67"/>
      <c r="D23" s="102"/>
      <c r="E23" s="32"/>
      <c r="F23" s="32"/>
      <c r="G23" s="68" t="s">
        <v>285</v>
      </c>
      <c r="H23" s="69">
        <f t="shared" si="9"/>
        <v>0</v>
      </c>
      <c r="I23" s="70">
        <f t="shared" si="10"/>
        <v>0</v>
      </c>
      <c r="J23" s="73" t="str">
        <f t="shared" si="11"/>
        <v>--</v>
      </c>
      <c r="K23" s="32"/>
      <c r="L23" s="233"/>
      <c r="M23" s="278"/>
      <c r="N23" s="278"/>
      <c r="O23" s="278"/>
      <c r="P23" s="278"/>
      <c r="Q23" s="278"/>
      <c r="R23" s="278"/>
      <c r="S23" s="278"/>
      <c r="T23" s="278"/>
      <c r="U23" s="279"/>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 thickBot="1" x14ac:dyDescent="0.35">
      <c r="A24" s="88"/>
      <c r="B24" s="66" t="s">
        <v>296</v>
      </c>
      <c r="C24" s="67"/>
      <c r="D24" s="102"/>
      <c r="E24" s="32"/>
      <c r="F24" s="32"/>
      <c r="G24" s="68" t="s">
        <v>285</v>
      </c>
      <c r="H24" s="69">
        <f t="shared" si="9"/>
        <v>0</v>
      </c>
      <c r="I24" s="70">
        <f t="shared" si="10"/>
        <v>0</v>
      </c>
      <c r="J24" s="73" t="str">
        <f t="shared" si="11"/>
        <v>--</v>
      </c>
      <c r="K24" s="32"/>
      <c r="L24" s="233"/>
      <c r="M24" s="278"/>
      <c r="N24" s="278"/>
      <c r="O24" s="278"/>
      <c r="P24" s="278"/>
      <c r="Q24" s="278"/>
      <c r="R24" s="278"/>
      <c r="S24" s="278"/>
      <c r="T24" s="278"/>
      <c r="U24" s="279"/>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 thickBot="1" x14ac:dyDescent="0.35">
      <c r="A25" s="88"/>
      <c r="B25" s="66" t="s">
        <v>297</v>
      </c>
      <c r="C25" s="67"/>
      <c r="D25" s="102"/>
      <c r="E25" s="32"/>
      <c r="F25" s="32"/>
      <c r="G25" s="68" t="s">
        <v>285</v>
      </c>
      <c r="H25" s="69">
        <f t="shared" si="9"/>
        <v>0</v>
      </c>
      <c r="I25" s="70">
        <f t="shared" si="10"/>
        <v>0</v>
      </c>
      <c r="J25" s="73" t="str">
        <f t="shared" si="11"/>
        <v>--</v>
      </c>
      <c r="K25" s="32"/>
      <c r="L25" s="233"/>
      <c r="M25" s="278"/>
      <c r="N25" s="278"/>
      <c r="O25" s="278"/>
      <c r="P25" s="278"/>
      <c r="Q25" s="278"/>
      <c r="R25" s="278"/>
      <c r="S25" s="278"/>
      <c r="T25" s="278"/>
      <c r="U25" s="279"/>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 thickBot="1" x14ac:dyDescent="0.35">
      <c r="A26" s="88"/>
      <c r="B26" s="66" t="s">
        <v>298</v>
      </c>
      <c r="C26" s="67"/>
      <c r="D26" s="102"/>
      <c r="E26" s="32"/>
      <c r="F26" s="32"/>
      <c r="G26" s="68" t="s">
        <v>285</v>
      </c>
      <c r="H26" s="69">
        <f t="shared" si="9"/>
        <v>0</v>
      </c>
      <c r="I26" s="70">
        <f t="shared" si="10"/>
        <v>0</v>
      </c>
      <c r="J26" s="73" t="str">
        <f t="shared" si="11"/>
        <v>--</v>
      </c>
      <c r="K26" s="32"/>
      <c r="L26" s="233"/>
      <c r="M26" s="278"/>
      <c r="N26" s="278"/>
      <c r="O26" s="278"/>
      <c r="P26" s="278"/>
      <c r="Q26" s="278"/>
      <c r="R26" s="278"/>
      <c r="S26" s="278"/>
      <c r="T26" s="278"/>
      <c r="U26" s="279"/>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 thickBot="1" x14ac:dyDescent="0.35">
      <c r="A27" s="88"/>
      <c r="B27" s="66" t="s">
        <v>299</v>
      </c>
      <c r="C27" s="67"/>
      <c r="D27" s="102"/>
      <c r="E27" s="32"/>
      <c r="F27" s="32"/>
      <c r="G27" s="68" t="s">
        <v>285</v>
      </c>
      <c r="H27" s="69">
        <f t="shared" si="9"/>
        <v>0</v>
      </c>
      <c r="I27" s="70">
        <f t="shared" si="10"/>
        <v>0</v>
      </c>
      <c r="J27" s="73" t="str">
        <f t="shared" si="11"/>
        <v>--</v>
      </c>
      <c r="K27" s="32"/>
      <c r="L27" s="233"/>
      <c r="M27" s="278"/>
      <c r="N27" s="278"/>
      <c r="O27" s="278"/>
      <c r="P27" s="278"/>
      <c r="Q27" s="278"/>
      <c r="R27" s="278"/>
      <c r="S27" s="278"/>
      <c r="T27" s="278"/>
      <c r="U27" s="279"/>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 thickBot="1" x14ac:dyDescent="0.35">
      <c r="A28" s="88"/>
      <c r="B28" s="66" t="s">
        <v>300</v>
      </c>
      <c r="C28" s="67"/>
      <c r="D28" s="102"/>
      <c r="E28" s="32"/>
      <c r="F28" s="32"/>
      <c r="G28" s="68" t="s">
        <v>285</v>
      </c>
      <c r="H28" s="69">
        <f t="shared" si="9"/>
        <v>0</v>
      </c>
      <c r="I28" s="70">
        <f t="shared" si="10"/>
        <v>0</v>
      </c>
      <c r="J28" s="73" t="str">
        <f t="shared" si="11"/>
        <v>--</v>
      </c>
      <c r="K28" s="32"/>
      <c r="L28" s="233"/>
      <c r="M28" s="278"/>
      <c r="N28" s="278"/>
      <c r="O28" s="278"/>
      <c r="P28" s="278"/>
      <c r="Q28" s="278"/>
      <c r="R28" s="278"/>
      <c r="S28" s="278"/>
      <c r="T28" s="278"/>
      <c r="U28" s="279"/>
      <c r="V28" s="103"/>
      <c r="W28" s="84">
        <f>Y28+1</f>
        <v>241</v>
      </c>
      <c r="X28" s="84"/>
      <c r="Y28" s="78">
        <f>SUM(E17:E28)</f>
        <v>240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 thickBot="1" x14ac:dyDescent="0.35">
      <c r="A29" s="88"/>
      <c r="B29" s="66" t="s">
        <v>301</v>
      </c>
      <c r="C29" s="67"/>
      <c r="D29" s="102"/>
      <c r="E29" s="32"/>
      <c r="F29" s="32"/>
      <c r="G29" s="68" t="s">
        <v>285</v>
      </c>
      <c r="H29" s="69">
        <f t="shared" si="9"/>
        <v>0</v>
      </c>
      <c r="I29" s="70">
        <f t="shared" si="10"/>
        <v>0</v>
      </c>
      <c r="J29" s="73" t="str">
        <f t="shared" si="11"/>
        <v>--</v>
      </c>
      <c r="K29" s="32"/>
      <c r="L29" s="233"/>
      <c r="M29" s="278"/>
      <c r="N29" s="278"/>
      <c r="O29" s="278"/>
      <c r="P29" s="278"/>
      <c r="Q29" s="278"/>
      <c r="R29" s="278"/>
      <c r="S29" s="278"/>
      <c r="T29" s="278"/>
      <c r="U29" s="279"/>
      <c r="V29" s="103"/>
      <c r="W29" s="84">
        <f>Y29+1</f>
        <v>241</v>
      </c>
      <c r="X29" s="84"/>
      <c r="Y29" s="78">
        <f>SUM(E17:E29)</f>
        <v>240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 thickBot="1" x14ac:dyDescent="0.35">
      <c r="A30" s="88"/>
      <c r="B30" s="66" t="s">
        <v>302</v>
      </c>
      <c r="C30" s="67"/>
      <c r="D30" s="102"/>
      <c r="E30" s="32"/>
      <c r="F30" s="32"/>
      <c r="G30" s="68" t="s">
        <v>285</v>
      </c>
      <c r="H30" s="69">
        <f t="shared" si="9"/>
        <v>0</v>
      </c>
      <c r="I30" s="70">
        <f t="shared" si="10"/>
        <v>0</v>
      </c>
      <c r="J30" s="73" t="str">
        <f t="shared" si="11"/>
        <v>--</v>
      </c>
      <c r="K30" s="32"/>
      <c r="L30" s="233"/>
      <c r="M30" s="278"/>
      <c r="N30" s="278"/>
      <c r="O30" s="278"/>
      <c r="P30" s="278"/>
      <c r="Q30" s="278"/>
      <c r="R30" s="278"/>
      <c r="S30" s="278"/>
      <c r="T30" s="278"/>
      <c r="U30" s="279"/>
      <c r="V30" s="103"/>
      <c r="W30" s="84">
        <f>Y30+1</f>
        <v>241</v>
      </c>
      <c r="X30" s="84"/>
      <c r="Y30" s="78">
        <f>SUM(E17:E30)</f>
        <v>240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 thickBot="1" x14ac:dyDescent="0.35">
      <c r="A31" s="88"/>
      <c r="B31" s="66" t="s">
        <v>303</v>
      </c>
      <c r="C31" s="67"/>
      <c r="D31" s="102"/>
      <c r="E31" s="32"/>
      <c r="F31" s="32"/>
      <c r="G31" s="68" t="s">
        <v>285</v>
      </c>
      <c r="H31" s="69">
        <f t="shared" si="9"/>
        <v>0</v>
      </c>
      <c r="I31" s="70">
        <f t="shared" si="10"/>
        <v>0</v>
      </c>
      <c r="J31" s="73" t="str">
        <f t="shared" si="11"/>
        <v>--</v>
      </c>
      <c r="K31" s="32"/>
      <c r="L31" s="233"/>
      <c r="M31" s="278"/>
      <c r="N31" s="278"/>
      <c r="O31" s="278"/>
      <c r="P31" s="278"/>
      <c r="Q31" s="278"/>
      <c r="R31" s="278"/>
      <c r="S31" s="278"/>
      <c r="T31" s="278"/>
      <c r="U31" s="279"/>
      <c r="V31" s="103"/>
      <c r="W31" s="84">
        <f>Y31+1</f>
        <v>241</v>
      </c>
      <c r="X31" s="84"/>
      <c r="Y31" s="78">
        <f>SUM(E17:E31)</f>
        <v>240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 thickBot="1" x14ac:dyDescent="0.35">
      <c r="A32" s="88"/>
      <c r="B32" s="66" t="s">
        <v>304</v>
      </c>
      <c r="C32" s="67"/>
      <c r="D32" s="102"/>
      <c r="E32" s="32"/>
      <c r="F32" s="32"/>
      <c r="G32" s="68" t="s">
        <v>285</v>
      </c>
      <c r="H32" s="69">
        <f t="shared" si="9"/>
        <v>0</v>
      </c>
      <c r="I32" s="70">
        <f t="shared" si="10"/>
        <v>0</v>
      </c>
      <c r="J32" s="73" t="str">
        <f t="shared" si="11"/>
        <v>--</v>
      </c>
      <c r="K32" s="32"/>
      <c r="L32" s="233"/>
      <c r="M32" s="278"/>
      <c r="N32" s="278"/>
      <c r="O32" s="278"/>
      <c r="P32" s="278"/>
      <c r="Q32" s="278"/>
      <c r="R32" s="278"/>
      <c r="S32" s="278"/>
      <c r="T32" s="278"/>
      <c r="U32" s="279"/>
      <c r="V32" s="103"/>
      <c r="W32" s="84">
        <f t="shared" ref="W32:W40" si="16">Y32+1</f>
        <v>241</v>
      </c>
      <c r="X32" s="84"/>
      <c r="Y32" s="78">
        <f>SUM(E17:E32)</f>
        <v>240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 thickBot="1" x14ac:dyDescent="0.35">
      <c r="A33" s="88"/>
      <c r="B33" s="66" t="s">
        <v>305</v>
      </c>
      <c r="C33" s="67"/>
      <c r="D33" s="102"/>
      <c r="E33" s="32"/>
      <c r="F33" s="32"/>
      <c r="G33" s="68" t="s">
        <v>285</v>
      </c>
      <c r="H33" s="69">
        <f t="shared" si="9"/>
        <v>0</v>
      </c>
      <c r="I33" s="70">
        <f t="shared" si="10"/>
        <v>0</v>
      </c>
      <c r="J33" s="73" t="str">
        <f t="shared" si="11"/>
        <v>--</v>
      </c>
      <c r="K33" s="32"/>
      <c r="L33" s="233"/>
      <c r="M33" s="278"/>
      <c r="N33" s="278"/>
      <c r="O33" s="278"/>
      <c r="P33" s="278"/>
      <c r="Q33" s="278"/>
      <c r="R33" s="278"/>
      <c r="S33" s="278"/>
      <c r="T33" s="278"/>
      <c r="U33" s="279"/>
      <c r="V33" s="103"/>
      <c r="W33" s="84">
        <f t="shared" si="16"/>
        <v>241</v>
      </c>
      <c r="X33" s="84"/>
      <c r="Y33" s="78">
        <f>SUM(E17:E33)</f>
        <v>240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 thickBot="1" x14ac:dyDescent="0.35">
      <c r="A34" s="88"/>
      <c r="B34" s="66" t="s">
        <v>306</v>
      </c>
      <c r="C34" s="67"/>
      <c r="D34" s="102"/>
      <c r="E34" s="32"/>
      <c r="F34" s="32"/>
      <c r="G34" s="68" t="s">
        <v>285</v>
      </c>
      <c r="H34" s="69">
        <f t="shared" si="9"/>
        <v>0</v>
      </c>
      <c r="I34" s="70">
        <f t="shared" si="10"/>
        <v>0</v>
      </c>
      <c r="J34" s="73" t="str">
        <f t="shared" si="11"/>
        <v>--</v>
      </c>
      <c r="K34" s="32"/>
      <c r="L34" s="233"/>
      <c r="M34" s="278"/>
      <c r="N34" s="278"/>
      <c r="O34" s="278"/>
      <c r="P34" s="278"/>
      <c r="Q34" s="278"/>
      <c r="R34" s="278"/>
      <c r="S34" s="278"/>
      <c r="T34" s="278"/>
      <c r="U34" s="279"/>
      <c r="V34" s="103"/>
      <c r="W34" s="84">
        <f t="shared" si="16"/>
        <v>241</v>
      </c>
      <c r="X34" s="84"/>
      <c r="Y34" s="78">
        <f>SUM(E17:E34)</f>
        <v>240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 thickBot="1" x14ac:dyDescent="0.35">
      <c r="A35" s="88"/>
      <c r="B35" s="66" t="s">
        <v>307</v>
      </c>
      <c r="C35" s="67"/>
      <c r="D35" s="102"/>
      <c r="E35" s="32"/>
      <c r="F35" s="32"/>
      <c r="G35" s="68" t="s">
        <v>285</v>
      </c>
      <c r="H35" s="69">
        <f t="shared" si="9"/>
        <v>0</v>
      </c>
      <c r="I35" s="70">
        <f t="shared" si="10"/>
        <v>0</v>
      </c>
      <c r="J35" s="73" t="str">
        <f t="shared" si="11"/>
        <v>--</v>
      </c>
      <c r="K35" s="32"/>
      <c r="L35" s="233"/>
      <c r="M35" s="278"/>
      <c r="N35" s="278"/>
      <c r="O35" s="278"/>
      <c r="P35" s="278"/>
      <c r="Q35" s="278"/>
      <c r="R35" s="278"/>
      <c r="S35" s="278"/>
      <c r="T35" s="278"/>
      <c r="U35" s="279"/>
      <c r="V35" s="103"/>
      <c r="W35" s="84">
        <f t="shared" si="16"/>
        <v>241</v>
      </c>
      <c r="X35" s="84"/>
      <c r="Y35" s="78">
        <f>SUM(E17:E35)</f>
        <v>240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 thickBot="1" x14ac:dyDescent="0.35">
      <c r="A36" s="88"/>
      <c r="B36" s="66" t="s">
        <v>308</v>
      </c>
      <c r="C36" s="67"/>
      <c r="D36" s="102"/>
      <c r="E36" s="32"/>
      <c r="F36" s="32"/>
      <c r="G36" s="68" t="s">
        <v>285</v>
      </c>
      <c r="H36" s="69">
        <f t="shared" si="9"/>
        <v>0</v>
      </c>
      <c r="I36" s="70">
        <f t="shared" si="10"/>
        <v>0</v>
      </c>
      <c r="J36" s="73" t="str">
        <f t="shared" si="11"/>
        <v>--</v>
      </c>
      <c r="K36" s="32"/>
      <c r="L36" s="233"/>
      <c r="M36" s="278"/>
      <c r="N36" s="278"/>
      <c r="O36" s="278"/>
      <c r="P36" s="278"/>
      <c r="Q36" s="278"/>
      <c r="R36" s="278"/>
      <c r="S36" s="278"/>
      <c r="T36" s="278"/>
      <c r="U36" s="279"/>
      <c r="V36" s="103"/>
      <c r="W36" s="84">
        <f t="shared" si="16"/>
        <v>241</v>
      </c>
      <c r="X36" s="84"/>
      <c r="Y36" s="78">
        <f>SUM(E17:E36)</f>
        <v>240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 thickBot="1" x14ac:dyDescent="0.35">
      <c r="A37" s="88"/>
      <c r="B37" s="66" t="s">
        <v>309</v>
      </c>
      <c r="C37" s="67"/>
      <c r="D37" s="102"/>
      <c r="E37" s="32"/>
      <c r="F37" s="32"/>
      <c r="G37" s="68" t="s">
        <v>285</v>
      </c>
      <c r="H37" s="69">
        <f t="shared" si="9"/>
        <v>0</v>
      </c>
      <c r="I37" s="70">
        <f t="shared" si="10"/>
        <v>0</v>
      </c>
      <c r="J37" s="73" t="str">
        <f t="shared" si="11"/>
        <v>--</v>
      </c>
      <c r="K37" s="32"/>
      <c r="L37" s="233"/>
      <c r="M37" s="278"/>
      <c r="N37" s="278"/>
      <c r="O37" s="278"/>
      <c r="P37" s="278"/>
      <c r="Q37" s="278"/>
      <c r="R37" s="278"/>
      <c r="S37" s="278"/>
      <c r="T37" s="278"/>
      <c r="U37" s="279"/>
      <c r="V37" s="103"/>
      <c r="W37" s="84">
        <f t="shared" si="16"/>
        <v>241</v>
      </c>
      <c r="X37" s="84"/>
      <c r="Y37" s="78">
        <f>SUM(E17:E37)</f>
        <v>240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 thickBot="1" x14ac:dyDescent="0.35">
      <c r="A38" s="88"/>
      <c r="B38" s="66" t="s">
        <v>310</v>
      </c>
      <c r="C38" s="67"/>
      <c r="D38" s="102"/>
      <c r="E38" s="32"/>
      <c r="F38" s="32"/>
      <c r="G38" s="68" t="s">
        <v>285</v>
      </c>
      <c r="H38" s="69">
        <f t="shared" si="9"/>
        <v>0</v>
      </c>
      <c r="I38" s="70">
        <f t="shared" si="10"/>
        <v>0</v>
      </c>
      <c r="J38" s="73" t="str">
        <f t="shared" si="11"/>
        <v>--</v>
      </c>
      <c r="K38" s="32"/>
      <c r="L38" s="233"/>
      <c r="M38" s="278"/>
      <c r="N38" s="278"/>
      <c r="O38" s="278"/>
      <c r="P38" s="278"/>
      <c r="Q38" s="278"/>
      <c r="R38" s="278"/>
      <c r="S38" s="278"/>
      <c r="T38" s="278"/>
      <c r="U38" s="279"/>
      <c r="V38" s="103"/>
      <c r="W38" s="84">
        <f t="shared" si="16"/>
        <v>241</v>
      </c>
      <c r="X38" s="84"/>
      <c r="Y38" s="78">
        <f>SUM(E17:E38)</f>
        <v>240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 thickBot="1" x14ac:dyDescent="0.35">
      <c r="A39" s="88"/>
      <c r="B39" s="66" t="s">
        <v>311</v>
      </c>
      <c r="C39" s="67"/>
      <c r="D39" s="102"/>
      <c r="E39" s="32"/>
      <c r="F39" s="32"/>
      <c r="G39" s="68" t="s">
        <v>285</v>
      </c>
      <c r="H39" s="69">
        <f t="shared" si="9"/>
        <v>0</v>
      </c>
      <c r="I39" s="70">
        <f t="shared" si="10"/>
        <v>0</v>
      </c>
      <c r="J39" s="73" t="str">
        <f t="shared" si="11"/>
        <v>--</v>
      </c>
      <c r="K39" s="32"/>
      <c r="L39" s="233"/>
      <c r="M39" s="278"/>
      <c r="N39" s="278"/>
      <c r="O39" s="278"/>
      <c r="P39" s="278"/>
      <c r="Q39" s="278"/>
      <c r="R39" s="278"/>
      <c r="S39" s="278"/>
      <c r="T39" s="278"/>
      <c r="U39" s="279"/>
      <c r="V39" s="103"/>
      <c r="W39" s="84">
        <f t="shared" si="16"/>
        <v>241</v>
      </c>
      <c r="X39" s="84"/>
      <c r="Y39" s="78">
        <f>SUM(E17:E39)</f>
        <v>240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 thickBot="1" x14ac:dyDescent="0.35">
      <c r="A40" s="88"/>
      <c r="B40" s="66" t="s">
        <v>312</v>
      </c>
      <c r="C40" s="67"/>
      <c r="D40" s="102"/>
      <c r="E40" s="32"/>
      <c r="F40" s="32"/>
      <c r="G40" s="68" t="s">
        <v>285</v>
      </c>
      <c r="H40" s="69">
        <f t="shared" si="9"/>
        <v>0</v>
      </c>
      <c r="I40" s="70">
        <f t="shared" si="10"/>
        <v>0</v>
      </c>
      <c r="J40" s="73" t="str">
        <f t="shared" si="11"/>
        <v>--</v>
      </c>
      <c r="K40" s="32"/>
      <c r="L40" s="233"/>
      <c r="M40" s="278"/>
      <c r="N40" s="278"/>
      <c r="O40" s="278"/>
      <c r="P40" s="278"/>
      <c r="Q40" s="278"/>
      <c r="R40" s="278"/>
      <c r="S40" s="278"/>
      <c r="T40" s="278"/>
      <c r="U40" s="279"/>
      <c r="V40" s="103"/>
      <c r="W40" s="84">
        <f t="shared" si="16"/>
        <v>241</v>
      </c>
      <c r="X40" s="84"/>
      <c r="Y40" s="78">
        <f>SUM(E17:E40)</f>
        <v>240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 thickBot="1" x14ac:dyDescent="0.35">
      <c r="A41" s="88"/>
      <c r="B41" s="66" t="s">
        <v>313</v>
      </c>
      <c r="C41" s="67"/>
      <c r="D41" s="102"/>
      <c r="E41" s="32"/>
      <c r="F41" s="32"/>
      <c r="G41" s="68" t="s">
        <v>285</v>
      </c>
      <c r="H41" s="69">
        <f t="shared" si="9"/>
        <v>0</v>
      </c>
      <c r="I41" s="70">
        <f t="shared" si="10"/>
        <v>0</v>
      </c>
      <c r="J41" s="73" t="str">
        <f t="shared" si="11"/>
        <v>--</v>
      </c>
      <c r="K41" s="32"/>
      <c r="L41" s="234"/>
      <c r="M41" s="278"/>
      <c r="N41" s="278"/>
      <c r="O41" s="278"/>
      <c r="P41" s="278"/>
      <c r="Q41" s="278"/>
      <c r="R41" s="278"/>
      <c r="S41" s="278"/>
      <c r="T41" s="278"/>
      <c r="U41" s="279"/>
      <c r="V41" s="103"/>
      <c r="W41" s="72"/>
      <c r="X41" s="72"/>
      <c r="Y41" s="78">
        <f>SUM(E17:E41)</f>
        <v>240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2" thickBot="1" x14ac:dyDescent="0.35">
      <c r="A42" s="88"/>
      <c r="B42" s="319" t="s">
        <v>314</v>
      </c>
      <c r="C42" s="320"/>
      <c r="D42" s="79"/>
      <c r="E42" s="80"/>
      <c r="F42" s="80"/>
      <c r="G42" s="81"/>
      <c r="H42" s="192"/>
      <c r="I42" s="192"/>
      <c r="J42" s="192"/>
      <c r="K42" s="82"/>
      <c r="L42" s="198" t="s">
        <v>261</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3">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3">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 thickBot="1" x14ac:dyDescent="0.35">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5">
      <c r="A46" s="88"/>
      <c r="B46" s="85" t="s">
        <v>315</v>
      </c>
      <c r="C46" s="25"/>
      <c r="D46" s="25"/>
      <c r="E46" s="25"/>
      <c r="F46" s="88"/>
      <c r="G46" s="25"/>
      <c r="H46" s="25"/>
      <c r="I46" s="86"/>
      <c r="J46" s="26"/>
      <c r="K46" s="25"/>
      <c r="L46" s="25"/>
      <c r="M46" s="196" t="s">
        <v>217</v>
      </c>
      <c r="N46" s="196" t="s">
        <v>218</v>
      </c>
      <c r="O46" s="196" t="s">
        <v>219</v>
      </c>
      <c r="P46" s="196" t="s">
        <v>220</v>
      </c>
      <c r="Q46" s="196" t="s">
        <v>221</v>
      </c>
      <c r="R46" s="196" t="s">
        <v>222</v>
      </c>
      <c r="S46" s="196" t="s">
        <v>223</v>
      </c>
      <c r="T46" s="196" t="s">
        <v>224</v>
      </c>
      <c r="U46" s="196" t="s">
        <v>225</v>
      </c>
      <c r="V46" s="196" t="s">
        <v>226</v>
      </c>
      <c r="W46" s="113" t="s">
        <v>227</v>
      </c>
      <c r="X46" s="196" t="s">
        <v>228</v>
      </c>
      <c r="Y46" s="25"/>
      <c r="Z46" s="25"/>
      <c r="AA46" s="25"/>
      <c r="AB46" s="25"/>
      <c r="AC46" s="25"/>
      <c r="AD46" s="25"/>
      <c r="BA46" s="226"/>
    </row>
    <row r="47" spans="1:53" ht="15.6" thickTop="1" thickBot="1" x14ac:dyDescent="0.35">
      <c r="A47" s="88"/>
      <c r="B47" s="312" t="s">
        <v>229</v>
      </c>
      <c r="C47" s="313"/>
      <c r="D47" s="314" t="s">
        <v>230</v>
      </c>
      <c r="E47" s="305"/>
      <c r="F47" s="88"/>
      <c r="G47" s="315" t="s">
        <v>231</v>
      </c>
      <c r="H47" s="316"/>
      <c r="I47" s="28">
        <f>SUM(E58:E82)</f>
        <v>168</v>
      </c>
      <c r="J47" s="317" t="s">
        <v>232</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233</v>
      </c>
      <c r="AA47" s="296"/>
      <c r="AB47" s="297"/>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234</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5">
      <c r="A48" s="88"/>
      <c r="B48" s="29" t="s">
        <v>235</v>
      </c>
      <c r="C48" s="30">
        <v>0</v>
      </c>
      <c r="D48" s="31" t="s">
        <v>236</v>
      </c>
      <c r="E48" s="66" t="str">
        <f>TEXT(IF('Cable Calculator'!I7="","",'Cable Calculator'!I7),)</f>
        <v/>
      </c>
      <c r="F48" s="88"/>
      <c r="G48" s="304" t="s">
        <v>237</v>
      </c>
      <c r="H48" s="305"/>
      <c r="I48" s="33">
        <f>E49-I47</f>
        <v>48</v>
      </c>
      <c r="J48" s="289" t="s">
        <v>238</v>
      </c>
      <c r="K48" s="290"/>
      <c r="L48" s="34">
        <f>I52</f>
        <v>121</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239</v>
      </c>
      <c r="AA48" s="300" t="s">
        <v>240</v>
      </c>
      <c r="AB48" s="301"/>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241</v>
      </c>
      <c r="AU48" s="109">
        <f>COUNTIFS($E48,"SS",$AS48,"Y")</f>
        <v>0</v>
      </c>
      <c r="AV48" s="111">
        <f>COUNTIFS($E48,"RPX",$AS48,"Y")</f>
        <v>0</v>
      </c>
      <c r="AW48" s="111">
        <f>COUNTIFS($E48,"EUC",$AS48,"Y")</f>
        <v>0</v>
      </c>
      <c r="AX48" s="109">
        <f>COUNTIFS($E48,"RPX-T",$AS48,"Y")</f>
        <v>0</v>
      </c>
      <c r="BA48" s="227"/>
    </row>
    <row r="49" spans="1:53" ht="15.6" thickTop="1" thickBot="1" x14ac:dyDescent="0.35">
      <c r="A49" s="88"/>
      <c r="B49" s="36" t="s">
        <v>242</v>
      </c>
      <c r="C49" s="37">
        <v>0</v>
      </c>
      <c r="D49" s="38" t="s">
        <v>243</v>
      </c>
      <c r="E49" s="32">
        <v>216</v>
      </c>
      <c r="F49" s="88"/>
      <c r="G49" s="291" t="s">
        <v>244</v>
      </c>
      <c r="H49" s="292"/>
      <c r="I49" s="35">
        <f>IF(E49=0,0,12-(MOD(I47,12)))</f>
        <v>12</v>
      </c>
      <c r="J49" s="289" t="s">
        <v>245</v>
      </c>
      <c r="K49" s="290"/>
      <c r="L49" s="39">
        <f>I53-I47</f>
        <v>120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246</v>
      </c>
      <c r="AU49" s="109">
        <f>COUNTIFS($E48,"SS",$AS49,"Y")</f>
        <v>0</v>
      </c>
      <c r="AV49" s="108">
        <f>COUNTIFS($E48,"RPX",$AS49,"Y")</f>
        <v>0</v>
      </c>
      <c r="AW49" s="108">
        <f>COUNTIFS($E48,"EUC",$AS49,"Y")</f>
        <v>0</v>
      </c>
      <c r="AX49" s="109">
        <f>COUNTIFS($E48,"RPX-T",$AS49,"Y")</f>
        <v>0</v>
      </c>
      <c r="BA49" s="227"/>
    </row>
    <row r="50" spans="1:53" ht="16.5" customHeight="1" thickTop="1" thickBot="1" x14ac:dyDescent="0.35">
      <c r="A50" s="88"/>
      <c r="B50" s="40" t="s">
        <v>247</v>
      </c>
      <c r="C50" s="30">
        <v>0</v>
      </c>
      <c r="D50" s="41" t="s">
        <v>248</v>
      </c>
      <c r="E50" s="42">
        <v>48</v>
      </c>
      <c r="F50" s="88"/>
      <c r="G50" s="321" t="s">
        <v>249</v>
      </c>
      <c r="H50" s="43" t="s">
        <v>250</v>
      </c>
      <c r="I50" s="35">
        <f>IF(E50&lt;&gt;0,1,0)</f>
        <v>1</v>
      </c>
      <c r="J50" s="291" t="s">
        <v>251</v>
      </c>
      <c r="K50" s="292"/>
      <c r="L50" s="44">
        <f>'Cable Calculator'!I3</f>
        <v>760</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252</v>
      </c>
      <c r="AU50" s="109">
        <f>COUNTIFS($E48,"SS",$AS50,"Y")</f>
        <v>0</v>
      </c>
      <c r="AV50" s="108">
        <f>COUNTIFS($E48,"RPX",$AS50,"Y")</f>
        <v>0</v>
      </c>
      <c r="AW50" s="108">
        <f>COUNTIFS($E48,"EUC",$AS50,"Y")</f>
        <v>0</v>
      </c>
      <c r="AX50" s="109">
        <f>COUNTIFS($E48,"RPX-T",$AS50,"Y")</f>
        <v>0</v>
      </c>
      <c r="BA50" s="227"/>
    </row>
    <row r="51" spans="1:53" ht="15.6" thickTop="1" thickBot="1" x14ac:dyDescent="0.35">
      <c r="A51" s="88"/>
      <c r="B51" s="29" t="s">
        <v>253</v>
      </c>
      <c r="C51" s="37">
        <v>0</v>
      </c>
      <c r="D51" s="41" t="s">
        <v>254</v>
      </c>
      <c r="E51" s="42">
        <v>121</v>
      </c>
      <c r="F51" s="88"/>
      <c r="G51" s="322"/>
      <c r="H51" s="47" t="s">
        <v>255</v>
      </c>
      <c r="I51" s="35">
        <f>IF(E50&lt;&gt;0,E50,0)</f>
        <v>48</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5">
      <c r="A52" s="88"/>
      <c r="B52" s="36" t="s">
        <v>256</v>
      </c>
      <c r="C52" s="30">
        <v>0</v>
      </c>
      <c r="D52" s="49" t="s">
        <v>257</v>
      </c>
      <c r="E52" s="50">
        <f>E49/12</f>
        <v>18</v>
      </c>
      <c r="F52" s="88"/>
      <c r="G52" s="321" t="s">
        <v>258</v>
      </c>
      <c r="H52" s="51" t="s">
        <v>259</v>
      </c>
      <c r="I52" s="112">
        <f>E51</f>
        <v>121</v>
      </c>
      <c r="J52" s="323" t="s">
        <v>260</v>
      </c>
      <c r="K52" s="324"/>
      <c r="L52" s="325"/>
      <c r="M52" s="52" t="s">
        <v>261</v>
      </c>
      <c r="N52" s="106"/>
      <c r="O52" s="106"/>
      <c r="P52" s="192"/>
      <c r="Q52" s="192"/>
      <c r="R52" s="192"/>
      <c r="S52" s="192"/>
      <c r="T52" s="192"/>
      <c r="U52" s="192"/>
      <c r="V52" s="192"/>
      <c r="W52" s="53">
        <f>SUM(P52:U52)</f>
        <v>0</v>
      </c>
      <c r="X52" s="54"/>
      <c r="Y52" s="25"/>
      <c r="Z52" s="45">
        <v>3</v>
      </c>
      <c r="AA52" s="46">
        <v>25</v>
      </c>
      <c r="AB52" s="46">
        <v>36</v>
      </c>
      <c r="AC52" s="25"/>
      <c r="AD52" s="25"/>
      <c r="BA52" s="227"/>
    </row>
    <row r="53" spans="1:53" ht="15.6" thickTop="1" thickBot="1" x14ac:dyDescent="0.35">
      <c r="A53" s="88"/>
      <c r="B53" s="36" t="s">
        <v>262</v>
      </c>
      <c r="C53" s="30">
        <v>0</v>
      </c>
      <c r="D53" s="31" t="s">
        <v>263</v>
      </c>
      <c r="E53" s="101" t="str">
        <f>IF('Cable Calculator'!I5="","",'Cable Calculator'!I5)</f>
        <v>N</v>
      </c>
      <c r="F53" s="88"/>
      <c r="G53" s="322"/>
      <c r="H53" s="47" t="s">
        <v>264</v>
      </c>
      <c r="I53" s="35">
        <f>IF(E51="","0",IF(AND(E48="EUC",E49=432), I52+(203-E50),IF(E51=0,0,(E51+(E49-E50)-1))))</f>
        <v>288</v>
      </c>
      <c r="J53" s="286" t="str">
        <f>IFERROR(IF(OR(E48="EUC",E48="SS"),"---",IF(OR(P47,S47),"NO 2F Tethers for RPX!",IF(OR(P49,S49),"NO 6F Tethers for RPX!","---"))),"---")</f>
        <v>---</v>
      </c>
      <c r="K53" s="287"/>
      <c r="L53" s="288"/>
      <c r="M53" s="286" t="str">
        <f>IF(E50&gt;60,"Dead Count &gt;60: Consider Downsize","---")</f>
        <v>---</v>
      </c>
      <c r="N53" s="287"/>
      <c r="O53" s="287"/>
      <c r="P53" s="287"/>
      <c r="Q53" s="287"/>
      <c r="R53" s="287"/>
      <c r="S53" s="287"/>
      <c r="T53" s="287"/>
      <c r="U53" s="288"/>
      <c r="V53" s="100"/>
      <c r="W53" s="54">
        <f>SUM(P53:U53)</f>
        <v>0</v>
      </c>
      <c r="X53" s="54"/>
      <c r="Y53" s="25"/>
      <c r="Z53" s="45">
        <v>4</v>
      </c>
      <c r="AA53" s="46">
        <v>37</v>
      </c>
      <c r="AB53" s="46">
        <v>48</v>
      </c>
      <c r="AC53" s="25"/>
      <c r="AD53" s="25"/>
      <c r="BA53" s="227"/>
    </row>
    <row r="54" spans="1:53" ht="15.6" thickTop="1" thickBot="1" x14ac:dyDescent="0.35">
      <c r="A54" s="88"/>
      <c r="B54" s="55" t="s">
        <v>265</v>
      </c>
      <c r="C54" s="56">
        <f>SUM(C48:C53)+I47</f>
        <v>168</v>
      </c>
      <c r="D54" s="31" t="s">
        <v>266</v>
      </c>
      <c r="E54" s="101" t="str">
        <f>IF(AS48="Y","DBL",IF(AS49="Y","TRPL",IF(AS50="Y","QUAD","")))</f>
        <v/>
      </c>
      <c r="F54" s="88"/>
      <c r="G54" s="192"/>
      <c r="H54" s="57"/>
      <c r="I54" s="192"/>
      <c r="J54" s="286"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7"/>
      <c r="L54" s="288"/>
      <c r="M54" s="286" t="str">
        <f>IF(AND(OR(E48="SS",E48="RPX",E48="EUC",E48="RPX-T"),(OR(C58="",C58="Field SPL"))),"Cannot have FlexNap cables without tethers","---")</f>
        <v>---</v>
      </c>
      <c r="N54" s="287"/>
      <c r="O54" s="287"/>
      <c r="P54" s="287"/>
      <c r="Q54" s="287"/>
      <c r="R54" s="287"/>
      <c r="S54" s="287"/>
      <c r="T54" s="287"/>
      <c r="U54" s="288"/>
      <c r="V54" s="25"/>
      <c r="W54" s="58"/>
      <c r="X54" s="58"/>
      <c r="Y54" s="25"/>
      <c r="Z54" s="45">
        <v>5</v>
      </c>
      <c r="AA54" s="46">
        <v>49</v>
      </c>
      <c r="AB54" s="46">
        <v>60</v>
      </c>
      <c r="AC54" s="25"/>
      <c r="AD54" s="25"/>
      <c r="BA54" s="227"/>
    </row>
    <row r="55" spans="1:53" ht="15.6" thickTop="1" thickBot="1" x14ac:dyDescent="0.35">
      <c r="A55" s="88"/>
      <c r="B55" s="59"/>
      <c r="C55" s="60"/>
      <c r="D55" s="61"/>
      <c r="E55" s="62"/>
      <c r="F55" s="88"/>
      <c r="G55" s="63"/>
      <c r="H55" s="64"/>
      <c r="I55" s="63"/>
      <c r="J55" s="286" t="str">
        <f>IF(AND(OR(E48="RPX", E48="RPX-T", E48="SS"),E49=216),"NO 216 For RPX, RPX-T, OR SS CABLE","---")</f>
        <v>---</v>
      </c>
      <c r="K55" s="287"/>
      <c r="L55" s="288"/>
      <c r="M55" s="286" t="str" cm="1">
        <f t="array" ref="M55">IF(AND(E48="",OR(C58:C82="FST",C58:C82="REV T",C58:C82="DBL REV",C58:C82="TPL REV", C58:C82="QD REV")),"Non-FlexNap cables cannot have tethers","---")</f>
        <v>---</v>
      </c>
      <c r="N55" s="287"/>
      <c r="O55" s="287"/>
      <c r="P55" s="287"/>
      <c r="Q55" s="287"/>
      <c r="R55" s="287"/>
      <c r="S55" s="287"/>
      <c r="T55" s="287"/>
      <c r="U55" s="288"/>
      <c r="V55" s="25"/>
      <c r="W55" s="58"/>
      <c r="X55" s="58"/>
      <c r="Y55" s="25"/>
      <c r="Z55" s="45">
        <v>6</v>
      </c>
      <c r="AA55" s="65">
        <v>61</v>
      </c>
      <c r="AB55" s="65">
        <v>72</v>
      </c>
      <c r="AC55" s="25"/>
      <c r="AD55" s="25"/>
      <c r="BA55" s="226"/>
    </row>
    <row r="56" spans="1:53" ht="15.75" customHeight="1" thickBot="1" x14ac:dyDescent="0.35">
      <c r="A56" s="88"/>
      <c r="B56" s="321" t="s">
        <v>267</v>
      </c>
      <c r="C56" s="293" t="s">
        <v>268</v>
      </c>
      <c r="D56" s="293" t="s">
        <v>269</v>
      </c>
      <c r="E56" s="306" t="s">
        <v>270</v>
      </c>
      <c r="F56" s="293" t="s">
        <v>271</v>
      </c>
      <c r="G56" s="308" t="s">
        <v>272</v>
      </c>
      <c r="H56" s="308" t="s">
        <v>273</v>
      </c>
      <c r="I56" s="308" t="s">
        <v>274</v>
      </c>
      <c r="J56" s="310" t="s">
        <v>275</v>
      </c>
      <c r="K56" s="293" t="s">
        <v>276</v>
      </c>
      <c r="L56" s="280" t="s">
        <v>277</v>
      </c>
      <c r="M56" s="282" t="s">
        <v>278</v>
      </c>
      <c r="N56" s="282"/>
      <c r="O56" s="282"/>
      <c r="P56" s="282"/>
      <c r="Q56" s="282"/>
      <c r="R56" s="282"/>
      <c r="S56" s="282"/>
      <c r="T56" s="282"/>
      <c r="U56" s="283"/>
      <c r="V56" s="107"/>
      <c r="W56" s="72"/>
      <c r="X56" s="72"/>
      <c r="Y56" s="72"/>
      <c r="Z56" s="45">
        <v>7</v>
      </c>
      <c r="AA56" s="65">
        <v>73</v>
      </c>
      <c r="AB56" s="65">
        <v>84</v>
      </c>
      <c r="AC56" s="25"/>
      <c r="AD56" s="25"/>
      <c r="BA56" s="228"/>
    </row>
    <row r="57" spans="1:53" ht="15" thickBot="1" x14ac:dyDescent="0.35">
      <c r="A57" s="88"/>
      <c r="B57" s="322"/>
      <c r="C57" s="294"/>
      <c r="D57" s="294"/>
      <c r="E57" s="307"/>
      <c r="F57" s="294"/>
      <c r="G57" s="309"/>
      <c r="H57" s="309"/>
      <c r="I57" s="309"/>
      <c r="J57" s="311"/>
      <c r="K57" s="294"/>
      <c r="L57" s="281"/>
      <c r="M57" s="284"/>
      <c r="N57" s="284"/>
      <c r="O57" s="284"/>
      <c r="P57" s="284"/>
      <c r="Q57" s="284"/>
      <c r="R57" s="284"/>
      <c r="S57" s="284"/>
      <c r="T57" s="284"/>
      <c r="U57" s="285"/>
      <c r="V57" s="107"/>
      <c r="W57" s="72"/>
      <c r="X57" s="72"/>
      <c r="Y57" s="72"/>
      <c r="Z57" s="45">
        <v>8</v>
      </c>
      <c r="AA57" s="46">
        <v>85</v>
      </c>
      <c r="AB57" s="46">
        <v>96</v>
      </c>
      <c r="AC57" s="25"/>
      <c r="AD57" s="25"/>
      <c r="AI57" s="109" t="s">
        <v>279</v>
      </c>
      <c r="AJ57" s="109" t="s">
        <v>280</v>
      </c>
      <c r="AK57" s="109" t="s">
        <v>281</v>
      </c>
      <c r="AL57" s="109" t="s">
        <v>282</v>
      </c>
      <c r="BA57" s="228"/>
    </row>
    <row r="58" spans="1:53" ht="15" thickBot="1" x14ac:dyDescent="0.35">
      <c r="A58" s="88"/>
      <c r="B58" s="66" t="s">
        <v>283</v>
      </c>
      <c r="C58" s="67" t="s">
        <v>284</v>
      </c>
      <c r="D58" s="102"/>
      <c r="E58" s="32">
        <v>36</v>
      </c>
      <c r="F58" s="32"/>
      <c r="G58" s="68" t="s">
        <v>285</v>
      </c>
      <c r="H58" s="69">
        <f>IF(I58=0,0,I58-(E58-1))</f>
        <v>253</v>
      </c>
      <c r="I58" s="70">
        <f>IF(E58=0,0,I53)</f>
        <v>288</v>
      </c>
      <c r="J58" s="71" t="s">
        <v>286</v>
      </c>
      <c r="K58" s="32"/>
      <c r="L58" s="233"/>
      <c r="M58" s="278" t="s">
        <v>316</v>
      </c>
      <c r="N58" s="278"/>
      <c r="O58" s="278"/>
      <c r="P58" s="278"/>
      <c r="Q58" s="278"/>
      <c r="R58" s="278"/>
      <c r="S58" s="278"/>
      <c r="T58" s="278"/>
      <c r="U58" s="279"/>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253-288</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 thickBot="1" x14ac:dyDescent="0.35">
      <c r="A59" s="88"/>
      <c r="B59" s="66" t="s">
        <v>288</v>
      </c>
      <c r="C59" s="67" t="s">
        <v>284</v>
      </c>
      <c r="D59" s="102"/>
      <c r="E59" s="32">
        <v>132</v>
      </c>
      <c r="F59" s="32"/>
      <c r="G59" s="68" t="s">
        <v>285</v>
      </c>
      <c r="H59" s="69">
        <f t="shared" ref="H59:H82" si="26">IF(E59=0,0,I59-(E59-1))</f>
        <v>121</v>
      </c>
      <c r="I59" s="70">
        <f t="shared" ref="I59:I82" si="27">IF(E59=0,0,H58-1)</f>
        <v>252</v>
      </c>
      <c r="J59" s="73" t="str">
        <f>IF(C59="","--",IF(AND(C59&lt;&gt;"FST",C59&lt;&gt;"TCF",BA58&lt;&gt;0),BA58,"--"))</f>
        <v>--</v>
      </c>
      <c r="K59" s="32"/>
      <c r="L59" s="233"/>
      <c r="M59" s="278" t="s">
        <v>317</v>
      </c>
      <c r="N59" s="278"/>
      <c r="O59" s="278"/>
      <c r="P59" s="278"/>
      <c r="Q59" s="278"/>
      <c r="R59" s="278"/>
      <c r="S59" s="278"/>
      <c r="T59" s="278"/>
      <c r="U59" s="279"/>
      <c r="V59" s="103"/>
      <c r="W59" s="72"/>
      <c r="X59" s="72"/>
      <c r="Y59" s="72"/>
      <c r="Z59" s="45">
        <v>10</v>
      </c>
      <c r="AA59" s="46">
        <v>109</v>
      </c>
      <c r="AB59" s="46">
        <v>120</v>
      </c>
      <c r="AC59" s="72">
        <f t="shared" si="17"/>
        <v>1</v>
      </c>
      <c r="AD59" s="72">
        <f t="shared" si="18"/>
        <v>1</v>
      </c>
      <c r="AE59" s="109" t="str">
        <f t="shared" si="19"/>
        <v>121-252</v>
      </c>
      <c r="AF59" s="109" t="str">
        <f t="shared" si="20"/>
        <v>N</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 thickBot="1" x14ac:dyDescent="0.35">
      <c r="A60" s="88"/>
      <c r="B60" s="74" t="s">
        <v>290</v>
      </c>
      <c r="C60" s="67"/>
      <c r="D60" s="102"/>
      <c r="E60" s="32"/>
      <c r="F60" s="32"/>
      <c r="G60" s="75" t="s">
        <v>285</v>
      </c>
      <c r="H60" s="69">
        <f t="shared" si="26"/>
        <v>0</v>
      </c>
      <c r="I60" s="70">
        <f t="shared" si="27"/>
        <v>0</v>
      </c>
      <c r="J60" s="73" t="str">
        <f t="shared" ref="J60:J82" si="28">IF(C60="","--",IF(AND(C60&lt;&gt;"FST",C60&lt;&gt;"TCF",BA59&lt;&gt;0),BA59,"--"))</f>
        <v>--</v>
      </c>
      <c r="K60" s="32"/>
      <c r="L60" s="233"/>
      <c r="M60" s="278"/>
      <c r="N60" s="278"/>
      <c r="O60" s="278"/>
      <c r="P60" s="278"/>
      <c r="Q60" s="278"/>
      <c r="R60" s="278"/>
      <c r="S60" s="278"/>
      <c r="T60" s="278"/>
      <c r="U60" s="279"/>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 thickBot="1" x14ac:dyDescent="0.35">
      <c r="A61" s="88"/>
      <c r="B61" s="66" t="s">
        <v>292</v>
      </c>
      <c r="C61" s="67"/>
      <c r="D61" s="102"/>
      <c r="E61" s="32"/>
      <c r="F61" s="32"/>
      <c r="G61" s="68" t="s">
        <v>285</v>
      </c>
      <c r="H61" s="69">
        <f t="shared" si="26"/>
        <v>0</v>
      </c>
      <c r="I61" s="70">
        <f t="shared" si="27"/>
        <v>0</v>
      </c>
      <c r="J61" s="73" t="str">
        <f t="shared" si="28"/>
        <v>--</v>
      </c>
      <c r="K61" s="32"/>
      <c r="L61" s="233"/>
      <c r="M61" s="278"/>
      <c r="N61" s="278"/>
      <c r="O61" s="278"/>
      <c r="P61" s="278"/>
      <c r="Q61" s="278"/>
      <c r="R61" s="278"/>
      <c r="S61" s="278"/>
      <c r="T61" s="278"/>
      <c r="U61" s="279"/>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 thickBot="1" x14ac:dyDescent="0.35">
      <c r="A62" s="88"/>
      <c r="B62" s="66" t="s">
        <v>293</v>
      </c>
      <c r="C62" s="67"/>
      <c r="D62" s="102"/>
      <c r="E62" s="32"/>
      <c r="F62" s="32"/>
      <c r="G62" s="68" t="s">
        <v>285</v>
      </c>
      <c r="H62" s="69">
        <f t="shared" si="26"/>
        <v>0</v>
      </c>
      <c r="I62" s="70">
        <f t="shared" si="27"/>
        <v>0</v>
      </c>
      <c r="J62" s="73" t="str">
        <f t="shared" si="28"/>
        <v>--</v>
      </c>
      <c r="K62" s="32"/>
      <c r="L62" s="233"/>
      <c r="M62" s="278"/>
      <c r="N62" s="278"/>
      <c r="O62" s="278"/>
      <c r="P62" s="278"/>
      <c r="Q62" s="278"/>
      <c r="R62" s="278"/>
      <c r="S62" s="278"/>
      <c r="T62" s="278"/>
      <c r="U62" s="279"/>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 thickBot="1" x14ac:dyDescent="0.35">
      <c r="A63" s="88"/>
      <c r="B63" s="66" t="s">
        <v>294</v>
      </c>
      <c r="C63" s="67"/>
      <c r="D63" s="102"/>
      <c r="E63" s="32"/>
      <c r="F63" s="32"/>
      <c r="G63" s="68" t="s">
        <v>285</v>
      </c>
      <c r="H63" s="69">
        <f t="shared" si="26"/>
        <v>0</v>
      </c>
      <c r="I63" s="70">
        <f t="shared" si="27"/>
        <v>0</v>
      </c>
      <c r="J63" s="73" t="str">
        <f t="shared" si="28"/>
        <v>--</v>
      </c>
      <c r="K63" s="32"/>
      <c r="L63" s="233"/>
      <c r="M63" s="278"/>
      <c r="N63" s="278"/>
      <c r="O63" s="278"/>
      <c r="P63" s="278"/>
      <c r="Q63" s="278"/>
      <c r="R63" s="278"/>
      <c r="S63" s="278"/>
      <c r="T63" s="278"/>
      <c r="U63" s="27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 thickBot="1" x14ac:dyDescent="0.35">
      <c r="A64" s="88"/>
      <c r="B64" s="66" t="s">
        <v>295</v>
      </c>
      <c r="C64" s="67"/>
      <c r="D64" s="102"/>
      <c r="E64" s="32"/>
      <c r="F64" s="32"/>
      <c r="G64" s="68" t="s">
        <v>285</v>
      </c>
      <c r="H64" s="69">
        <f t="shared" si="26"/>
        <v>0</v>
      </c>
      <c r="I64" s="70">
        <f t="shared" si="27"/>
        <v>0</v>
      </c>
      <c r="J64" s="73" t="str">
        <f t="shared" si="28"/>
        <v>--</v>
      </c>
      <c r="K64" s="32"/>
      <c r="L64" s="233"/>
      <c r="M64" s="278"/>
      <c r="N64" s="278"/>
      <c r="O64" s="278"/>
      <c r="P64" s="278"/>
      <c r="Q64" s="278"/>
      <c r="R64" s="278"/>
      <c r="S64" s="278"/>
      <c r="T64" s="278"/>
      <c r="U64" s="27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 thickBot="1" x14ac:dyDescent="0.35">
      <c r="A65" s="88"/>
      <c r="B65" s="66" t="s">
        <v>296</v>
      </c>
      <c r="C65" s="67"/>
      <c r="D65" s="102"/>
      <c r="E65" s="32"/>
      <c r="F65" s="32"/>
      <c r="G65" s="68" t="s">
        <v>285</v>
      </c>
      <c r="H65" s="69">
        <f t="shared" si="26"/>
        <v>0</v>
      </c>
      <c r="I65" s="70">
        <f t="shared" si="27"/>
        <v>0</v>
      </c>
      <c r="J65" s="73" t="str">
        <f t="shared" si="28"/>
        <v>--</v>
      </c>
      <c r="K65" s="32"/>
      <c r="L65" s="233"/>
      <c r="M65" s="278"/>
      <c r="N65" s="278"/>
      <c r="O65" s="278"/>
      <c r="P65" s="278"/>
      <c r="Q65" s="278"/>
      <c r="R65" s="278"/>
      <c r="S65" s="278"/>
      <c r="T65" s="278"/>
      <c r="U65" s="27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 thickBot="1" x14ac:dyDescent="0.35">
      <c r="A66" s="88"/>
      <c r="B66" s="66" t="s">
        <v>297</v>
      </c>
      <c r="C66" s="67"/>
      <c r="D66" s="102"/>
      <c r="E66" s="32"/>
      <c r="F66" s="32"/>
      <c r="G66" s="68" t="s">
        <v>285</v>
      </c>
      <c r="H66" s="69">
        <f t="shared" si="26"/>
        <v>0</v>
      </c>
      <c r="I66" s="70">
        <f t="shared" si="27"/>
        <v>0</v>
      </c>
      <c r="J66" s="73" t="str">
        <f t="shared" si="28"/>
        <v>--</v>
      </c>
      <c r="K66" s="32"/>
      <c r="L66" s="233"/>
      <c r="M66" s="278"/>
      <c r="N66" s="278"/>
      <c r="O66" s="278"/>
      <c r="P66" s="278"/>
      <c r="Q66" s="278"/>
      <c r="R66" s="278"/>
      <c r="S66" s="278"/>
      <c r="T66" s="278"/>
      <c r="U66" s="27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 thickBot="1" x14ac:dyDescent="0.35">
      <c r="A67" s="88"/>
      <c r="B67" s="66" t="s">
        <v>298</v>
      </c>
      <c r="C67" s="67"/>
      <c r="D67" s="102"/>
      <c r="E67" s="32"/>
      <c r="F67" s="32"/>
      <c r="G67" s="68" t="s">
        <v>285</v>
      </c>
      <c r="H67" s="69">
        <f t="shared" si="26"/>
        <v>0</v>
      </c>
      <c r="I67" s="70">
        <f t="shared" si="27"/>
        <v>0</v>
      </c>
      <c r="J67" s="73" t="str">
        <f t="shared" si="28"/>
        <v>--</v>
      </c>
      <c r="K67" s="32"/>
      <c r="L67" s="233"/>
      <c r="M67" s="278"/>
      <c r="N67" s="278"/>
      <c r="O67" s="278"/>
      <c r="P67" s="278"/>
      <c r="Q67" s="278"/>
      <c r="R67" s="278"/>
      <c r="S67" s="278"/>
      <c r="T67" s="278"/>
      <c r="U67" s="27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 thickBot="1" x14ac:dyDescent="0.35">
      <c r="A68" s="88"/>
      <c r="B68" s="66" t="s">
        <v>299</v>
      </c>
      <c r="C68" s="67"/>
      <c r="D68" s="102"/>
      <c r="E68" s="32"/>
      <c r="F68" s="32"/>
      <c r="G68" s="68" t="s">
        <v>285</v>
      </c>
      <c r="H68" s="69">
        <f t="shared" si="26"/>
        <v>0</v>
      </c>
      <c r="I68" s="70">
        <f t="shared" si="27"/>
        <v>0</v>
      </c>
      <c r="J68" s="73" t="str">
        <f t="shared" si="28"/>
        <v>--</v>
      </c>
      <c r="K68" s="32"/>
      <c r="L68" s="233"/>
      <c r="M68" s="278"/>
      <c r="N68" s="278"/>
      <c r="O68" s="278"/>
      <c r="P68" s="278"/>
      <c r="Q68" s="278"/>
      <c r="R68" s="278"/>
      <c r="S68" s="278"/>
      <c r="T68" s="278"/>
      <c r="U68" s="279"/>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 thickBot="1" x14ac:dyDescent="0.35">
      <c r="A69" s="88"/>
      <c r="B69" s="66" t="s">
        <v>300</v>
      </c>
      <c r="C69" s="67"/>
      <c r="D69" s="102"/>
      <c r="E69" s="32"/>
      <c r="F69" s="32"/>
      <c r="G69" s="68" t="s">
        <v>285</v>
      </c>
      <c r="H69" s="69">
        <f t="shared" si="26"/>
        <v>0</v>
      </c>
      <c r="I69" s="70">
        <f t="shared" si="27"/>
        <v>0</v>
      </c>
      <c r="J69" s="73" t="str">
        <f t="shared" si="28"/>
        <v>--</v>
      </c>
      <c r="K69" s="32"/>
      <c r="L69" s="233"/>
      <c r="M69" s="278"/>
      <c r="N69" s="278"/>
      <c r="O69" s="278"/>
      <c r="P69" s="278"/>
      <c r="Q69" s="278"/>
      <c r="R69" s="278"/>
      <c r="S69" s="278"/>
      <c r="T69" s="278"/>
      <c r="U69" s="279"/>
      <c r="V69" s="103"/>
      <c r="W69" s="84">
        <f>Y69+1</f>
        <v>169</v>
      </c>
      <c r="X69" s="84"/>
      <c r="Y69" s="78">
        <f>SUM(E58:E69)</f>
        <v>168</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 thickBot="1" x14ac:dyDescent="0.35">
      <c r="A70" s="88"/>
      <c r="B70" s="66" t="s">
        <v>301</v>
      </c>
      <c r="C70" s="67"/>
      <c r="D70" s="102"/>
      <c r="E70" s="32"/>
      <c r="F70" s="32"/>
      <c r="G70" s="68" t="s">
        <v>285</v>
      </c>
      <c r="H70" s="69">
        <f t="shared" si="26"/>
        <v>0</v>
      </c>
      <c r="I70" s="70">
        <f t="shared" si="27"/>
        <v>0</v>
      </c>
      <c r="J70" s="73" t="str">
        <f t="shared" si="28"/>
        <v>--</v>
      </c>
      <c r="K70" s="32"/>
      <c r="L70" s="233"/>
      <c r="M70" s="278"/>
      <c r="N70" s="278"/>
      <c r="O70" s="278"/>
      <c r="P70" s="278"/>
      <c r="Q70" s="278"/>
      <c r="R70" s="278"/>
      <c r="S70" s="278"/>
      <c r="T70" s="278"/>
      <c r="U70" s="279"/>
      <c r="V70" s="103"/>
      <c r="W70" s="84">
        <f>Y70+1</f>
        <v>169</v>
      </c>
      <c r="X70" s="84"/>
      <c r="Y70" s="78">
        <f>SUM(E58:E70)</f>
        <v>168</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 thickBot="1" x14ac:dyDescent="0.35">
      <c r="A71" s="88"/>
      <c r="B71" s="66" t="s">
        <v>302</v>
      </c>
      <c r="C71" s="67"/>
      <c r="D71" s="102"/>
      <c r="E71" s="32"/>
      <c r="F71" s="32"/>
      <c r="G71" s="68" t="s">
        <v>285</v>
      </c>
      <c r="H71" s="69">
        <f t="shared" si="26"/>
        <v>0</v>
      </c>
      <c r="I71" s="70">
        <f t="shared" si="27"/>
        <v>0</v>
      </c>
      <c r="J71" s="73" t="str">
        <f t="shared" si="28"/>
        <v>--</v>
      </c>
      <c r="K71" s="32"/>
      <c r="L71" s="233"/>
      <c r="M71" s="278"/>
      <c r="N71" s="278"/>
      <c r="O71" s="278"/>
      <c r="P71" s="278"/>
      <c r="Q71" s="278"/>
      <c r="R71" s="278"/>
      <c r="S71" s="278"/>
      <c r="T71" s="278"/>
      <c r="U71" s="279"/>
      <c r="V71" s="103"/>
      <c r="W71" s="84">
        <f>Y71+1</f>
        <v>169</v>
      </c>
      <c r="X71" s="84"/>
      <c r="Y71" s="78">
        <f>SUM(E58:E71)</f>
        <v>168</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 thickBot="1" x14ac:dyDescent="0.35">
      <c r="A72" s="88"/>
      <c r="B72" s="66" t="s">
        <v>303</v>
      </c>
      <c r="C72" s="67"/>
      <c r="D72" s="102"/>
      <c r="E72" s="32"/>
      <c r="F72" s="32"/>
      <c r="G72" s="68" t="s">
        <v>285</v>
      </c>
      <c r="H72" s="69">
        <f t="shared" si="26"/>
        <v>0</v>
      </c>
      <c r="I72" s="70">
        <f t="shared" si="27"/>
        <v>0</v>
      </c>
      <c r="J72" s="73" t="str">
        <f t="shared" si="28"/>
        <v>--</v>
      </c>
      <c r="K72" s="32"/>
      <c r="L72" s="233"/>
      <c r="M72" s="278"/>
      <c r="N72" s="278"/>
      <c r="O72" s="278"/>
      <c r="P72" s="278"/>
      <c r="Q72" s="278"/>
      <c r="R72" s="278"/>
      <c r="S72" s="278"/>
      <c r="T72" s="278"/>
      <c r="U72" s="279"/>
      <c r="V72" s="103"/>
      <c r="W72" s="84">
        <f>Y72+1</f>
        <v>169</v>
      </c>
      <c r="X72" s="84"/>
      <c r="Y72" s="78">
        <f>SUM(E58:E72)</f>
        <v>168</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 thickBot="1" x14ac:dyDescent="0.35">
      <c r="A73" s="88"/>
      <c r="B73" s="66" t="s">
        <v>304</v>
      </c>
      <c r="C73" s="67"/>
      <c r="D73" s="102"/>
      <c r="E73" s="32"/>
      <c r="F73" s="32"/>
      <c r="G73" s="68" t="s">
        <v>285</v>
      </c>
      <c r="H73" s="69">
        <f t="shared" si="26"/>
        <v>0</v>
      </c>
      <c r="I73" s="70">
        <f t="shared" si="27"/>
        <v>0</v>
      </c>
      <c r="J73" s="73" t="str">
        <f t="shared" si="28"/>
        <v>--</v>
      </c>
      <c r="K73" s="32"/>
      <c r="L73" s="233"/>
      <c r="M73" s="278"/>
      <c r="N73" s="278"/>
      <c r="O73" s="278"/>
      <c r="P73" s="278"/>
      <c r="Q73" s="278"/>
      <c r="R73" s="278"/>
      <c r="S73" s="278"/>
      <c r="T73" s="278"/>
      <c r="U73" s="279"/>
      <c r="V73" s="103"/>
      <c r="W73" s="84">
        <f t="shared" ref="W73:W81" si="33">Y73+1</f>
        <v>169</v>
      </c>
      <c r="X73" s="84"/>
      <c r="Y73" s="78">
        <f>SUM(E58:E73)</f>
        <v>168</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 thickBot="1" x14ac:dyDescent="0.35">
      <c r="A74" s="88"/>
      <c r="B74" s="66" t="s">
        <v>305</v>
      </c>
      <c r="C74" s="67"/>
      <c r="D74" s="102"/>
      <c r="E74" s="32"/>
      <c r="F74" s="32"/>
      <c r="G74" s="68" t="s">
        <v>285</v>
      </c>
      <c r="H74" s="69">
        <f t="shared" si="26"/>
        <v>0</v>
      </c>
      <c r="I74" s="70">
        <f t="shared" si="27"/>
        <v>0</v>
      </c>
      <c r="J74" s="73" t="str">
        <f t="shared" si="28"/>
        <v>--</v>
      </c>
      <c r="K74" s="32"/>
      <c r="L74" s="233"/>
      <c r="M74" s="278"/>
      <c r="N74" s="278"/>
      <c r="O74" s="278"/>
      <c r="P74" s="278"/>
      <c r="Q74" s="278"/>
      <c r="R74" s="278"/>
      <c r="S74" s="278"/>
      <c r="T74" s="278"/>
      <c r="U74" s="279"/>
      <c r="V74" s="103"/>
      <c r="W74" s="84">
        <f t="shared" si="33"/>
        <v>169</v>
      </c>
      <c r="X74" s="84"/>
      <c r="Y74" s="78">
        <f>SUM(E58:E74)</f>
        <v>168</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 thickBot="1" x14ac:dyDescent="0.35">
      <c r="A75" s="88"/>
      <c r="B75" s="66" t="s">
        <v>306</v>
      </c>
      <c r="C75" s="67"/>
      <c r="D75" s="102"/>
      <c r="E75" s="32"/>
      <c r="F75" s="32"/>
      <c r="G75" s="68" t="s">
        <v>285</v>
      </c>
      <c r="H75" s="69">
        <f t="shared" si="26"/>
        <v>0</v>
      </c>
      <c r="I75" s="70">
        <f t="shared" si="27"/>
        <v>0</v>
      </c>
      <c r="J75" s="73" t="str">
        <f t="shared" si="28"/>
        <v>--</v>
      </c>
      <c r="K75" s="32"/>
      <c r="L75" s="233"/>
      <c r="M75" s="278"/>
      <c r="N75" s="278"/>
      <c r="O75" s="278"/>
      <c r="P75" s="278"/>
      <c r="Q75" s="278"/>
      <c r="R75" s="278"/>
      <c r="S75" s="278"/>
      <c r="T75" s="278"/>
      <c r="U75" s="279"/>
      <c r="V75" s="103"/>
      <c r="W75" s="84">
        <f t="shared" si="33"/>
        <v>169</v>
      </c>
      <c r="X75" s="84"/>
      <c r="Y75" s="78">
        <f>SUM(E58:E75)</f>
        <v>168</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 thickBot="1" x14ac:dyDescent="0.35">
      <c r="A76" s="88"/>
      <c r="B76" s="66" t="s">
        <v>307</v>
      </c>
      <c r="C76" s="67"/>
      <c r="D76" s="102"/>
      <c r="E76" s="32"/>
      <c r="F76" s="32"/>
      <c r="G76" s="68" t="s">
        <v>285</v>
      </c>
      <c r="H76" s="69">
        <f t="shared" si="26"/>
        <v>0</v>
      </c>
      <c r="I76" s="70">
        <f t="shared" si="27"/>
        <v>0</v>
      </c>
      <c r="J76" s="73" t="str">
        <f t="shared" si="28"/>
        <v>--</v>
      </c>
      <c r="K76" s="32"/>
      <c r="L76" s="233"/>
      <c r="M76" s="278"/>
      <c r="N76" s="278"/>
      <c r="O76" s="278"/>
      <c r="P76" s="278"/>
      <c r="Q76" s="278"/>
      <c r="R76" s="278"/>
      <c r="S76" s="278"/>
      <c r="T76" s="278"/>
      <c r="U76" s="279"/>
      <c r="V76" s="103"/>
      <c r="W76" s="84">
        <f t="shared" si="33"/>
        <v>169</v>
      </c>
      <c r="X76" s="84"/>
      <c r="Y76" s="78">
        <f>SUM(E58:E76)</f>
        <v>168</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 thickBot="1" x14ac:dyDescent="0.35">
      <c r="A77" s="88"/>
      <c r="B77" s="66" t="s">
        <v>308</v>
      </c>
      <c r="C77" s="67"/>
      <c r="D77" s="102"/>
      <c r="E77" s="32"/>
      <c r="F77" s="32"/>
      <c r="G77" s="68" t="s">
        <v>285</v>
      </c>
      <c r="H77" s="69">
        <f t="shared" si="26"/>
        <v>0</v>
      </c>
      <c r="I77" s="70">
        <f t="shared" si="27"/>
        <v>0</v>
      </c>
      <c r="J77" s="73" t="str">
        <f t="shared" si="28"/>
        <v>--</v>
      </c>
      <c r="K77" s="32"/>
      <c r="L77" s="233"/>
      <c r="M77" s="278"/>
      <c r="N77" s="278"/>
      <c r="O77" s="278"/>
      <c r="P77" s="278"/>
      <c r="Q77" s="278"/>
      <c r="R77" s="278"/>
      <c r="S77" s="278"/>
      <c r="T77" s="278"/>
      <c r="U77" s="279"/>
      <c r="V77" s="103"/>
      <c r="W77" s="84">
        <f t="shared" si="33"/>
        <v>169</v>
      </c>
      <c r="X77" s="84"/>
      <c r="Y77" s="78">
        <f>SUM(E58:E77)</f>
        <v>168</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 thickBot="1" x14ac:dyDescent="0.35">
      <c r="A78" s="88"/>
      <c r="B78" s="66" t="s">
        <v>309</v>
      </c>
      <c r="C78" s="67"/>
      <c r="D78" s="102"/>
      <c r="E78" s="32"/>
      <c r="F78" s="32"/>
      <c r="G78" s="68" t="s">
        <v>285</v>
      </c>
      <c r="H78" s="69">
        <f t="shared" si="26"/>
        <v>0</v>
      </c>
      <c r="I78" s="70">
        <f t="shared" si="27"/>
        <v>0</v>
      </c>
      <c r="J78" s="73" t="str">
        <f t="shared" si="28"/>
        <v>--</v>
      </c>
      <c r="K78" s="32"/>
      <c r="L78" s="233"/>
      <c r="M78" s="278"/>
      <c r="N78" s="278"/>
      <c r="O78" s="278"/>
      <c r="P78" s="278"/>
      <c r="Q78" s="278"/>
      <c r="R78" s="278"/>
      <c r="S78" s="278"/>
      <c r="T78" s="278"/>
      <c r="U78" s="279"/>
      <c r="V78" s="103"/>
      <c r="W78" s="84">
        <f t="shared" si="33"/>
        <v>169</v>
      </c>
      <c r="X78" s="84"/>
      <c r="Y78" s="78">
        <f>SUM(E58:E78)</f>
        <v>168</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 thickBot="1" x14ac:dyDescent="0.35">
      <c r="A79" s="88"/>
      <c r="B79" s="66" t="s">
        <v>310</v>
      </c>
      <c r="C79" s="67"/>
      <c r="D79" s="102"/>
      <c r="E79" s="32"/>
      <c r="F79" s="32"/>
      <c r="G79" s="68" t="s">
        <v>285</v>
      </c>
      <c r="H79" s="69">
        <f t="shared" si="26"/>
        <v>0</v>
      </c>
      <c r="I79" s="70">
        <f t="shared" si="27"/>
        <v>0</v>
      </c>
      <c r="J79" s="73" t="str">
        <f t="shared" si="28"/>
        <v>--</v>
      </c>
      <c r="K79" s="32"/>
      <c r="L79" s="233"/>
      <c r="M79" s="278"/>
      <c r="N79" s="278"/>
      <c r="O79" s="278"/>
      <c r="P79" s="278"/>
      <c r="Q79" s="278"/>
      <c r="R79" s="278"/>
      <c r="S79" s="278"/>
      <c r="T79" s="278"/>
      <c r="U79" s="279"/>
      <c r="V79" s="103"/>
      <c r="W79" s="84">
        <f t="shared" si="33"/>
        <v>169</v>
      </c>
      <c r="X79" s="84"/>
      <c r="Y79" s="78">
        <f>SUM(E58:E79)</f>
        <v>168</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 thickBot="1" x14ac:dyDescent="0.35">
      <c r="A80" s="88"/>
      <c r="B80" s="66" t="s">
        <v>311</v>
      </c>
      <c r="C80" s="67"/>
      <c r="D80" s="102"/>
      <c r="E80" s="32"/>
      <c r="F80" s="32"/>
      <c r="G80" s="68" t="s">
        <v>285</v>
      </c>
      <c r="H80" s="69">
        <f t="shared" si="26"/>
        <v>0</v>
      </c>
      <c r="I80" s="70">
        <f t="shared" si="27"/>
        <v>0</v>
      </c>
      <c r="J80" s="73" t="str">
        <f t="shared" si="28"/>
        <v>--</v>
      </c>
      <c r="K80" s="32"/>
      <c r="L80" s="233"/>
      <c r="M80" s="278"/>
      <c r="N80" s="278"/>
      <c r="O80" s="278"/>
      <c r="P80" s="278"/>
      <c r="Q80" s="278"/>
      <c r="R80" s="278"/>
      <c r="S80" s="278"/>
      <c r="T80" s="278"/>
      <c r="U80" s="279"/>
      <c r="V80" s="103"/>
      <c r="W80" s="84">
        <f t="shared" si="33"/>
        <v>169</v>
      </c>
      <c r="X80" s="84"/>
      <c r="Y80" s="78">
        <f>SUM(E58:E80)</f>
        <v>168</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 thickBot="1" x14ac:dyDescent="0.35">
      <c r="A81" s="88"/>
      <c r="B81" s="66" t="s">
        <v>312</v>
      </c>
      <c r="C81" s="67"/>
      <c r="D81" s="102"/>
      <c r="E81" s="32"/>
      <c r="F81" s="32"/>
      <c r="G81" s="68" t="s">
        <v>285</v>
      </c>
      <c r="H81" s="69">
        <f t="shared" si="26"/>
        <v>0</v>
      </c>
      <c r="I81" s="70">
        <f t="shared" si="27"/>
        <v>0</v>
      </c>
      <c r="J81" s="73" t="str">
        <f t="shared" si="28"/>
        <v>--</v>
      </c>
      <c r="K81" s="32"/>
      <c r="L81" s="233"/>
      <c r="M81" s="278"/>
      <c r="N81" s="278"/>
      <c r="O81" s="278"/>
      <c r="P81" s="278"/>
      <c r="Q81" s="278"/>
      <c r="R81" s="278"/>
      <c r="S81" s="278"/>
      <c r="T81" s="278"/>
      <c r="U81" s="279"/>
      <c r="V81" s="103"/>
      <c r="W81" s="84">
        <f t="shared" si="33"/>
        <v>169</v>
      </c>
      <c r="X81" s="84"/>
      <c r="Y81" s="78">
        <f>SUM(E58:E81)</f>
        <v>168</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 thickBot="1" x14ac:dyDescent="0.35">
      <c r="A82" s="88"/>
      <c r="B82" s="66" t="s">
        <v>313</v>
      </c>
      <c r="C82" s="67"/>
      <c r="D82" s="102"/>
      <c r="E82" s="32"/>
      <c r="F82" s="32"/>
      <c r="G82" s="68" t="s">
        <v>285</v>
      </c>
      <c r="H82" s="69">
        <f t="shared" si="26"/>
        <v>0</v>
      </c>
      <c r="I82" s="70">
        <f t="shared" si="27"/>
        <v>0</v>
      </c>
      <c r="J82" s="73" t="str">
        <f t="shared" si="28"/>
        <v>--</v>
      </c>
      <c r="K82" s="32"/>
      <c r="L82" s="234"/>
      <c r="M82" s="278"/>
      <c r="N82" s="278"/>
      <c r="O82" s="278"/>
      <c r="P82" s="278"/>
      <c r="Q82" s="278"/>
      <c r="R82" s="278"/>
      <c r="S82" s="278"/>
      <c r="T82" s="278"/>
      <c r="U82" s="279"/>
      <c r="V82" s="103"/>
      <c r="W82" s="72"/>
      <c r="X82" s="72"/>
      <c r="Y82" s="78">
        <f>SUM(E58:E82)</f>
        <v>168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2" thickBot="1" x14ac:dyDescent="0.35">
      <c r="A83" s="88"/>
      <c r="B83" s="319" t="s">
        <v>318</v>
      </c>
      <c r="C83" s="320"/>
      <c r="D83" s="79"/>
      <c r="E83" s="80"/>
      <c r="F83" s="80"/>
      <c r="G83" s="81"/>
      <c r="H83" s="192"/>
      <c r="I83" s="192"/>
      <c r="J83" s="192"/>
      <c r="K83" s="82"/>
      <c r="L83" s="319" t="s">
        <v>319</v>
      </c>
      <c r="M83" s="330"/>
      <c r="N83" s="330"/>
      <c r="O83" s="330"/>
      <c r="P83" s="330"/>
      <c r="Q83" s="330"/>
      <c r="R83" s="330"/>
      <c r="S83" s="330"/>
      <c r="T83" s="330"/>
      <c r="U83" s="320"/>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8"/>
    </row>
    <row r="84" spans="1:53" ht="16.2" thickBot="1" x14ac:dyDescent="0.35">
      <c r="A84" s="88"/>
      <c r="B84" s="319" t="s">
        <v>320</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 thickBot="1"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5">
      <c r="A87" s="88"/>
      <c r="B87" s="85" t="s">
        <v>321</v>
      </c>
      <c r="C87" s="25"/>
      <c r="D87" s="25"/>
      <c r="E87" s="25"/>
      <c r="F87" s="88"/>
      <c r="G87" s="25"/>
      <c r="H87" s="25"/>
      <c r="I87" s="87"/>
      <c r="J87" s="26"/>
      <c r="K87" s="25"/>
      <c r="L87" s="25"/>
      <c r="M87" s="196" t="s">
        <v>217</v>
      </c>
      <c r="N87" s="196" t="s">
        <v>218</v>
      </c>
      <c r="O87" s="196" t="s">
        <v>219</v>
      </c>
      <c r="P87" s="196" t="s">
        <v>220</v>
      </c>
      <c r="Q87" s="196" t="s">
        <v>221</v>
      </c>
      <c r="R87" s="196" t="s">
        <v>222</v>
      </c>
      <c r="S87" s="196" t="s">
        <v>223</v>
      </c>
      <c r="T87" s="196" t="s">
        <v>224</v>
      </c>
      <c r="U87" s="196" t="s">
        <v>225</v>
      </c>
      <c r="V87" s="196" t="s">
        <v>226</v>
      </c>
      <c r="W87" s="113" t="s">
        <v>227</v>
      </c>
      <c r="X87" s="196" t="s">
        <v>228</v>
      </c>
      <c r="Y87" s="25"/>
      <c r="Z87" s="25"/>
      <c r="AA87" s="25"/>
      <c r="AB87" s="25"/>
      <c r="AC87" s="25"/>
      <c r="AD87" s="25"/>
      <c r="BA87" s="226"/>
    </row>
    <row r="88" spans="1:53" ht="15.6" thickTop="1" thickBot="1" x14ac:dyDescent="0.35">
      <c r="A88" s="88"/>
      <c r="B88" s="312" t="s">
        <v>229</v>
      </c>
      <c r="C88" s="313"/>
      <c r="D88" s="314" t="s">
        <v>230</v>
      </c>
      <c r="E88" s="305"/>
      <c r="F88" s="88"/>
      <c r="G88" s="315" t="s">
        <v>231</v>
      </c>
      <c r="H88" s="316"/>
      <c r="I88" s="28">
        <f>SUM(E99:E123)</f>
        <v>132</v>
      </c>
      <c r="J88" s="317" t="s">
        <v>232</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233</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234</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5">
      <c r="A89" s="88"/>
      <c r="B89" s="29" t="s">
        <v>235</v>
      </c>
      <c r="C89" s="30">
        <v>0</v>
      </c>
      <c r="D89" s="31" t="s">
        <v>236</v>
      </c>
      <c r="E89" s="66" t="str">
        <f>TEXT(IF('Cable Calculator'!N7="","",'Cable Calculator'!N7),)</f>
        <v>EUC</v>
      </c>
      <c r="F89" s="88"/>
      <c r="G89" s="304" t="s">
        <v>237</v>
      </c>
      <c r="H89" s="305"/>
      <c r="I89" s="33">
        <f>E90-I88</f>
        <v>12</v>
      </c>
      <c r="J89" s="289" t="s">
        <v>238</v>
      </c>
      <c r="K89" s="290"/>
      <c r="L89" s="34">
        <f>I93</f>
        <v>121</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239</v>
      </c>
      <c r="AA89" s="300" t="s">
        <v>240</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241</v>
      </c>
      <c r="AU89" s="109">
        <f>COUNTIFS($E89,"SS",$AS89,"Y")</f>
        <v>0</v>
      </c>
      <c r="AV89" s="111">
        <f>COUNTIFS($E89,"RPX",$AS89,"Y")</f>
        <v>0</v>
      </c>
      <c r="AW89" s="111">
        <f>COUNTIFS($E89,"EUC",$AS89,"Y")</f>
        <v>0</v>
      </c>
      <c r="AX89" s="109">
        <f>COUNTIFS($E89,"RPX-T",$AS89,"Y")</f>
        <v>0</v>
      </c>
      <c r="BA89" s="227"/>
    </row>
    <row r="90" spans="1:53" ht="15.6" thickTop="1" thickBot="1" x14ac:dyDescent="0.35">
      <c r="A90" s="88"/>
      <c r="B90" s="36" t="s">
        <v>242</v>
      </c>
      <c r="C90" s="37">
        <v>0</v>
      </c>
      <c r="D90" s="38" t="s">
        <v>243</v>
      </c>
      <c r="E90" s="32">
        <v>144</v>
      </c>
      <c r="F90" s="88"/>
      <c r="G90" s="291" t="s">
        <v>244</v>
      </c>
      <c r="H90" s="292"/>
      <c r="I90" s="35">
        <f>IF(E90=0,0,12-(MOD(I88,12)))</f>
        <v>12</v>
      </c>
      <c r="J90" s="289" t="s">
        <v>245</v>
      </c>
      <c r="K90" s="290"/>
      <c r="L90" s="39">
        <f>I94-I88</f>
        <v>120</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246</v>
      </c>
      <c r="AU90" s="109">
        <f>COUNTIFS($E89,"SS",$AS90,"Y")</f>
        <v>0</v>
      </c>
      <c r="AV90" s="108">
        <f>COUNTIFS($E89,"RPX",$AS90,"Y")</f>
        <v>0</v>
      </c>
      <c r="AW90" s="108">
        <f>COUNTIFS($E89,"EUC",$AS90,"Y")</f>
        <v>0</v>
      </c>
      <c r="AX90" s="109">
        <f>COUNTIFS($E89,"RPX-T",$AS90,"Y")</f>
        <v>0</v>
      </c>
      <c r="BA90" s="227"/>
    </row>
    <row r="91" spans="1:53" ht="16.5" customHeight="1" thickTop="1" thickBot="1" x14ac:dyDescent="0.35">
      <c r="A91" s="88"/>
      <c r="B91" s="40" t="s">
        <v>247</v>
      </c>
      <c r="C91" s="30">
        <v>0</v>
      </c>
      <c r="D91" s="41" t="s">
        <v>248</v>
      </c>
      <c r="E91" s="42">
        <v>12</v>
      </c>
      <c r="F91" s="88"/>
      <c r="G91" s="321" t="s">
        <v>249</v>
      </c>
      <c r="H91" s="43" t="s">
        <v>250</v>
      </c>
      <c r="I91" s="35">
        <f>IF(E91&lt;&gt;0,1,0)</f>
        <v>1</v>
      </c>
      <c r="J91" s="291" t="s">
        <v>251</v>
      </c>
      <c r="K91" s="292"/>
      <c r="L91" s="44">
        <f>'Cable Calculator'!N3</f>
        <v>661</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252</v>
      </c>
      <c r="AU91" s="109">
        <f>COUNTIFS($E89,"SS",$AS91,"Y")</f>
        <v>0</v>
      </c>
      <c r="AV91" s="108">
        <f>COUNTIFS($E89,"RPX",$AS91,"Y")</f>
        <v>0</v>
      </c>
      <c r="AW91" s="108">
        <f>COUNTIFS($E89,"EUC",$AS91,"Y")</f>
        <v>0</v>
      </c>
      <c r="AX91" s="109">
        <f>COUNTIFS($E89,"RPX-T",$AS91,"Y")</f>
        <v>0</v>
      </c>
      <c r="BA91" s="227"/>
    </row>
    <row r="92" spans="1:53" ht="15.6" thickTop="1" thickBot="1" x14ac:dyDescent="0.35">
      <c r="A92" s="88"/>
      <c r="B92" s="29" t="s">
        <v>253</v>
      </c>
      <c r="C92" s="37">
        <v>0</v>
      </c>
      <c r="D92" s="41" t="s">
        <v>254</v>
      </c>
      <c r="E92" s="42">
        <v>121</v>
      </c>
      <c r="F92" s="88"/>
      <c r="G92" s="322"/>
      <c r="H92" s="47" t="s">
        <v>255</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5">
      <c r="A93" s="88"/>
      <c r="B93" s="36" t="s">
        <v>256</v>
      </c>
      <c r="C93" s="30">
        <v>0</v>
      </c>
      <c r="D93" s="49" t="s">
        <v>257</v>
      </c>
      <c r="E93" s="50">
        <f>E90/12</f>
        <v>12</v>
      </c>
      <c r="F93" s="88"/>
      <c r="G93" s="321" t="s">
        <v>258</v>
      </c>
      <c r="H93" s="51" t="s">
        <v>259</v>
      </c>
      <c r="I93" s="112">
        <f>E92</f>
        <v>121</v>
      </c>
      <c r="J93" s="323" t="s">
        <v>260</v>
      </c>
      <c r="K93" s="324"/>
      <c r="L93" s="325"/>
      <c r="M93" s="52" t="s">
        <v>261</v>
      </c>
      <c r="N93" s="106"/>
      <c r="O93" s="106"/>
      <c r="P93" s="192"/>
      <c r="Q93" s="192"/>
      <c r="R93" s="192"/>
      <c r="S93" s="192"/>
      <c r="T93" s="192"/>
      <c r="U93" s="192"/>
      <c r="V93" s="192"/>
      <c r="W93" s="53">
        <f>SUM(P93:U93)</f>
        <v>0</v>
      </c>
      <c r="X93" s="54"/>
      <c r="Y93" s="25"/>
      <c r="Z93" s="45">
        <v>3</v>
      </c>
      <c r="AA93" s="46">
        <v>25</v>
      </c>
      <c r="AB93" s="46">
        <v>36</v>
      </c>
      <c r="AC93" s="25"/>
      <c r="AD93" s="25"/>
      <c r="BA93" s="227"/>
    </row>
    <row r="94" spans="1:53" ht="15.6" thickTop="1" thickBot="1" x14ac:dyDescent="0.35">
      <c r="A94" s="88"/>
      <c r="B94" s="36" t="s">
        <v>262</v>
      </c>
      <c r="C94" s="30">
        <v>0</v>
      </c>
      <c r="D94" s="31" t="s">
        <v>263</v>
      </c>
      <c r="E94" s="101" t="str">
        <f>IF('Cable Calculator'!N5="","",'Cable Calculator'!N5)</f>
        <v>N</v>
      </c>
      <c r="F94" s="88"/>
      <c r="G94" s="322"/>
      <c r="H94" s="47" t="s">
        <v>264</v>
      </c>
      <c r="I94" s="35">
        <f>IF(E92="","0",IF(AND(E89="EUC",E90=432), I93+(203-E91),IF(E92=0,0,(E92+(E90-E91)-1))))</f>
        <v>252</v>
      </c>
      <c r="J94" s="286" t="str">
        <f>IFERROR(IF(OR(E89="EUC",E89="SS"),"---",IF(OR(P88,S88),"NO 2F Tethers for RPX!",IF(OR(P90,S90),"NO 6F Tethers for RPX!","---"))),"---")</f>
        <v>---</v>
      </c>
      <c r="K94" s="287"/>
      <c r="L94" s="288"/>
      <c r="M94" s="286" t="str">
        <f>IF(E91&gt;60,"Dead Count &gt;60: Consider Downsize","---")</f>
        <v>---</v>
      </c>
      <c r="N94" s="287"/>
      <c r="O94" s="287"/>
      <c r="P94" s="287"/>
      <c r="Q94" s="287"/>
      <c r="R94" s="287"/>
      <c r="S94" s="287"/>
      <c r="T94" s="287"/>
      <c r="U94" s="288"/>
      <c r="V94" s="100"/>
      <c r="W94" s="54">
        <f>SUM(P94:U94)</f>
        <v>0</v>
      </c>
      <c r="X94" s="54"/>
      <c r="Y94" s="25"/>
      <c r="Z94" s="45">
        <v>4</v>
      </c>
      <c r="AA94" s="46">
        <v>37</v>
      </c>
      <c r="AB94" s="46">
        <v>48</v>
      </c>
      <c r="AC94" s="25"/>
      <c r="AD94" s="25"/>
      <c r="BA94" s="227"/>
    </row>
    <row r="95" spans="1:53" ht="15.6" thickTop="1" thickBot="1" x14ac:dyDescent="0.35">
      <c r="A95" s="88"/>
      <c r="B95" s="55" t="s">
        <v>265</v>
      </c>
      <c r="C95" s="56">
        <f>SUM(C89:C94)+I88</f>
        <v>132</v>
      </c>
      <c r="D95" s="31" t="s">
        <v>266</v>
      </c>
      <c r="E95" s="101" t="str">
        <f>IF(AS89="Y","DBL",IF(AS90="Y","TRPL",IF(AS91="Y","QUAD","")))</f>
        <v/>
      </c>
      <c r="F95" s="88"/>
      <c r="G95" s="192"/>
      <c r="H95" s="57"/>
      <c r="I95" s="192"/>
      <c r="J95" s="286"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7"/>
      <c r="L95" s="288"/>
      <c r="M95" s="286" t="str">
        <f>IF(AND(OR(E89="SS",E89="RPX",E89="EUC",E89="RPX-T"),(OR(C99="",C99="Field SPL"))),"Cannot have FlexNap cables without tethers","---")</f>
        <v>---</v>
      </c>
      <c r="N95" s="287"/>
      <c r="O95" s="287"/>
      <c r="P95" s="287"/>
      <c r="Q95" s="287"/>
      <c r="R95" s="287"/>
      <c r="S95" s="287"/>
      <c r="T95" s="287"/>
      <c r="U95" s="288"/>
      <c r="V95" s="25"/>
      <c r="W95" s="58"/>
      <c r="X95" s="58"/>
      <c r="Y95" s="25"/>
      <c r="Z95" s="45">
        <v>5</v>
      </c>
      <c r="AA95" s="46">
        <v>49</v>
      </c>
      <c r="AB95" s="46">
        <v>60</v>
      </c>
      <c r="AC95" s="25"/>
      <c r="AD95" s="25"/>
      <c r="BA95" s="227"/>
    </row>
    <row r="96" spans="1:53" ht="15.6" thickTop="1" thickBot="1" x14ac:dyDescent="0.35">
      <c r="A96" s="88"/>
      <c r="B96" s="59"/>
      <c r="C96" s="60"/>
      <c r="D96" s="61"/>
      <c r="E96" s="62"/>
      <c r="F96" s="88"/>
      <c r="G96" s="63"/>
      <c r="H96" s="64"/>
      <c r="I96" s="63"/>
      <c r="J96" s="286" t="str">
        <f>IF(AND(OR(E89="RPX", E89="RPX-T", E89="SS"),E90=216),"NO 216 For RPX, RPX-T, OR SS CABLE","---")</f>
        <v>---</v>
      </c>
      <c r="K96" s="287"/>
      <c r="L96" s="288"/>
      <c r="M96" s="286" t="str" cm="1">
        <f t="array" ref="M96">IF(AND(E89="",OR(C99:C123="FST",C99:C123="REV T",C99:C123="DBL REV",C99:C123="TPL REV", C99:C123="QD REV")),"Non-FlexNap cables cannot have tethers","---")</f>
        <v>---</v>
      </c>
      <c r="N96" s="287"/>
      <c r="O96" s="287"/>
      <c r="P96" s="287"/>
      <c r="Q96" s="287"/>
      <c r="R96" s="287"/>
      <c r="S96" s="287"/>
      <c r="T96" s="287"/>
      <c r="U96" s="288"/>
      <c r="V96" s="25"/>
      <c r="W96" s="58"/>
      <c r="X96" s="58"/>
      <c r="Y96" s="25"/>
      <c r="Z96" s="45">
        <v>6</v>
      </c>
      <c r="AA96" s="65">
        <v>61</v>
      </c>
      <c r="AB96" s="65">
        <v>72</v>
      </c>
      <c r="AC96" s="25"/>
      <c r="AD96" s="25"/>
      <c r="BA96" s="226"/>
    </row>
    <row r="97" spans="1:53" ht="15.75" customHeight="1" thickBot="1" x14ac:dyDescent="0.35">
      <c r="A97" s="88"/>
      <c r="B97" s="321" t="s">
        <v>267</v>
      </c>
      <c r="C97" s="293" t="s">
        <v>268</v>
      </c>
      <c r="D97" s="293" t="s">
        <v>269</v>
      </c>
      <c r="E97" s="306" t="s">
        <v>270</v>
      </c>
      <c r="F97" s="293" t="s">
        <v>271</v>
      </c>
      <c r="G97" s="308" t="s">
        <v>272</v>
      </c>
      <c r="H97" s="308" t="s">
        <v>273</v>
      </c>
      <c r="I97" s="308" t="s">
        <v>274</v>
      </c>
      <c r="J97" s="310" t="s">
        <v>275</v>
      </c>
      <c r="K97" s="293" t="s">
        <v>276</v>
      </c>
      <c r="L97" s="280" t="s">
        <v>277</v>
      </c>
      <c r="M97" s="282" t="s">
        <v>278</v>
      </c>
      <c r="N97" s="282"/>
      <c r="O97" s="282"/>
      <c r="P97" s="282"/>
      <c r="Q97" s="282"/>
      <c r="R97" s="282"/>
      <c r="S97" s="282"/>
      <c r="T97" s="282"/>
      <c r="U97" s="283"/>
      <c r="V97" s="107"/>
      <c r="W97" s="72"/>
      <c r="X97" s="72"/>
      <c r="Y97" s="72"/>
      <c r="Z97" s="45">
        <v>7</v>
      </c>
      <c r="AA97" s="65">
        <v>73</v>
      </c>
      <c r="AB97" s="65">
        <v>84</v>
      </c>
      <c r="AC97" s="25"/>
      <c r="AD97" s="25"/>
      <c r="BA97" s="228"/>
    </row>
    <row r="98" spans="1:53" ht="15" thickBot="1" x14ac:dyDescent="0.35">
      <c r="A98" s="88"/>
      <c r="B98" s="322"/>
      <c r="C98" s="294"/>
      <c r="D98" s="294"/>
      <c r="E98" s="307"/>
      <c r="F98" s="294"/>
      <c r="G98" s="309"/>
      <c r="H98" s="309"/>
      <c r="I98" s="309"/>
      <c r="J98" s="311"/>
      <c r="K98" s="294"/>
      <c r="L98" s="281"/>
      <c r="M98" s="284"/>
      <c r="N98" s="284"/>
      <c r="O98" s="284"/>
      <c r="P98" s="284"/>
      <c r="Q98" s="284"/>
      <c r="R98" s="284"/>
      <c r="S98" s="284"/>
      <c r="T98" s="284"/>
      <c r="U98" s="285"/>
      <c r="V98" s="107"/>
      <c r="W98" s="72"/>
      <c r="X98" s="72"/>
      <c r="Y98" s="72"/>
      <c r="Z98" s="45">
        <v>8</v>
      </c>
      <c r="AA98" s="46">
        <v>85</v>
      </c>
      <c r="AB98" s="46">
        <v>96</v>
      </c>
      <c r="AC98" s="25"/>
      <c r="AD98" s="25"/>
      <c r="AI98" s="109" t="s">
        <v>279</v>
      </c>
      <c r="AJ98" s="109" t="s">
        <v>280</v>
      </c>
      <c r="AK98" s="109" t="s">
        <v>281</v>
      </c>
      <c r="AL98" s="109" t="s">
        <v>282</v>
      </c>
      <c r="BA98" s="228"/>
    </row>
    <row r="99" spans="1:53" ht="15" thickBot="1" x14ac:dyDescent="0.35">
      <c r="A99" s="88"/>
      <c r="B99" s="66" t="s">
        <v>283</v>
      </c>
      <c r="C99" s="67" t="s">
        <v>322</v>
      </c>
      <c r="D99" s="102" t="s">
        <v>323</v>
      </c>
      <c r="E99" s="32">
        <v>4</v>
      </c>
      <c r="F99" s="32" t="s">
        <v>324</v>
      </c>
      <c r="G99" s="68" t="s">
        <v>285</v>
      </c>
      <c r="H99" s="69">
        <f>IF(I99=0,0,I99-(E99-1))</f>
        <v>249</v>
      </c>
      <c r="I99" s="70">
        <f>IF(E99=0,0,I94)</f>
        <v>252</v>
      </c>
      <c r="J99" s="71" t="s">
        <v>286</v>
      </c>
      <c r="K99" s="32"/>
      <c r="L99" s="233"/>
      <c r="M99" s="278"/>
      <c r="N99" s="278"/>
      <c r="O99" s="278"/>
      <c r="P99" s="278"/>
      <c r="Q99" s="278"/>
      <c r="R99" s="278"/>
      <c r="S99" s="278"/>
      <c r="T99" s="278"/>
      <c r="U99" s="27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249-252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 thickBot="1" x14ac:dyDescent="0.35">
      <c r="A100" s="88"/>
      <c r="B100" s="66" t="s">
        <v>288</v>
      </c>
      <c r="C100" s="67" t="s">
        <v>322</v>
      </c>
      <c r="D100" s="102" t="s">
        <v>325</v>
      </c>
      <c r="E100" s="32">
        <v>4</v>
      </c>
      <c r="F100" s="32" t="s">
        <v>324</v>
      </c>
      <c r="G100" s="68" t="s">
        <v>285</v>
      </c>
      <c r="H100" s="69">
        <f t="shared" ref="H100:H123" si="43">IF(E100=0,0,I100-(E100-1))</f>
        <v>245</v>
      </c>
      <c r="I100" s="70">
        <f t="shared" ref="I100:I123" si="44">IF(E100=0,0,H99-1)</f>
        <v>248</v>
      </c>
      <c r="J100" s="73" t="str">
        <f>IF(C100="","--",IF(AND(C100&lt;&gt;"FST",C100&lt;&gt;"TCF",BA99&lt;&gt;0),BA99,"--"))</f>
        <v>--</v>
      </c>
      <c r="K100" s="32"/>
      <c r="L100" s="233"/>
      <c r="M100" s="278"/>
      <c r="N100" s="278"/>
      <c r="O100" s="278"/>
      <c r="P100" s="278"/>
      <c r="Q100" s="278"/>
      <c r="R100" s="278"/>
      <c r="S100" s="278"/>
      <c r="T100" s="278"/>
      <c r="U100" s="279"/>
      <c r="V100" s="103"/>
      <c r="W100" s="72"/>
      <c r="X100" s="72"/>
      <c r="Y100" s="72"/>
      <c r="Z100" s="45">
        <v>10</v>
      </c>
      <c r="AA100" s="46">
        <v>109</v>
      </c>
      <c r="AB100" s="46">
        <v>120</v>
      </c>
      <c r="AC100" s="72">
        <f t="shared" si="34"/>
        <v>1</v>
      </c>
      <c r="AD100" s="72">
        <f t="shared" si="35"/>
        <v>0</v>
      </c>
      <c r="AE100" s="109" t="str">
        <f t="shared" si="36"/>
        <v>245-248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 thickBot="1" x14ac:dyDescent="0.35">
      <c r="A101" s="88"/>
      <c r="B101" s="74" t="s">
        <v>290</v>
      </c>
      <c r="C101" s="67" t="s">
        <v>322</v>
      </c>
      <c r="D101" s="102" t="s">
        <v>326</v>
      </c>
      <c r="E101" s="32">
        <v>4</v>
      </c>
      <c r="F101" s="32" t="s">
        <v>324</v>
      </c>
      <c r="G101" s="75" t="s">
        <v>285</v>
      </c>
      <c r="H101" s="69">
        <f t="shared" si="43"/>
        <v>241</v>
      </c>
      <c r="I101" s="70">
        <f t="shared" si="44"/>
        <v>244</v>
      </c>
      <c r="J101" s="73" t="str">
        <f t="shared" ref="J101:J123" si="45">IF(C101="","--",IF(AND(C101&lt;&gt;"FST",C101&lt;&gt;"TCF",BA100&lt;&gt;0),BA100,"--"))</f>
        <v>--</v>
      </c>
      <c r="K101" s="32"/>
      <c r="L101" s="233"/>
      <c r="M101" s="278"/>
      <c r="N101" s="278"/>
      <c r="O101" s="278"/>
      <c r="P101" s="278"/>
      <c r="Q101" s="278"/>
      <c r="R101" s="278"/>
      <c r="S101" s="278"/>
      <c r="T101" s="278"/>
      <c r="U101" s="279"/>
      <c r="V101" s="103"/>
      <c r="W101" s="72"/>
      <c r="X101" s="72"/>
      <c r="Y101" s="72"/>
      <c r="Z101" s="45">
        <v>11</v>
      </c>
      <c r="AA101" s="46">
        <v>121</v>
      </c>
      <c r="AB101" s="46">
        <v>132</v>
      </c>
      <c r="AC101" s="72">
        <f t="shared" si="34"/>
        <v>1</v>
      </c>
      <c r="AD101" s="72">
        <f t="shared" si="35"/>
        <v>0</v>
      </c>
      <c r="AE101" s="109" t="str">
        <f t="shared" si="36"/>
        <v>241-244</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 thickBot="1" x14ac:dyDescent="0.35">
      <c r="A102" s="88"/>
      <c r="B102" s="66" t="s">
        <v>292</v>
      </c>
      <c r="C102" s="67" t="s">
        <v>284</v>
      </c>
      <c r="D102" s="102"/>
      <c r="E102" s="32">
        <v>120</v>
      </c>
      <c r="F102" s="32"/>
      <c r="G102" s="68" t="s">
        <v>285</v>
      </c>
      <c r="H102" s="69">
        <f t="shared" si="43"/>
        <v>121</v>
      </c>
      <c r="I102" s="70">
        <f t="shared" si="44"/>
        <v>240</v>
      </c>
      <c r="J102" s="73" t="str">
        <f t="shared" si="45"/>
        <v>--</v>
      </c>
      <c r="K102" s="32"/>
      <c r="L102" s="233"/>
      <c r="M102" s="278" t="s">
        <v>327</v>
      </c>
      <c r="N102" s="278"/>
      <c r="O102" s="278"/>
      <c r="P102" s="278"/>
      <c r="Q102" s="278"/>
      <c r="R102" s="278"/>
      <c r="S102" s="278"/>
      <c r="T102" s="278"/>
      <c r="U102" s="279"/>
      <c r="V102" s="103"/>
      <c r="W102" s="72"/>
      <c r="X102" s="72"/>
      <c r="Y102" s="72"/>
      <c r="Z102" s="45">
        <v>12</v>
      </c>
      <c r="AA102" s="76">
        <v>133</v>
      </c>
      <c r="AB102" s="76">
        <v>144</v>
      </c>
      <c r="AC102" s="72">
        <f t="shared" si="34"/>
        <v>1</v>
      </c>
      <c r="AD102" s="72">
        <f t="shared" si="35"/>
        <v>1</v>
      </c>
      <c r="AE102" s="109" t="str">
        <f t="shared" si="36"/>
        <v>121-240</v>
      </c>
      <c r="AF102" s="109" t="str">
        <f t="shared" si="37"/>
        <v>N</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 thickBot="1" x14ac:dyDescent="0.35">
      <c r="A103" s="88"/>
      <c r="B103" s="66" t="s">
        <v>293</v>
      </c>
      <c r="C103" s="67"/>
      <c r="D103" s="102"/>
      <c r="E103" s="32"/>
      <c r="F103" s="32"/>
      <c r="G103" s="68" t="s">
        <v>285</v>
      </c>
      <c r="H103" s="69">
        <f t="shared" si="43"/>
        <v>0</v>
      </c>
      <c r="I103" s="70">
        <f t="shared" si="44"/>
        <v>0</v>
      </c>
      <c r="J103" s="73" t="str">
        <f t="shared" si="45"/>
        <v>--</v>
      </c>
      <c r="K103" s="32"/>
      <c r="L103" s="233"/>
      <c r="M103" s="278"/>
      <c r="N103" s="278"/>
      <c r="O103" s="278"/>
      <c r="P103" s="278"/>
      <c r="Q103" s="278"/>
      <c r="R103" s="278"/>
      <c r="S103" s="278"/>
      <c r="T103" s="278"/>
      <c r="U103" s="279"/>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 thickBot="1" x14ac:dyDescent="0.35">
      <c r="A104" s="88"/>
      <c r="B104" s="66" t="s">
        <v>294</v>
      </c>
      <c r="C104" s="67"/>
      <c r="D104" s="102"/>
      <c r="E104" s="32"/>
      <c r="F104" s="32"/>
      <c r="G104" s="68" t="s">
        <v>285</v>
      </c>
      <c r="H104" s="69">
        <f t="shared" si="43"/>
        <v>0</v>
      </c>
      <c r="I104" s="70">
        <f t="shared" si="44"/>
        <v>0</v>
      </c>
      <c r="J104" s="73" t="str">
        <f t="shared" si="45"/>
        <v>--</v>
      </c>
      <c r="K104" s="32"/>
      <c r="L104" s="233"/>
      <c r="M104" s="278"/>
      <c r="N104" s="278"/>
      <c r="O104" s="278"/>
      <c r="P104" s="278"/>
      <c r="Q104" s="278"/>
      <c r="R104" s="278"/>
      <c r="S104" s="278"/>
      <c r="T104" s="278"/>
      <c r="U104" s="279"/>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 thickBot="1" x14ac:dyDescent="0.35">
      <c r="A105" s="88"/>
      <c r="B105" s="66" t="s">
        <v>295</v>
      </c>
      <c r="C105" s="67"/>
      <c r="D105" s="102"/>
      <c r="E105" s="32"/>
      <c r="F105" s="32"/>
      <c r="G105" s="68" t="s">
        <v>285</v>
      </c>
      <c r="H105" s="69">
        <f t="shared" si="43"/>
        <v>0</v>
      </c>
      <c r="I105" s="70">
        <f t="shared" si="44"/>
        <v>0</v>
      </c>
      <c r="J105" s="73" t="str">
        <f t="shared" si="45"/>
        <v>--</v>
      </c>
      <c r="K105" s="32"/>
      <c r="L105" s="233"/>
      <c r="M105" s="278"/>
      <c r="N105" s="278"/>
      <c r="O105" s="278"/>
      <c r="P105" s="278"/>
      <c r="Q105" s="278"/>
      <c r="R105" s="278"/>
      <c r="S105" s="278"/>
      <c r="T105" s="278"/>
      <c r="U105" s="279"/>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 thickBot="1" x14ac:dyDescent="0.35">
      <c r="A106" s="88"/>
      <c r="B106" s="66" t="s">
        <v>296</v>
      </c>
      <c r="C106" s="67"/>
      <c r="D106" s="102"/>
      <c r="E106" s="32"/>
      <c r="F106" s="32"/>
      <c r="G106" s="68" t="s">
        <v>285</v>
      </c>
      <c r="H106" s="69">
        <f t="shared" si="43"/>
        <v>0</v>
      </c>
      <c r="I106" s="70">
        <f t="shared" si="44"/>
        <v>0</v>
      </c>
      <c r="J106" s="73" t="str">
        <f t="shared" si="45"/>
        <v>--</v>
      </c>
      <c r="K106" s="32"/>
      <c r="L106" s="233"/>
      <c r="M106" s="278"/>
      <c r="N106" s="278"/>
      <c r="O106" s="278"/>
      <c r="P106" s="278"/>
      <c r="Q106" s="278"/>
      <c r="R106" s="278"/>
      <c r="S106" s="278"/>
      <c r="T106" s="278"/>
      <c r="U106" s="279"/>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 thickBot="1" x14ac:dyDescent="0.35">
      <c r="A107" s="88"/>
      <c r="B107" s="66" t="s">
        <v>297</v>
      </c>
      <c r="C107" s="67"/>
      <c r="D107" s="102"/>
      <c r="E107" s="32"/>
      <c r="F107" s="32"/>
      <c r="G107" s="68" t="s">
        <v>285</v>
      </c>
      <c r="H107" s="69">
        <f t="shared" si="43"/>
        <v>0</v>
      </c>
      <c r="I107" s="70">
        <f t="shared" si="44"/>
        <v>0</v>
      </c>
      <c r="J107" s="73" t="str">
        <f t="shared" si="45"/>
        <v>--</v>
      </c>
      <c r="K107" s="32"/>
      <c r="L107" s="233"/>
      <c r="M107" s="278"/>
      <c r="N107" s="278"/>
      <c r="O107" s="278"/>
      <c r="P107" s="278"/>
      <c r="Q107" s="278"/>
      <c r="R107" s="278"/>
      <c r="S107" s="278"/>
      <c r="T107" s="278"/>
      <c r="U107" s="279"/>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 thickBot="1" x14ac:dyDescent="0.35">
      <c r="A108" s="88"/>
      <c r="B108" s="66" t="s">
        <v>298</v>
      </c>
      <c r="C108" s="67"/>
      <c r="D108" s="102"/>
      <c r="E108" s="32"/>
      <c r="F108" s="32"/>
      <c r="G108" s="68" t="s">
        <v>285</v>
      </c>
      <c r="H108" s="69">
        <f t="shared" si="43"/>
        <v>0</v>
      </c>
      <c r="I108" s="70">
        <f t="shared" si="44"/>
        <v>0</v>
      </c>
      <c r="J108" s="73" t="str">
        <f t="shared" si="45"/>
        <v>--</v>
      </c>
      <c r="K108" s="32"/>
      <c r="L108" s="233"/>
      <c r="M108" s="278"/>
      <c r="N108" s="278"/>
      <c r="O108" s="278"/>
      <c r="P108" s="278"/>
      <c r="Q108" s="278"/>
      <c r="R108" s="278"/>
      <c r="S108" s="278"/>
      <c r="T108" s="278"/>
      <c r="U108" s="27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 thickBot="1" x14ac:dyDescent="0.35">
      <c r="A109" s="88"/>
      <c r="B109" s="66" t="s">
        <v>299</v>
      </c>
      <c r="C109" s="67"/>
      <c r="D109" s="102"/>
      <c r="E109" s="32"/>
      <c r="F109" s="32"/>
      <c r="G109" s="68" t="s">
        <v>285</v>
      </c>
      <c r="H109" s="69">
        <f t="shared" si="43"/>
        <v>0</v>
      </c>
      <c r="I109" s="70">
        <f t="shared" si="44"/>
        <v>0</v>
      </c>
      <c r="J109" s="73" t="str">
        <f t="shared" si="45"/>
        <v>--</v>
      </c>
      <c r="K109" s="32"/>
      <c r="L109" s="233"/>
      <c r="M109" s="278"/>
      <c r="N109" s="278"/>
      <c r="O109" s="278"/>
      <c r="P109" s="278"/>
      <c r="Q109" s="278"/>
      <c r="R109" s="278"/>
      <c r="S109" s="278"/>
      <c r="T109" s="278"/>
      <c r="U109" s="279"/>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 thickBot="1" x14ac:dyDescent="0.35">
      <c r="A110" s="88"/>
      <c r="B110" s="66" t="s">
        <v>300</v>
      </c>
      <c r="C110" s="67"/>
      <c r="D110" s="102"/>
      <c r="E110" s="32"/>
      <c r="F110" s="32"/>
      <c r="G110" s="68" t="s">
        <v>285</v>
      </c>
      <c r="H110" s="69">
        <f t="shared" si="43"/>
        <v>0</v>
      </c>
      <c r="I110" s="70">
        <f t="shared" si="44"/>
        <v>0</v>
      </c>
      <c r="J110" s="73" t="str">
        <f t="shared" si="45"/>
        <v>--</v>
      </c>
      <c r="K110" s="32"/>
      <c r="L110" s="233"/>
      <c r="M110" s="278"/>
      <c r="N110" s="278"/>
      <c r="O110" s="278"/>
      <c r="P110" s="278"/>
      <c r="Q110" s="278"/>
      <c r="R110" s="278"/>
      <c r="S110" s="278"/>
      <c r="T110" s="278"/>
      <c r="U110" s="279"/>
      <c r="V110" s="103"/>
      <c r="W110" s="84">
        <f>Y110+1</f>
        <v>133</v>
      </c>
      <c r="X110" s="84"/>
      <c r="Y110" s="78">
        <f>SUM(E99:E110)</f>
        <v>132</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 thickBot="1" x14ac:dyDescent="0.35">
      <c r="A111" s="88"/>
      <c r="B111" s="66" t="s">
        <v>301</v>
      </c>
      <c r="C111" s="67"/>
      <c r="D111" s="102"/>
      <c r="E111" s="32"/>
      <c r="F111" s="32"/>
      <c r="G111" s="68" t="s">
        <v>285</v>
      </c>
      <c r="H111" s="69">
        <f t="shared" si="43"/>
        <v>0</v>
      </c>
      <c r="I111" s="70">
        <f t="shared" si="44"/>
        <v>0</v>
      </c>
      <c r="J111" s="73" t="str">
        <f t="shared" si="45"/>
        <v>--</v>
      </c>
      <c r="K111" s="32"/>
      <c r="L111" s="233"/>
      <c r="M111" s="278"/>
      <c r="N111" s="278"/>
      <c r="O111" s="278"/>
      <c r="P111" s="278"/>
      <c r="Q111" s="278"/>
      <c r="R111" s="278"/>
      <c r="S111" s="278"/>
      <c r="T111" s="278"/>
      <c r="U111" s="279"/>
      <c r="V111" s="103"/>
      <c r="W111" s="84">
        <f>Y111+1</f>
        <v>133</v>
      </c>
      <c r="X111" s="84"/>
      <c r="Y111" s="78">
        <f>SUM(E99:E111)</f>
        <v>132</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 thickBot="1" x14ac:dyDescent="0.35">
      <c r="A112" s="88"/>
      <c r="B112" s="66" t="s">
        <v>302</v>
      </c>
      <c r="C112" s="67"/>
      <c r="D112" s="102"/>
      <c r="E112" s="32"/>
      <c r="F112" s="32"/>
      <c r="G112" s="68" t="s">
        <v>285</v>
      </c>
      <c r="H112" s="69">
        <f t="shared" si="43"/>
        <v>0</v>
      </c>
      <c r="I112" s="70">
        <f t="shared" si="44"/>
        <v>0</v>
      </c>
      <c r="J112" s="73" t="str">
        <f t="shared" si="45"/>
        <v>--</v>
      </c>
      <c r="K112" s="32"/>
      <c r="L112" s="233"/>
      <c r="M112" s="278"/>
      <c r="N112" s="278"/>
      <c r="O112" s="278"/>
      <c r="P112" s="278"/>
      <c r="Q112" s="278"/>
      <c r="R112" s="278"/>
      <c r="S112" s="278"/>
      <c r="T112" s="278"/>
      <c r="U112" s="279"/>
      <c r="V112" s="103"/>
      <c r="W112" s="84">
        <f>Y112+1</f>
        <v>133</v>
      </c>
      <c r="X112" s="84"/>
      <c r="Y112" s="78">
        <f>SUM(E99:E112)</f>
        <v>132</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 thickBot="1" x14ac:dyDescent="0.35">
      <c r="A113" s="88"/>
      <c r="B113" s="66" t="s">
        <v>303</v>
      </c>
      <c r="C113" s="67"/>
      <c r="D113" s="102"/>
      <c r="E113" s="32"/>
      <c r="F113" s="32"/>
      <c r="G113" s="68" t="s">
        <v>285</v>
      </c>
      <c r="H113" s="69">
        <f t="shared" si="43"/>
        <v>0</v>
      </c>
      <c r="I113" s="70">
        <f t="shared" si="44"/>
        <v>0</v>
      </c>
      <c r="J113" s="73" t="str">
        <f t="shared" si="45"/>
        <v>--</v>
      </c>
      <c r="K113" s="32"/>
      <c r="L113" s="233"/>
      <c r="M113" s="278"/>
      <c r="N113" s="278"/>
      <c r="O113" s="278"/>
      <c r="P113" s="278"/>
      <c r="Q113" s="278"/>
      <c r="R113" s="278"/>
      <c r="S113" s="278"/>
      <c r="T113" s="278"/>
      <c r="U113" s="279"/>
      <c r="V113" s="103"/>
      <c r="W113" s="84">
        <f>Y113+1</f>
        <v>133</v>
      </c>
      <c r="X113" s="84"/>
      <c r="Y113" s="78">
        <f>SUM(E99:E113)</f>
        <v>132</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 thickBot="1" x14ac:dyDescent="0.35">
      <c r="A114" s="88"/>
      <c r="B114" s="66" t="s">
        <v>304</v>
      </c>
      <c r="C114" s="67"/>
      <c r="D114" s="102"/>
      <c r="E114" s="32"/>
      <c r="F114" s="32"/>
      <c r="G114" s="68" t="s">
        <v>285</v>
      </c>
      <c r="H114" s="69">
        <f t="shared" si="43"/>
        <v>0</v>
      </c>
      <c r="I114" s="70">
        <f t="shared" si="44"/>
        <v>0</v>
      </c>
      <c r="J114" s="73" t="str">
        <f t="shared" si="45"/>
        <v>--</v>
      </c>
      <c r="K114" s="32"/>
      <c r="L114" s="233"/>
      <c r="M114" s="278"/>
      <c r="N114" s="278"/>
      <c r="O114" s="278"/>
      <c r="P114" s="278"/>
      <c r="Q114" s="278"/>
      <c r="R114" s="278"/>
      <c r="S114" s="278"/>
      <c r="T114" s="278"/>
      <c r="U114" s="279"/>
      <c r="V114" s="103"/>
      <c r="W114" s="84">
        <f t="shared" ref="W114:W122" si="50">Y114+1</f>
        <v>133</v>
      </c>
      <c r="X114" s="84"/>
      <c r="Y114" s="78">
        <f>SUM(E99:E114)</f>
        <v>132</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 thickBot="1" x14ac:dyDescent="0.35">
      <c r="A115" s="88"/>
      <c r="B115" s="66" t="s">
        <v>305</v>
      </c>
      <c r="C115" s="67"/>
      <c r="D115" s="102"/>
      <c r="E115" s="32"/>
      <c r="F115" s="32"/>
      <c r="G115" s="68" t="s">
        <v>285</v>
      </c>
      <c r="H115" s="69">
        <f t="shared" si="43"/>
        <v>0</v>
      </c>
      <c r="I115" s="70">
        <f t="shared" si="44"/>
        <v>0</v>
      </c>
      <c r="J115" s="73" t="str">
        <f t="shared" si="45"/>
        <v>--</v>
      </c>
      <c r="K115" s="32"/>
      <c r="L115" s="233"/>
      <c r="M115" s="278"/>
      <c r="N115" s="278"/>
      <c r="O115" s="278"/>
      <c r="P115" s="278"/>
      <c r="Q115" s="278"/>
      <c r="R115" s="278"/>
      <c r="S115" s="278"/>
      <c r="T115" s="278"/>
      <c r="U115" s="279"/>
      <c r="V115" s="103"/>
      <c r="W115" s="84">
        <f t="shared" si="50"/>
        <v>133</v>
      </c>
      <c r="X115" s="84"/>
      <c r="Y115" s="78">
        <f>SUM(E99:E115)</f>
        <v>132</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 thickBot="1" x14ac:dyDescent="0.35">
      <c r="A116" s="88"/>
      <c r="B116" s="66" t="s">
        <v>306</v>
      </c>
      <c r="C116" s="67"/>
      <c r="D116" s="102"/>
      <c r="E116" s="32"/>
      <c r="F116" s="32"/>
      <c r="G116" s="68" t="s">
        <v>285</v>
      </c>
      <c r="H116" s="69">
        <f t="shared" si="43"/>
        <v>0</v>
      </c>
      <c r="I116" s="70">
        <f t="shared" si="44"/>
        <v>0</v>
      </c>
      <c r="J116" s="73" t="str">
        <f t="shared" si="45"/>
        <v>--</v>
      </c>
      <c r="K116" s="32"/>
      <c r="L116" s="233"/>
      <c r="M116" s="278"/>
      <c r="N116" s="278"/>
      <c r="O116" s="278"/>
      <c r="P116" s="278"/>
      <c r="Q116" s="278"/>
      <c r="R116" s="278"/>
      <c r="S116" s="278"/>
      <c r="T116" s="278"/>
      <c r="U116" s="279"/>
      <c r="V116" s="103"/>
      <c r="W116" s="84">
        <f t="shared" si="50"/>
        <v>133</v>
      </c>
      <c r="X116" s="84"/>
      <c r="Y116" s="78">
        <f>SUM(E99:E116)</f>
        <v>132</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 thickBot="1" x14ac:dyDescent="0.35">
      <c r="A117" s="88"/>
      <c r="B117" s="66" t="s">
        <v>307</v>
      </c>
      <c r="C117" s="67"/>
      <c r="D117" s="102"/>
      <c r="E117" s="32"/>
      <c r="F117" s="32"/>
      <c r="G117" s="68" t="s">
        <v>285</v>
      </c>
      <c r="H117" s="69">
        <f t="shared" si="43"/>
        <v>0</v>
      </c>
      <c r="I117" s="70">
        <f t="shared" si="44"/>
        <v>0</v>
      </c>
      <c r="J117" s="73" t="str">
        <f t="shared" si="45"/>
        <v>--</v>
      </c>
      <c r="K117" s="32"/>
      <c r="L117" s="233"/>
      <c r="M117" s="278"/>
      <c r="N117" s="278"/>
      <c r="O117" s="278"/>
      <c r="P117" s="278"/>
      <c r="Q117" s="278"/>
      <c r="R117" s="278"/>
      <c r="S117" s="278"/>
      <c r="T117" s="278"/>
      <c r="U117" s="279"/>
      <c r="V117" s="103"/>
      <c r="W117" s="84">
        <f t="shared" si="50"/>
        <v>133</v>
      </c>
      <c r="X117" s="84"/>
      <c r="Y117" s="78">
        <f>SUM(E99:E117)</f>
        <v>132</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 thickBot="1" x14ac:dyDescent="0.35">
      <c r="A118" s="88"/>
      <c r="B118" s="66" t="s">
        <v>308</v>
      </c>
      <c r="C118" s="67"/>
      <c r="D118" s="102"/>
      <c r="E118" s="32"/>
      <c r="F118" s="32"/>
      <c r="G118" s="68" t="s">
        <v>285</v>
      </c>
      <c r="H118" s="69">
        <f t="shared" si="43"/>
        <v>0</v>
      </c>
      <c r="I118" s="70">
        <f t="shared" si="44"/>
        <v>0</v>
      </c>
      <c r="J118" s="73" t="str">
        <f t="shared" si="45"/>
        <v>--</v>
      </c>
      <c r="K118" s="32"/>
      <c r="L118" s="233"/>
      <c r="M118" s="278"/>
      <c r="N118" s="278"/>
      <c r="O118" s="278"/>
      <c r="P118" s="278"/>
      <c r="Q118" s="278"/>
      <c r="R118" s="278"/>
      <c r="S118" s="278"/>
      <c r="T118" s="278"/>
      <c r="U118" s="279"/>
      <c r="V118" s="103"/>
      <c r="W118" s="84">
        <f t="shared" si="50"/>
        <v>133</v>
      </c>
      <c r="X118" s="84"/>
      <c r="Y118" s="78">
        <f>SUM(E99:E118)</f>
        <v>132</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 thickBot="1" x14ac:dyDescent="0.35">
      <c r="A119" s="88"/>
      <c r="B119" s="66" t="s">
        <v>309</v>
      </c>
      <c r="C119" s="67"/>
      <c r="D119" s="102"/>
      <c r="E119" s="32"/>
      <c r="F119" s="32"/>
      <c r="G119" s="68" t="s">
        <v>285</v>
      </c>
      <c r="H119" s="69">
        <f t="shared" si="43"/>
        <v>0</v>
      </c>
      <c r="I119" s="70">
        <f t="shared" si="44"/>
        <v>0</v>
      </c>
      <c r="J119" s="73" t="str">
        <f t="shared" si="45"/>
        <v>--</v>
      </c>
      <c r="K119" s="32"/>
      <c r="L119" s="233"/>
      <c r="M119" s="278"/>
      <c r="N119" s="278"/>
      <c r="O119" s="278"/>
      <c r="P119" s="278"/>
      <c r="Q119" s="278"/>
      <c r="R119" s="278"/>
      <c r="S119" s="278"/>
      <c r="T119" s="278"/>
      <c r="U119" s="279"/>
      <c r="V119" s="103"/>
      <c r="W119" s="84">
        <f t="shared" si="50"/>
        <v>133</v>
      </c>
      <c r="X119" s="84"/>
      <c r="Y119" s="78">
        <f>SUM(E99:E119)</f>
        <v>132</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 thickBot="1" x14ac:dyDescent="0.35">
      <c r="A120" s="88"/>
      <c r="B120" s="66" t="s">
        <v>310</v>
      </c>
      <c r="C120" s="67"/>
      <c r="D120" s="102"/>
      <c r="E120" s="32"/>
      <c r="F120" s="32"/>
      <c r="G120" s="68" t="s">
        <v>285</v>
      </c>
      <c r="H120" s="69">
        <f t="shared" si="43"/>
        <v>0</v>
      </c>
      <c r="I120" s="70">
        <f t="shared" si="44"/>
        <v>0</v>
      </c>
      <c r="J120" s="73" t="str">
        <f t="shared" si="45"/>
        <v>--</v>
      </c>
      <c r="K120" s="32"/>
      <c r="L120" s="233"/>
      <c r="M120" s="278"/>
      <c r="N120" s="278"/>
      <c r="O120" s="278"/>
      <c r="P120" s="278"/>
      <c r="Q120" s="278"/>
      <c r="R120" s="278"/>
      <c r="S120" s="278"/>
      <c r="T120" s="278"/>
      <c r="U120" s="279"/>
      <c r="V120" s="103"/>
      <c r="W120" s="84">
        <f t="shared" si="50"/>
        <v>133</v>
      </c>
      <c r="X120" s="84"/>
      <c r="Y120" s="78">
        <f>SUM(E99:E120)</f>
        <v>132</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 thickBot="1" x14ac:dyDescent="0.35">
      <c r="A121" s="88"/>
      <c r="B121" s="66" t="s">
        <v>311</v>
      </c>
      <c r="C121" s="67"/>
      <c r="D121" s="102"/>
      <c r="E121" s="32"/>
      <c r="F121" s="32"/>
      <c r="G121" s="68" t="s">
        <v>285</v>
      </c>
      <c r="H121" s="69">
        <f t="shared" si="43"/>
        <v>0</v>
      </c>
      <c r="I121" s="70">
        <f t="shared" si="44"/>
        <v>0</v>
      </c>
      <c r="J121" s="73" t="str">
        <f t="shared" si="45"/>
        <v>--</v>
      </c>
      <c r="K121" s="32"/>
      <c r="L121" s="233"/>
      <c r="M121" s="278"/>
      <c r="N121" s="278"/>
      <c r="O121" s="278"/>
      <c r="P121" s="278"/>
      <c r="Q121" s="278"/>
      <c r="R121" s="278"/>
      <c r="S121" s="278"/>
      <c r="T121" s="278"/>
      <c r="U121" s="279"/>
      <c r="V121" s="103"/>
      <c r="W121" s="84">
        <f t="shared" si="50"/>
        <v>133</v>
      </c>
      <c r="X121" s="84"/>
      <c r="Y121" s="78">
        <f>SUM(E99:E121)</f>
        <v>132</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 thickBot="1" x14ac:dyDescent="0.35">
      <c r="A122" s="88"/>
      <c r="B122" s="66" t="s">
        <v>312</v>
      </c>
      <c r="C122" s="67"/>
      <c r="D122" s="102"/>
      <c r="E122" s="32"/>
      <c r="F122" s="32"/>
      <c r="G122" s="68" t="s">
        <v>285</v>
      </c>
      <c r="H122" s="69">
        <f t="shared" si="43"/>
        <v>0</v>
      </c>
      <c r="I122" s="70">
        <f t="shared" si="44"/>
        <v>0</v>
      </c>
      <c r="J122" s="73" t="str">
        <f t="shared" si="45"/>
        <v>--</v>
      </c>
      <c r="K122" s="32"/>
      <c r="L122" s="233"/>
      <c r="M122" s="278"/>
      <c r="N122" s="278"/>
      <c r="O122" s="278"/>
      <c r="P122" s="278"/>
      <c r="Q122" s="278"/>
      <c r="R122" s="278"/>
      <c r="S122" s="278"/>
      <c r="T122" s="278"/>
      <c r="U122" s="279"/>
      <c r="V122" s="103"/>
      <c r="W122" s="84">
        <f t="shared" si="50"/>
        <v>133</v>
      </c>
      <c r="X122" s="84"/>
      <c r="Y122" s="78">
        <f>SUM(E99:E122)</f>
        <v>132</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 thickBot="1" x14ac:dyDescent="0.35">
      <c r="A123" s="88"/>
      <c r="B123" s="66" t="s">
        <v>313</v>
      </c>
      <c r="C123" s="67"/>
      <c r="D123" s="102"/>
      <c r="E123" s="32"/>
      <c r="F123" s="32"/>
      <c r="G123" s="68" t="s">
        <v>285</v>
      </c>
      <c r="H123" s="69">
        <f t="shared" si="43"/>
        <v>0</v>
      </c>
      <c r="I123" s="70">
        <f t="shared" si="44"/>
        <v>0</v>
      </c>
      <c r="J123" s="73" t="str">
        <f t="shared" si="45"/>
        <v>--</v>
      </c>
      <c r="K123" s="32"/>
      <c r="L123" s="234"/>
      <c r="M123" s="278"/>
      <c r="N123" s="278"/>
      <c r="O123" s="278"/>
      <c r="P123" s="278"/>
      <c r="Q123" s="278"/>
      <c r="R123" s="278"/>
      <c r="S123" s="278"/>
      <c r="T123" s="278"/>
      <c r="U123" s="279"/>
      <c r="V123" s="103"/>
      <c r="W123" s="72"/>
      <c r="X123" s="72"/>
      <c r="Y123" s="78">
        <f>SUM(E99:E123)</f>
        <v>132</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2" thickBot="1" x14ac:dyDescent="0.35">
      <c r="A124" s="88"/>
      <c r="B124" s="319" t="s">
        <v>328</v>
      </c>
      <c r="C124" s="320"/>
      <c r="D124" s="79"/>
      <c r="E124" s="80"/>
      <c r="F124" s="80"/>
      <c r="G124" s="81"/>
      <c r="H124" s="192"/>
      <c r="I124" s="192"/>
      <c r="J124" s="192"/>
      <c r="K124" s="82"/>
      <c r="L124" s="319" t="s">
        <v>319</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22</v>
      </c>
      <c r="AM124" s="109">
        <f>SUM(AM99:AM123)</f>
        <v>0</v>
      </c>
      <c r="AN124" s="109">
        <f>SUM(AN99:AN123)</f>
        <v>0</v>
      </c>
      <c r="AO124" s="109">
        <f>((COUNTIF(AO99:AO123,"Y")/3)*2)</f>
        <v>0</v>
      </c>
      <c r="AP124" s="109">
        <f>(COUNTIF(AO99:AO123,"Y")/3)</f>
        <v>0</v>
      </c>
      <c r="AQ124" s="109">
        <f>(COUNTIF(AQ99:AQ123,"Y")/2)</f>
        <v>0</v>
      </c>
      <c r="AR124" s="109">
        <f>(COUNTIF(AQ99:AQ123,"Y")/2)</f>
        <v>0</v>
      </c>
      <c r="BA124" s="228"/>
    </row>
    <row r="125" spans="1:53" ht="16.2" thickBot="1" x14ac:dyDescent="0.35">
      <c r="A125" s="88"/>
      <c r="B125" s="319" t="s">
        <v>320</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 thickBot="1"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5">
      <c r="A128" s="88"/>
      <c r="B128" s="85" t="s">
        <v>329</v>
      </c>
      <c r="C128" s="25"/>
      <c r="D128" s="25"/>
      <c r="E128" s="25"/>
      <c r="F128" s="88"/>
      <c r="G128" s="25"/>
      <c r="H128" s="25"/>
      <c r="I128" s="87"/>
      <c r="J128" s="26"/>
      <c r="K128" s="25"/>
      <c r="L128" s="25"/>
      <c r="M128" s="196" t="s">
        <v>217</v>
      </c>
      <c r="N128" s="196" t="s">
        <v>218</v>
      </c>
      <c r="O128" s="196" t="s">
        <v>219</v>
      </c>
      <c r="P128" s="196" t="s">
        <v>220</v>
      </c>
      <c r="Q128" s="196" t="s">
        <v>221</v>
      </c>
      <c r="R128" s="196" t="s">
        <v>222</v>
      </c>
      <c r="S128" s="196" t="s">
        <v>223</v>
      </c>
      <c r="T128" s="196" t="s">
        <v>224</v>
      </c>
      <c r="U128" s="196" t="s">
        <v>225</v>
      </c>
      <c r="V128" s="196" t="s">
        <v>226</v>
      </c>
      <c r="W128" s="113" t="s">
        <v>227</v>
      </c>
      <c r="X128" s="196" t="s">
        <v>228</v>
      </c>
      <c r="Y128" s="25"/>
      <c r="Z128" s="25"/>
      <c r="AA128" s="25"/>
      <c r="AB128" s="25"/>
      <c r="AC128" s="25"/>
      <c r="AD128" s="25"/>
      <c r="BA128" s="226"/>
    </row>
    <row r="129" spans="1:53" ht="15.6" thickTop="1" thickBot="1" x14ac:dyDescent="0.35">
      <c r="A129" s="88"/>
      <c r="B129" s="312" t="s">
        <v>229</v>
      </c>
      <c r="C129" s="313"/>
      <c r="D129" s="314" t="s">
        <v>230</v>
      </c>
      <c r="E129" s="305"/>
      <c r="F129" s="88"/>
      <c r="G129" s="315" t="s">
        <v>231</v>
      </c>
      <c r="H129" s="316"/>
      <c r="I129" s="28">
        <f>SUM(E140:E164)</f>
        <v>88</v>
      </c>
      <c r="J129" s="317" t="s">
        <v>232</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233</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234</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5">
      <c r="A130" s="88"/>
      <c r="B130" s="29" t="s">
        <v>235</v>
      </c>
      <c r="C130" s="30">
        <v>0</v>
      </c>
      <c r="D130" s="31" t="s">
        <v>236</v>
      </c>
      <c r="E130" s="66" t="str">
        <f>TEXT(IF('Cable Calculator'!S7="","",'Cable Calculator'!S7),)</f>
        <v>EUC</v>
      </c>
      <c r="F130" s="88"/>
      <c r="G130" s="304" t="s">
        <v>237</v>
      </c>
      <c r="H130" s="305"/>
      <c r="I130" s="33">
        <f>E131-I129</f>
        <v>56</v>
      </c>
      <c r="J130" s="289" t="s">
        <v>238</v>
      </c>
      <c r="K130" s="290"/>
      <c r="L130" s="34">
        <f>I134</f>
        <v>121</v>
      </c>
      <c r="M130" s="196">
        <v>4</v>
      </c>
      <c r="N130" s="35">
        <f>SUM(AI130,AI141)</f>
        <v>0</v>
      </c>
      <c r="O130" s="35">
        <v>0</v>
      </c>
      <c r="P130" s="35">
        <f>SUM(AJ130,AJ141)</f>
        <v>0</v>
      </c>
      <c r="Q130" s="35">
        <v>0</v>
      </c>
      <c r="R130" s="35">
        <f>COUNTIFS($E140:$E164,"4",$F140:$F164,"Pole",$C140:$C164,"FST")</f>
        <v>0</v>
      </c>
      <c r="S130" s="35">
        <f>SUM(AL130,AK141)</f>
        <v>0</v>
      </c>
      <c r="T130" s="35">
        <v>0</v>
      </c>
      <c r="U130" s="35">
        <f>SUM(AK130,AL141)</f>
        <v>7</v>
      </c>
      <c r="V130" s="35">
        <v>0</v>
      </c>
      <c r="W130" s="34">
        <f>COUNTIFS($E140:$E164,"4",$F140:$F164,"HH",$C140:$C164,"FST")</f>
        <v>6</v>
      </c>
      <c r="X130" s="35">
        <f>COUNTIFS($E140:$E164,"4",$F140:$F164,"Ped",$C140:$C164,"FST")</f>
        <v>0</v>
      </c>
      <c r="Y130" s="25"/>
      <c r="Z130" s="298" t="s">
        <v>239</v>
      </c>
      <c r="AA130" s="300" t="s">
        <v>240</v>
      </c>
      <c r="AB130" s="301"/>
      <c r="AC130" s="25"/>
      <c r="AD130" s="25"/>
      <c r="AH130" s="109">
        <v>4</v>
      </c>
      <c r="AI130" s="109" t="str">
        <f>IF($E130="SS",COUNTIFS($C140:$C164,"FST",$E140:$E164,"4"),"0")</f>
        <v>0</v>
      </c>
      <c r="AJ130" s="109" t="str">
        <f>IF($E130="RPX",COUNTIFS($C140:$C164,"FST",$E140:$E164,"4"),"0")</f>
        <v>0</v>
      </c>
      <c r="AK130" s="109">
        <f>IF($E130="EUC",COUNTIFS($C140:$C164,"FST",$E140:$E164,"4"),"0")</f>
        <v>7</v>
      </c>
      <c r="AL130" s="109" t="str">
        <f>IF($E130="RPX-T",COUNTIFS($C140:$C164,"FST",$E140:$E164,"4"),"0")</f>
        <v>0</v>
      </c>
      <c r="AS130" s="109" t="str">
        <f>IF(AND(E135="Y",E131=24,E132=0),"Y","N")</f>
        <v>N</v>
      </c>
      <c r="AT130" s="110" t="s">
        <v>241</v>
      </c>
      <c r="AU130" s="109">
        <f>COUNTIFS($E130,"SS",$AS130,"Y")</f>
        <v>0</v>
      </c>
      <c r="AV130" s="111">
        <f>COUNTIFS($E130,"RPX",$AS130,"Y")</f>
        <v>0</v>
      </c>
      <c r="AW130" s="111">
        <f>COUNTIFS($E130,"EUC",$AS130,"Y")</f>
        <v>0</v>
      </c>
      <c r="AX130" s="109">
        <f>COUNTIFS($E130,"RPX-T",$AS130,"Y")</f>
        <v>0</v>
      </c>
      <c r="BA130" s="227"/>
    </row>
    <row r="131" spans="1:53" ht="15.6" thickTop="1" thickBot="1" x14ac:dyDescent="0.35">
      <c r="A131" s="88"/>
      <c r="B131" s="36" t="s">
        <v>242</v>
      </c>
      <c r="C131" s="37">
        <v>0</v>
      </c>
      <c r="D131" s="38" t="s">
        <v>243</v>
      </c>
      <c r="E131" s="32">
        <v>144</v>
      </c>
      <c r="F131" s="88"/>
      <c r="G131" s="291" t="s">
        <v>244</v>
      </c>
      <c r="H131" s="292"/>
      <c r="I131" s="35">
        <f>IF(E131=0,0,12-(MOD(I129,12)))</f>
        <v>8</v>
      </c>
      <c r="J131" s="289" t="s">
        <v>245</v>
      </c>
      <c r="K131" s="290"/>
      <c r="L131" s="39">
        <f>I135-I129</f>
        <v>128</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246</v>
      </c>
      <c r="AU131" s="109">
        <f>COUNTIFS($E130,"SS",$AS131,"Y")</f>
        <v>0</v>
      </c>
      <c r="AV131" s="108">
        <f>COUNTIFS($E130,"RPX",$AS131,"Y")</f>
        <v>0</v>
      </c>
      <c r="AW131" s="108">
        <f>COUNTIFS($E130,"EUC",$AS131,"Y")</f>
        <v>0</v>
      </c>
      <c r="AX131" s="109">
        <f>COUNTIFS($E130,"RPX-T",$AS131,"Y")</f>
        <v>0</v>
      </c>
      <c r="BA131" s="227"/>
    </row>
    <row r="132" spans="1:53" ht="16.5" customHeight="1" thickTop="1" thickBot="1" x14ac:dyDescent="0.35">
      <c r="A132" s="88"/>
      <c r="B132" s="40" t="s">
        <v>247</v>
      </c>
      <c r="C132" s="30">
        <v>0</v>
      </c>
      <c r="D132" s="41" t="s">
        <v>248</v>
      </c>
      <c r="E132" s="42">
        <v>48</v>
      </c>
      <c r="F132" s="88"/>
      <c r="G132" s="321" t="s">
        <v>249</v>
      </c>
      <c r="H132" s="43" t="s">
        <v>250</v>
      </c>
      <c r="I132" s="35">
        <f>IF(E132&lt;&gt;0,1,0)</f>
        <v>1</v>
      </c>
      <c r="J132" s="291" t="s">
        <v>251</v>
      </c>
      <c r="K132" s="292"/>
      <c r="L132" s="44">
        <f>'Cable Calculator'!S3</f>
        <v>1687</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252</v>
      </c>
      <c r="AU132" s="109">
        <f>COUNTIFS($E130,"SS",$AS132,"Y")</f>
        <v>0</v>
      </c>
      <c r="AV132" s="108">
        <f>COUNTIFS($E130,"RPX",$AS132,"Y")</f>
        <v>0</v>
      </c>
      <c r="AW132" s="108">
        <f>COUNTIFS($E130,"EUC",$AS132,"Y")</f>
        <v>0</v>
      </c>
      <c r="AX132" s="109">
        <f>COUNTIFS($E130,"RPX-T",$AS132,"Y")</f>
        <v>0</v>
      </c>
      <c r="BA132" s="227"/>
    </row>
    <row r="133" spans="1:53" ht="15.6" thickTop="1" thickBot="1" x14ac:dyDescent="0.35">
      <c r="A133" s="88"/>
      <c r="B133" s="29" t="s">
        <v>253</v>
      </c>
      <c r="C133" s="37">
        <v>0</v>
      </c>
      <c r="D133" s="41" t="s">
        <v>254</v>
      </c>
      <c r="E133" s="42">
        <v>121</v>
      </c>
      <c r="F133" s="88"/>
      <c r="G133" s="322"/>
      <c r="H133" s="47" t="s">
        <v>255</v>
      </c>
      <c r="I133" s="35">
        <f>IF(E132&lt;&gt;0,E132,0)</f>
        <v>48</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5">
      <c r="A134" s="88"/>
      <c r="B134" s="36" t="s">
        <v>256</v>
      </c>
      <c r="C134" s="30">
        <v>0</v>
      </c>
      <c r="D134" s="49" t="s">
        <v>257</v>
      </c>
      <c r="E134" s="50">
        <f>E131/12</f>
        <v>12</v>
      </c>
      <c r="F134" s="88"/>
      <c r="G134" s="321" t="s">
        <v>258</v>
      </c>
      <c r="H134" s="51" t="s">
        <v>259</v>
      </c>
      <c r="I134" s="112">
        <f>E133</f>
        <v>121</v>
      </c>
      <c r="J134" s="323" t="s">
        <v>260</v>
      </c>
      <c r="K134" s="324"/>
      <c r="L134" s="325"/>
      <c r="M134" s="52" t="s">
        <v>261</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5.6" thickTop="1" thickBot="1" x14ac:dyDescent="0.35">
      <c r="A135" s="88"/>
      <c r="B135" s="36" t="s">
        <v>262</v>
      </c>
      <c r="C135" s="30">
        <v>0</v>
      </c>
      <c r="D135" s="31" t="s">
        <v>263</v>
      </c>
      <c r="E135" s="101" t="str">
        <f>IF('Cable Calculator'!S5="","",'Cable Calculator'!S5)</f>
        <v>N</v>
      </c>
      <c r="F135" s="88"/>
      <c r="G135" s="322"/>
      <c r="H135" s="47" t="s">
        <v>264</v>
      </c>
      <c r="I135" s="35">
        <f>IF(E133="","0",IF(AND(E130="EUC",E131=432), I134+(203-E132),IF(E133=0,0,(E133+(E131-E132)-1))))</f>
        <v>216</v>
      </c>
      <c r="J135" s="286" t="str">
        <f>IFERROR(IF(OR(E130="EUC",E130="SS"),"---",IF(OR(P129,S129),"NO 2F Tethers for RPX!",IF(OR(P131,S131),"NO 6F Tethers for RPX!","---"))),"---")</f>
        <v>---</v>
      </c>
      <c r="K135" s="287"/>
      <c r="L135" s="288"/>
      <c r="M135" s="286" t="str">
        <f>IF(E132&gt;60,"Dead Count &gt;60: Consider Downsize","---")</f>
        <v>---</v>
      </c>
      <c r="N135" s="287"/>
      <c r="O135" s="287"/>
      <c r="P135" s="287"/>
      <c r="Q135" s="287"/>
      <c r="R135" s="287"/>
      <c r="S135" s="287"/>
      <c r="T135" s="287"/>
      <c r="U135" s="288"/>
      <c r="V135" s="100"/>
      <c r="W135" s="54">
        <f>SUM(P135:U135)</f>
        <v>0</v>
      </c>
      <c r="X135" s="54"/>
      <c r="Y135" s="25"/>
      <c r="Z135" s="45">
        <v>4</v>
      </c>
      <c r="AA135" s="46">
        <v>37</v>
      </c>
      <c r="AB135" s="46">
        <v>48</v>
      </c>
      <c r="AC135" s="25"/>
      <c r="AD135" s="25"/>
      <c r="BA135" s="227"/>
    </row>
    <row r="136" spans="1:53" ht="15.6" thickTop="1" thickBot="1" x14ac:dyDescent="0.35">
      <c r="A136" s="88"/>
      <c r="B136" s="55" t="s">
        <v>265</v>
      </c>
      <c r="C136" s="56">
        <f>SUM(C130:C135)+I129</f>
        <v>88</v>
      </c>
      <c r="D136" s="31" t="s">
        <v>266</v>
      </c>
      <c r="E136" s="101" t="str">
        <f>IF(AS130="Y","DBL",IF(AS131="Y","TRPL",IF(AS132="Y","QUAD","")))</f>
        <v/>
      </c>
      <c r="F136" s="88"/>
      <c r="G136" s="192"/>
      <c r="H136" s="57"/>
      <c r="I136" s="192"/>
      <c r="J136" s="286"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7"/>
      <c r="L136" s="288"/>
      <c r="M136" s="286" t="str">
        <f>IF(AND(OR(E130="SS",E130="RPX",E130="EUC",E130="RPX-T"),(OR(C140="",C140="Field SPL"))),"Cannot have FlexNap cables without tethers","---")</f>
        <v>Cannot have FlexNap cables without tethers</v>
      </c>
      <c r="N136" s="287"/>
      <c r="O136" s="287"/>
      <c r="P136" s="287"/>
      <c r="Q136" s="287"/>
      <c r="R136" s="287"/>
      <c r="S136" s="287"/>
      <c r="T136" s="287"/>
      <c r="U136" s="288"/>
      <c r="V136" s="25"/>
      <c r="W136" s="58"/>
      <c r="X136" s="58"/>
      <c r="Y136" s="25"/>
      <c r="Z136" s="45">
        <v>5</v>
      </c>
      <c r="AA136" s="46">
        <v>49</v>
      </c>
      <c r="AB136" s="46">
        <v>60</v>
      </c>
      <c r="AC136" s="25"/>
      <c r="AD136" s="25"/>
      <c r="BA136" s="227"/>
    </row>
    <row r="137" spans="1:53" ht="15.6" thickTop="1" thickBot="1" x14ac:dyDescent="0.35">
      <c r="A137" s="88"/>
      <c r="B137" s="59"/>
      <c r="C137" s="60"/>
      <c r="D137" s="61"/>
      <c r="E137" s="62"/>
      <c r="F137" s="88"/>
      <c r="G137" s="63"/>
      <c r="H137" s="64"/>
      <c r="I137" s="63"/>
      <c r="J137" s="286" t="str">
        <f>IF(AND(OR(E130="RPX", E130="RPX-T", E130="SS"),E131=216),"NO 216 For RPX, RPX-T, OR SS CABLE","---")</f>
        <v>---</v>
      </c>
      <c r="K137" s="287"/>
      <c r="L137" s="288"/>
      <c r="M137" s="286" t="str" cm="1">
        <f t="array" ref="M137">IF(AND(E130="",OR(C140:C164="FST",C140:C164="REV T",C140:C164="DBL REV",C140:C164="TPL REV", C140:C164="QD REV")),"Non-FlexNap cables cannot have tethers","---")</f>
        <v>---</v>
      </c>
      <c r="N137" s="287"/>
      <c r="O137" s="287"/>
      <c r="P137" s="287"/>
      <c r="Q137" s="287"/>
      <c r="R137" s="287"/>
      <c r="S137" s="287"/>
      <c r="T137" s="287"/>
      <c r="U137" s="288"/>
      <c r="V137" s="25"/>
      <c r="W137" s="58"/>
      <c r="X137" s="58"/>
      <c r="Y137" s="25"/>
      <c r="Z137" s="45">
        <v>6</v>
      </c>
      <c r="AA137" s="65">
        <v>61</v>
      </c>
      <c r="AB137" s="65">
        <v>72</v>
      </c>
      <c r="AC137" s="25"/>
      <c r="AD137" s="25"/>
      <c r="BA137" s="226"/>
    </row>
    <row r="138" spans="1:53" ht="15.75" customHeight="1" thickBot="1" x14ac:dyDescent="0.35">
      <c r="A138" s="88"/>
      <c r="B138" s="321" t="s">
        <v>267</v>
      </c>
      <c r="C138" s="293" t="s">
        <v>268</v>
      </c>
      <c r="D138" s="293" t="s">
        <v>269</v>
      </c>
      <c r="E138" s="306" t="s">
        <v>270</v>
      </c>
      <c r="F138" s="293" t="s">
        <v>271</v>
      </c>
      <c r="G138" s="308" t="s">
        <v>272</v>
      </c>
      <c r="H138" s="308" t="s">
        <v>273</v>
      </c>
      <c r="I138" s="308" t="s">
        <v>274</v>
      </c>
      <c r="J138" s="310" t="s">
        <v>275</v>
      </c>
      <c r="K138" s="293" t="s">
        <v>276</v>
      </c>
      <c r="L138" s="280" t="s">
        <v>277</v>
      </c>
      <c r="M138" s="282" t="s">
        <v>278</v>
      </c>
      <c r="N138" s="282"/>
      <c r="O138" s="282"/>
      <c r="P138" s="282"/>
      <c r="Q138" s="282"/>
      <c r="R138" s="282"/>
      <c r="S138" s="282"/>
      <c r="T138" s="282"/>
      <c r="U138" s="283"/>
      <c r="V138" s="107"/>
      <c r="W138" s="72"/>
      <c r="X138" s="72"/>
      <c r="Y138" s="72"/>
      <c r="Z138" s="45">
        <v>7</v>
      </c>
      <c r="AA138" s="65">
        <v>73</v>
      </c>
      <c r="AB138" s="65">
        <v>84</v>
      </c>
      <c r="AC138" s="25"/>
      <c r="AD138" s="25"/>
      <c r="BA138" s="228"/>
    </row>
    <row r="139" spans="1:53" ht="15" thickBot="1" x14ac:dyDescent="0.35">
      <c r="A139" s="88"/>
      <c r="B139" s="322"/>
      <c r="C139" s="294"/>
      <c r="D139" s="294"/>
      <c r="E139" s="307"/>
      <c r="F139" s="294"/>
      <c r="G139" s="309"/>
      <c r="H139" s="309"/>
      <c r="I139" s="309"/>
      <c r="J139" s="311"/>
      <c r="K139" s="294"/>
      <c r="L139" s="281"/>
      <c r="M139" s="284"/>
      <c r="N139" s="284"/>
      <c r="O139" s="284"/>
      <c r="P139" s="284"/>
      <c r="Q139" s="284"/>
      <c r="R139" s="284"/>
      <c r="S139" s="284"/>
      <c r="T139" s="284"/>
      <c r="U139" s="285"/>
      <c r="V139" s="107"/>
      <c r="W139" s="72"/>
      <c r="X139" s="72"/>
      <c r="Y139" s="72"/>
      <c r="Z139" s="45">
        <v>8</v>
      </c>
      <c r="AA139" s="46">
        <v>85</v>
      </c>
      <c r="AB139" s="46">
        <v>96</v>
      </c>
      <c r="AC139" s="25"/>
      <c r="AD139" s="25"/>
      <c r="AI139" s="109" t="s">
        <v>279</v>
      </c>
      <c r="AJ139" s="109" t="s">
        <v>280</v>
      </c>
      <c r="AK139" s="109" t="s">
        <v>281</v>
      </c>
      <c r="AL139" s="109" t="s">
        <v>282</v>
      </c>
      <c r="BA139" s="228"/>
    </row>
    <row r="140" spans="1:53" ht="15" thickBot="1" x14ac:dyDescent="0.35">
      <c r="A140" s="88"/>
      <c r="B140" s="66" t="s">
        <v>283</v>
      </c>
      <c r="C140" s="67" t="s">
        <v>284</v>
      </c>
      <c r="D140" s="102"/>
      <c r="E140" s="32">
        <v>36</v>
      </c>
      <c r="F140" s="32"/>
      <c r="G140" s="68" t="s">
        <v>285</v>
      </c>
      <c r="H140" s="69">
        <f>IF(I140=0,0,I140-(E140-1))</f>
        <v>181</v>
      </c>
      <c r="I140" s="70">
        <f>IF(E140=0,0,I135)</f>
        <v>216</v>
      </c>
      <c r="J140" s="71" t="s">
        <v>286</v>
      </c>
      <c r="K140" s="32"/>
      <c r="L140" s="233"/>
      <c r="M140" s="278" t="s">
        <v>480</v>
      </c>
      <c r="N140" s="278"/>
      <c r="O140" s="278"/>
      <c r="P140" s="278"/>
      <c r="Q140" s="278"/>
      <c r="R140" s="278"/>
      <c r="S140" s="278"/>
      <c r="T140" s="278"/>
      <c r="U140" s="279"/>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181-216</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 thickBot="1" x14ac:dyDescent="0.35">
      <c r="A141" s="88"/>
      <c r="B141" s="66" t="s">
        <v>288</v>
      </c>
      <c r="C141" s="67" t="s">
        <v>322</v>
      </c>
      <c r="D141" s="102" t="s">
        <v>799</v>
      </c>
      <c r="E141" s="32">
        <v>4</v>
      </c>
      <c r="F141" s="32" t="s">
        <v>324</v>
      </c>
      <c r="G141" s="68" t="s">
        <v>285</v>
      </c>
      <c r="H141" s="69">
        <f t="shared" ref="H141:H164" si="60">IF(E141=0,0,I141-(E141-1))</f>
        <v>177</v>
      </c>
      <c r="I141" s="70">
        <f t="shared" ref="I141:I164" si="61">IF(E141=0,0,H140-1)</f>
        <v>180</v>
      </c>
      <c r="J141" s="73" t="str">
        <f>IF(C141="","--",IF(AND(C141&lt;&gt;"FST",C141&lt;&gt;"TCF",BA140&lt;&gt;0),BA140,"--"))</f>
        <v>--</v>
      </c>
      <c r="K141" s="32"/>
      <c r="L141" s="233"/>
      <c r="M141" s="278"/>
      <c r="N141" s="278"/>
      <c r="O141" s="278"/>
      <c r="P141" s="278"/>
      <c r="Q141" s="278"/>
      <c r="R141" s="278"/>
      <c r="S141" s="278"/>
      <c r="T141" s="278"/>
      <c r="U141" s="279"/>
      <c r="V141" s="103"/>
      <c r="W141" s="72"/>
      <c r="X141" s="72"/>
      <c r="Y141" s="72"/>
      <c r="Z141" s="45">
        <v>10</v>
      </c>
      <c r="AA141" s="46">
        <v>109</v>
      </c>
      <c r="AB141" s="46">
        <v>120</v>
      </c>
      <c r="AC141" s="72">
        <f t="shared" si="51"/>
        <v>1</v>
      </c>
      <c r="AD141" s="72">
        <f t="shared" si="52"/>
        <v>0</v>
      </c>
      <c r="AE141" s="109" t="str">
        <f t="shared" si="53"/>
        <v>177-180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4</v>
      </c>
    </row>
    <row r="142" spans="1:53" ht="15" thickBot="1" x14ac:dyDescent="0.35">
      <c r="A142" s="88"/>
      <c r="B142" s="74" t="s">
        <v>290</v>
      </c>
      <c r="C142" s="67" t="s">
        <v>322</v>
      </c>
      <c r="D142" s="102" t="s">
        <v>800</v>
      </c>
      <c r="E142" s="32">
        <v>4</v>
      </c>
      <c r="F142" s="32" t="s">
        <v>324</v>
      </c>
      <c r="G142" s="75" t="s">
        <v>285</v>
      </c>
      <c r="H142" s="69">
        <f t="shared" si="60"/>
        <v>173</v>
      </c>
      <c r="I142" s="70">
        <f t="shared" si="61"/>
        <v>176</v>
      </c>
      <c r="J142" s="73" t="str">
        <f t="shared" ref="J142:J164" si="62">IF(C142="","--",IF(AND(C142&lt;&gt;"FST",C142&lt;&gt;"TCF",BA141&lt;&gt;0),BA141,"--"))</f>
        <v>--</v>
      </c>
      <c r="K142" s="32"/>
      <c r="L142" s="233"/>
      <c r="M142" s="278"/>
      <c r="N142" s="278"/>
      <c r="O142" s="278"/>
      <c r="P142" s="278"/>
      <c r="Q142" s="278"/>
      <c r="R142" s="278"/>
      <c r="S142" s="278"/>
      <c r="T142" s="278"/>
      <c r="U142" s="279"/>
      <c r="V142" s="103"/>
      <c r="W142" s="72"/>
      <c r="X142" s="72"/>
      <c r="Y142" s="72"/>
      <c r="Z142" s="45">
        <v>11</v>
      </c>
      <c r="AA142" s="46">
        <v>121</v>
      </c>
      <c r="AB142" s="46">
        <v>132</v>
      </c>
      <c r="AC142" s="72">
        <f t="shared" si="51"/>
        <v>1</v>
      </c>
      <c r="AD142" s="72">
        <f t="shared" si="52"/>
        <v>0</v>
      </c>
      <c r="AE142" s="109" t="str">
        <f t="shared" si="53"/>
        <v>173-176</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 thickBot="1" x14ac:dyDescent="0.35">
      <c r="A143" s="88"/>
      <c r="B143" s="66" t="s">
        <v>292</v>
      </c>
      <c r="C143" s="67" t="s">
        <v>322</v>
      </c>
      <c r="D143" s="102" t="s">
        <v>801</v>
      </c>
      <c r="E143" s="32">
        <v>4</v>
      </c>
      <c r="F143" s="32" t="s">
        <v>324</v>
      </c>
      <c r="G143" s="68" t="s">
        <v>285</v>
      </c>
      <c r="H143" s="69">
        <f t="shared" si="60"/>
        <v>169</v>
      </c>
      <c r="I143" s="70">
        <f t="shared" si="61"/>
        <v>172</v>
      </c>
      <c r="J143" s="73" t="str">
        <f t="shared" si="62"/>
        <v>--</v>
      </c>
      <c r="K143" s="32"/>
      <c r="L143" s="233"/>
      <c r="M143" s="278"/>
      <c r="N143" s="278"/>
      <c r="O143" s="278"/>
      <c r="P143" s="278"/>
      <c r="Q143" s="278"/>
      <c r="R143" s="278"/>
      <c r="S143" s="278"/>
      <c r="T143" s="278"/>
      <c r="U143" s="279"/>
      <c r="V143" s="103"/>
      <c r="W143" s="72"/>
      <c r="X143" s="72"/>
      <c r="Y143" s="72"/>
      <c r="Z143" s="45">
        <v>12</v>
      </c>
      <c r="AA143" s="76">
        <v>133</v>
      </c>
      <c r="AB143" s="76">
        <v>144</v>
      </c>
      <c r="AC143" s="72">
        <f t="shared" si="51"/>
        <v>1</v>
      </c>
      <c r="AD143" s="72">
        <f t="shared" si="52"/>
        <v>0</v>
      </c>
      <c r="AE143" s="109" t="str">
        <f t="shared" si="53"/>
        <v>169-172</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 thickBot="1" x14ac:dyDescent="0.35">
      <c r="A144" s="88"/>
      <c r="B144" s="66" t="s">
        <v>293</v>
      </c>
      <c r="C144" s="67" t="s">
        <v>284</v>
      </c>
      <c r="D144" s="102"/>
      <c r="E144" s="32">
        <v>24</v>
      </c>
      <c r="F144" s="32"/>
      <c r="G144" s="68" t="s">
        <v>285</v>
      </c>
      <c r="H144" s="69">
        <f t="shared" si="60"/>
        <v>145</v>
      </c>
      <c r="I144" s="70">
        <f t="shared" si="61"/>
        <v>168</v>
      </c>
      <c r="J144" s="73" t="str">
        <f t="shared" si="62"/>
        <v>--</v>
      </c>
      <c r="K144" s="32"/>
      <c r="L144" s="233"/>
      <c r="M144" s="278" t="s">
        <v>481</v>
      </c>
      <c r="N144" s="278"/>
      <c r="O144" s="278"/>
      <c r="P144" s="278"/>
      <c r="Q144" s="278"/>
      <c r="R144" s="278"/>
      <c r="S144" s="278"/>
      <c r="T144" s="278"/>
      <c r="U144" s="27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145-168</v>
      </c>
      <c r="AF144" s="109" t="str">
        <f t="shared" si="54"/>
        <v>N</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4</v>
      </c>
    </row>
    <row r="145" spans="1:53" ht="15" thickBot="1" x14ac:dyDescent="0.35">
      <c r="A145" s="88"/>
      <c r="B145" s="66" t="s">
        <v>294</v>
      </c>
      <c r="C145" s="67" t="s">
        <v>322</v>
      </c>
      <c r="D145" s="102" t="s">
        <v>802</v>
      </c>
      <c r="E145" s="32">
        <v>4</v>
      </c>
      <c r="F145" s="32" t="s">
        <v>324</v>
      </c>
      <c r="G145" s="68" t="s">
        <v>285</v>
      </c>
      <c r="H145" s="69">
        <f t="shared" si="60"/>
        <v>141</v>
      </c>
      <c r="I145" s="70">
        <f t="shared" si="61"/>
        <v>144</v>
      </c>
      <c r="J145" s="73" t="str">
        <f t="shared" si="62"/>
        <v>--</v>
      </c>
      <c r="K145" s="32"/>
      <c r="L145" s="233"/>
      <c r="M145" s="278"/>
      <c r="N145" s="278"/>
      <c r="O145" s="278"/>
      <c r="P145" s="278"/>
      <c r="Q145" s="278"/>
      <c r="R145" s="278"/>
      <c r="S145" s="278"/>
      <c r="T145" s="278"/>
      <c r="U145" s="279"/>
      <c r="V145" s="103"/>
      <c r="W145" s="72"/>
      <c r="X145" s="72"/>
      <c r="Y145" s="72"/>
      <c r="Z145" s="45">
        <v>14</v>
      </c>
      <c r="AA145" s="77">
        <f t="shared" si="63"/>
        <v>157</v>
      </c>
      <c r="AB145" s="77">
        <f t="shared" si="64"/>
        <v>168</v>
      </c>
      <c r="AC145" s="72">
        <f t="shared" si="51"/>
        <v>1</v>
      </c>
      <c r="AD145" s="72">
        <f t="shared" si="52"/>
        <v>0</v>
      </c>
      <c r="AE145" s="109" t="str">
        <f t="shared" si="53"/>
        <v>141-144</v>
      </c>
      <c r="AF145" s="109" t="str">
        <f t="shared" si="54"/>
        <v>Y</v>
      </c>
      <c r="AG145" s="109" t="str">
        <f t="shared" si="55"/>
        <v>B</v>
      </c>
      <c r="AM145" s="109">
        <f t="shared" si="56"/>
        <v>0</v>
      </c>
      <c r="AN145" s="109">
        <f t="shared" si="57"/>
        <v>0</v>
      </c>
      <c r="AO145" s="109" t="str">
        <f t="shared" si="58"/>
        <v/>
      </c>
      <c r="AQ145" s="109" t="str">
        <f t="shared" si="59"/>
        <v/>
      </c>
      <c r="BA145" s="229">
        <f>MOD(SUM(E140:E146),12)</f>
        <v>8</v>
      </c>
    </row>
    <row r="146" spans="1:53" ht="15" thickBot="1" x14ac:dyDescent="0.35">
      <c r="A146" s="88"/>
      <c r="B146" s="66" t="s">
        <v>295</v>
      </c>
      <c r="C146" s="67" t="s">
        <v>322</v>
      </c>
      <c r="D146" s="102" t="s">
        <v>803</v>
      </c>
      <c r="E146" s="32">
        <v>4</v>
      </c>
      <c r="F146" s="32" t="s">
        <v>324</v>
      </c>
      <c r="G146" s="68" t="s">
        <v>285</v>
      </c>
      <c r="H146" s="69">
        <f t="shared" si="60"/>
        <v>137</v>
      </c>
      <c r="I146" s="70">
        <f t="shared" si="61"/>
        <v>140</v>
      </c>
      <c r="J146" s="73" t="str">
        <f t="shared" si="62"/>
        <v>--</v>
      </c>
      <c r="K146" s="32"/>
      <c r="L146" s="233"/>
      <c r="M146" s="278"/>
      <c r="N146" s="278"/>
      <c r="O146" s="278"/>
      <c r="P146" s="278"/>
      <c r="Q146" s="278"/>
      <c r="R146" s="278"/>
      <c r="S146" s="278"/>
      <c r="T146" s="278"/>
      <c r="U146" s="279"/>
      <c r="V146" s="103"/>
      <c r="W146" s="72"/>
      <c r="X146" s="72"/>
      <c r="Y146" s="72"/>
      <c r="Z146" s="45">
        <v>15</v>
      </c>
      <c r="AA146" s="77">
        <f t="shared" si="63"/>
        <v>169</v>
      </c>
      <c r="AB146" s="77">
        <f t="shared" si="64"/>
        <v>180</v>
      </c>
      <c r="AC146" s="72">
        <f t="shared" si="51"/>
        <v>1</v>
      </c>
      <c r="AD146" s="72">
        <f t="shared" si="52"/>
        <v>0</v>
      </c>
      <c r="AE146" s="109" t="str">
        <f t="shared" si="53"/>
        <v>137-140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 thickBot="1" x14ac:dyDescent="0.35">
      <c r="A147" s="88"/>
      <c r="B147" s="66" t="s">
        <v>296</v>
      </c>
      <c r="C147" s="67" t="s">
        <v>322</v>
      </c>
      <c r="D147" s="102" t="s">
        <v>804</v>
      </c>
      <c r="E147" s="32">
        <v>4</v>
      </c>
      <c r="F147" s="32" t="s">
        <v>324</v>
      </c>
      <c r="G147" s="68" t="s">
        <v>285</v>
      </c>
      <c r="H147" s="69">
        <f t="shared" si="60"/>
        <v>133</v>
      </c>
      <c r="I147" s="70">
        <f t="shared" si="61"/>
        <v>136</v>
      </c>
      <c r="J147" s="73" t="str">
        <f t="shared" si="62"/>
        <v>--</v>
      </c>
      <c r="K147" s="32"/>
      <c r="L147" s="233"/>
      <c r="M147" s="278"/>
      <c r="N147" s="278"/>
      <c r="O147" s="278"/>
      <c r="P147" s="278"/>
      <c r="Q147" s="278"/>
      <c r="R147" s="278"/>
      <c r="S147" s="278"/>
      <c r="T147" s="278"/>
      <c r="U147" s="279"/>
      <c r="V147" s="103"/>
      <c r="W147" s="72"/>
      <c r="X147" s="72"/>
      <c r="Y147" s="72"/>
      <c r="Z147" s="45">
        <f>Z146+1</f>
        <v>16</v>
      </c>
      <c r="AA147" s="77">
        <f t="shared" si="63"/>
        <v>181</v>
      </c>
      <c r="AB147" s="77">
        <f t="shared" si="64"/>
        <v>192</v>
      </c>
      <c r="AC147" s="72">
        <f t="shared" si="51"/>
        <v>1</v>
      </c>
      <c r="AD147" s="72">
        <f t="shared" si="52"/>
        <v>0</v>
      </c>
      <c r="AE147" s="109" t="str">
        <f t="shared" si="53"/>
        <v>133-136</v>
      </c>
      <c r="AF147" s="109" t="str">
        <f t="shared" si="54"/>
        <v>Y</v>
      </c>
      <c r="AG147" s="109" t="str">
        <f t="shared" si="55"/>
        <v>B</v>
      </c>
      <c r="AM147" s="109">
        <f t="shared" si="56"/>
        <v>0</v>
      </c>
      <c r="AN147" s="109">
        <f t="shared" si="57"/>
        <v>0</v>
      </c>
      <c r="AO147" s="109" t="str">
        <f t="shared" si="58"/>
        <v/>
      </c>
      <c r="AQ147" s="109" t="str">
        <f t="shared" si="59"/>
        <v/>
      </c>
      <c r="BA147" s="229">
        <f>MOD(SUM(E140:E148),12)</f>
        <v>4</v>
      </c>
    </row>
    <row r="148" spans="1:53" ht="15" thickBot="1" x14ac:dyDescent="0.35">
      <c r="A148" s="88"/>
      <c r="B148" s="66" t="s">
        <v>297</v>
      </c>
      <c r="C148" s="67" t="s">
        <v>322</v>
      </c>
      <c r="D148" s="102" t="s">
        <v>805</v>
      </c>
      <c r="E148" s="32">
        <v>4</v>
      </c>
      <c r="F148" s="32"/>
      <c r="G148" s="68" t="s">
        <v>285</v>
      </c>
      <c r="H148" s="69">
        <f t="shared" si="60"/>
        <v>129</v>
      </c>
      <c r="I148" s="70">
        <f t="shared" si="61"/>
        <v>132</v>
      </c>
      <c r="J148" s="73" t="str">
        <f t="shared" si="62"/>
        <v>--</v>
      </c>
      <c r="K148" s="32"/>
      <c r="L148" s="233"/>
      <c r="M148" s="278" t="s">
        <v>809</v>
      </c>
      <c r="N148" s="278"/>
      <c r="O148" s="278"/>
      <c r="P148" s="278"/>
      <c r="Q148" s="278"/>
      <c r="R148" s="278"/>
      <c r="S148" s="278"/>
      <c r="T148" s="278"/>
      <c r="U148" s="279"/>
      <c r="V148" s="103"/>
      <c r="W148" s="72"/>
      <c r="X148" s="72"/>
      <c r="Y148" s="72"/>
      <c r="Z148" s="45">
        <f>Z147+1</f>
        <v>17</v>
      </c>
      <c r="AA148" s="77">
        <f t="shared" si="63"/>
        <v>193</v>
      </c>
      <c r="AB148" s="77">
        <f t="shared" si="64"/>
        <v>204</v>
      </c>
      <c r="AC148" s="72">
        <f t="shared" si="51"/>
        <v>1</v>
      </c>
      <c r="AD148" s="72">
        <f t="shared" si="52"/>
        <v>0</v>
      </c>
      <c r="AE148" s="109" t="str">
        <f t="shared" si="53"/>
        <v>129-132</v>
      </c>
      <c r="AF148" s="109" t="str">
        <f t="shared" si="54"/>
        <v>Y</v>
      </c>
      <c r="AG148" s="109" t="str">
        <f t="shared" si="55"/>
        <v>B</v>
      </c>
      <c r="AM148" s="109">
        <f t="shared" si="56"/>
        <v>0</v>
      </c>
      <c r="AN148" s="109">
        <f t="shared" si="57"/>
        <v>0</v>
      </c>
      <c r="AO148" s="109" t="str">
        <f t="shared" si="58"/>
        <v/>
      </c>
      <c r="AQ148" s="109" t="str">
        <f t="shared" si="59"/>
        <v/>
      </c>
      <c r="BA148" s="229">
        <f>MOD(SUM(E140:E149),12)</f>
        <v>4</v>
      </c>
    </row>
    <row r="149" spans="1:53" ht="15" thickBot="1" x14ac:dyDescent="0.35">
      <c r="A149" s="88"/>
      <c r="B149" s="66" t="s">
        <v>298</v>
      </c>
      <c r="C149" s="67"/>
      <c r="D149" s="102"/>
      <c r="E149" s="32"/>
      <c r="F149" s="32"/>
      <c r="G149" s="68" t="s">
        <v>285</v>
      </c>
      <c r="H149" s="69">
        <f t="shared" si="60"/>
        <v>0</v>
      </c>
      <c r="I149" s="70">
        <f t="shared" si="61"/>
        <v>0</v>
      </c>
      <c r="J149" s="73" t="str">
        <f t="shared" si="62"/>
        <v>--</v>
      </c>
      <c r="K149" s="32"/>
      <c r="L149" s="233"/>
      <c r="M149" s="278"/>
      <c r="N149" s="278"/>
      <c r="O149" s="278"/>
      <c r="P149" s="278"/>
      <c r="Q149" s="278"/>
      <c r="R149" s="278"/>
      <c r="S149" s="278"/>
      <c r="T149" s="278"/>
      <c r="U149" s="27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4</v>
      </c>
    </row>
    <row r="150" spans="1:53" ht="15" thickBot="1" x14ac:dyDescent="0.35">
      <c r="A150" s="88"/>
      <c r="B150" s="66" t="s">
        <v>299</v>
      </c>
      <c r="C150" s="67"/>
      <c r="D150" s="102"/>
      <c r="E150" s="32"/>
      <c r="F150" s="32"/>
      <c r="G150" s="68" t="s">
        <v>285</v>
      </c>
      <c r="H150" s="69">
        <f t="shared" si="60"/>
        <v>0</v>
      </c>
      <c r="I150" s="70">
        <f t="shared" si="61"/>
        <v>0</v>
      </c>
      <c r="J150" s="73" t="str">
        <f t="shared" si="62"/>
        <v>--</v>
      </c>
      <c r="K150" s="32"/>
      <c r="L150" s="233"/>
      <c r="M150" s="278"/>
      <c r="N150" s="278"/>
      <c r="O150" s="278"/>
      <c r="P150" s="278"/>
      <c r="Q150" s="278"/>
      <c r="R150" s="278"/>
      <c r="S150" s="278"/>
      <c r="T150" s="278"/>
      <c r="U150" s="27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4</v>
      </c>
    </row>
    <row r="151" spans="1:53" ht="15" thickBot="1" x14ac:dyDescent="0.35">
      <c r="A151" s="88"/>
      <c r="B151" s="66" t="s">
        <v>300</v>
      </c>
      <c r="C151" s="67"/>
      <c r="D151" s="102"/>
      <c r="E151" s="32"/>
      <c r="F151" s="32"/>
      <c r="G151" s="68" t="s">
        <v>285</v>
      </c>
      <c r="H151" s="69">
        <f t="shared" si="60"/>
        <v>0</v>
      </c>
      <c r="I151" s="70">
        <f t="shared" si="61"/>
        <v>0</v>
      </c>
      <c r="J151" s="73" t="str">
        <f t="shared" si="62"/>
        <v>--</v>
      </c>
      <c r="K151" s="32"/>
      <c r="L151" s="233"/>
      <c r="M151" s="278"/>
      <c r="N151" s="278"/>
      <c r="O151" s="278"/>
      <c r="P151" s="278"/>
      <c r="Q151" s="278"/>
      <c r="R151" s="278"/>
      <c r="S151" s="278"/>
      <c r="T151" s="278"/>
      <c r="U151" s="279"/>
      <c r="V151" s="103"/>
      <c r="W151" s="84">
        <f>Y151+1</f>
        <v>89</v>
      </c>
      <c r="X151" s="84"/>
      <c r="Y151" s="78">
        <f>SUM(E140:E151)</f>
        <v>88</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4</v>
      </c>
    </row>
    <row r="152" spans="1:53" ht="15" thickBot="1" x14ac:dyDescent="0.35">
      <c r="A152" s="88"/>
      <c r="B152" s="66" t="s">
        <v>301</v>
      </c>
      <c r="C152" s="67"/>
      <c r="D152" s="102"/>
      <c r="E152" s="32"/>
      <c r="F152" s="32"/>
      <c r="G152" s="68" t="s">
        <v>285</v>
      </c>
      <c r="H152" s="69">
        <f t="shared" si="60"/>
        <v>0</v>
      </c>
      <c r="I152" s="70">
        <f t="shared" si="61"/>
        <v>0</v>
      </c>
      <c r="J152" s="73" t="str">
        <f t="shared" si="62"/>
        <v>--</v>
      </c>
      <c r="K152" s="32"/>
      <c r="L152" s="233"/>
      <c r="M152" s="278"/>
      <c r="N152" s="278"/>
      <c r="O152" s="278"/>
      <c r="P152" s="278"/>
      <c r="Q152" s="278"/>
      <c r="R152" s="278"/>
      <c r="S152" s="278"/>
      <c r="T152" s="278"/>
      <c r="U152" s="279"/>
      <c r="V152" s="103"/>
      <c r="W152" s="84">
        <f>Y152+1</f>
        <v>89</v>
      </c>
      <c r="X152" s="84"/>
      <c r="Y152" s="78">
        <f>SUM(E140:E152)</f>
        <v>88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4</v>
      </c>
    </row>
    <row r="153" spans="1:53" ht="15" thickBot="1" x14ac:dyDescent="0.35">
      <c r="A153" s="88"/>
      <c r="B153" s="66" t="s">
        <v>302</v>
      </c>
      <c r="C153" s="67"/>
      <c r="D153" s="102"/>
      <c r="E153" s="32"/>
      <c r="F153" s="32"/>
      <c r="G153" s="68" t="s">
        <v>285</v>
      </c>
      <c r="H153" s="69">
        <f t="shared" si="60"/>
        <v>0</v>
      </c>
      <c r="I153" s="70">
        <f t="shared" si="61"/>
        <v>0</v>
      </c>
      <c r="J153" s="73" t="str">
        <f t="shared" si="62"/>
        <v>--</v>
      </c>
      <c r="K153" s="32"/>
      <c r="L153" s="233"/>
      <c r="M153" s="278"/>
      <c r="N153" s="278"/>
      <c r="O153" s="278"/>
      <c r="P153" s="278"/>
      <c r="Q153" s="278"/>
      <c r="R153" s="278"/>
      <c r="S153" s="278"/>
      <c r="T153" s="278"/>
      <c r="U153" s="279"/>
      <c r="V153" s="103"/>
      <c r="W153" s="84">
        <f>Y153+1</f>
        <v>89</v>
      </c>
      <c r="X153" s="84"/>
      <c r="Y153" s="78">
        <f>SUM(E140:E153)</f>
        <v>88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4</v>
      </c>
    </row>
    <row r="154" spans="1:53" ht="15" thickBot="1" x14ac:dyDescent="0.35">
      <c r="A154" s="88"/>
      <c r="B154" s="66" t="s">
        <v>303</v>
      </c>
      <c r="C154" s="67"/>
      <c r="D154" s="102"/>
      <c r="E154" s="32"/>
      <c r="F154" s="32"/>
      <c r="G154" s="68" t="s">
        <v>285</v>
      </c>
      <c r="H154" s="69">
        <f t="shared" si="60"/>
        <v>0</v>
      </c>
      <c r="I154" s="70">
        <f t="shared" si="61"/>
        <v>0</v>
      </c>
      <c r="J154" s="73" t="str">
        <f t="shared" si="62"/>
        <v>--</v>
      </c>
      <c r="K154" s="32"/>
      <c r="L154" s="233"/>
      <c r="M154" s="278"/>
      <c r="N154" s="278"/>
      <c r="O154" s="278"/>
      <c r="P154" s="278"/>
      <c r="Q154" s="278"/>
      <c r="R154" s="278"/>
      <c r="S154" s="278"/>
      <c r="T154" s="278"/>
      <c r="U154" s="279"/>
      <c r="V154" s="103"/>
      <c r="W154" s="84">
        <f>Y154+1</f>
        <v>89</v>
      </c>
      <c r="X154" s="84"/>
      <c r="Y154" s="78">
        <f>SUM(E140:E154)</f>
        <v>88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4</v>
      </c>
    </row>
    <row r="155" spans="1:53" ht="15" thickBot="1" x14ac:dyDescent="0.35">
      <c r="A155" s="88"/>
      <c r="B155" s="66" t="s">
        <v>304</v>
      </c>
      <c r="C155" s="67"/>
      <c r="D155" s="102"/>
      <c r="E155" s="32"/>
      <c r="F155" s="32"/>
      <c r="G155" s="68" t="s">
        <v>285</v>
      </c>
      <c r="H155" s="69">
        <f t="shared" si="60"/>
        <v>0</v>
      </c>
      <c r="I155" s="70">
        <f t="shared" si="61"/>
        <v>0</v>
      </c>
      <c r="J155" s="73" t="str">
        <f t="shared" si="62"/>
        <v>--</v>
      </c>
      <c r="K155" s="32"/>
      <c r="L155" s="233"/>
      <c r="M155" s="278"/>
      <c r="N155" s="278"/>
      <c r="O155" s="278"/>
      <c r="P155" s="278"/>
      <c r="Q155" s="278"/>
      <c r="R155" s="278"/>
      <c r="S155" s="278"/>
      <c r="T155" s="278"/>
      <c r="U155" s="279"/>
      <c r="V155" s="103"/>
      <c r="W155" s="84">
        <f t="shared" ref="W155:W163" si="67">Y155+1</f>
        <v>89</v>
      </c>
      <c r="X155" s="84"/>
      <c r="Y155" s="78">
        <f>SUM(E140:E155)</f>
        <v>88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4</v>
      </c>
    </row>
    <row r="156" spans="1:53" ht="15" thickBot="1" x14ac:dyDescent="0.35">
      <c r="A156" s="88"/>
      <c r="B156" s="66" t="s">
        <v>305</v>
      </c>
      <c r="C156" s="67"/>
      <c r="D156" s="102"/>
      <c r="E156" s="32"/>
      <c r="F156" s="32"/>
      <c r="G156" s="68" t="s">
        <v>285</v>
      </c>
      <c r="H156" s="69">
        <f t="shared" si="60"/>
        <v>0</v>
      </c>
      <c r="I156" s="70">
        <f t="shared" si="61"/>
        <v>0</v>
      </c>
      <c r="J156" s="73" t="str">
        <f t="shared" si="62"/>
        <v>--</v>
      </c>
      <c r="K156" s="32"/>
      <c r="L156" s="233"/>
      <c r="M156" s="278"/>
      <c r="N156" s="278"/>
      <c r="O156" s="278"/>
      <c r="P156" s="278"/>
      <c r="Q156" s="278"/>
      <c r="R156" s="278"/>
      <c r="S156" s="278"/>
      <c r="T156" s="278"/>
      <c r="U156" s="279"/>
      <c r="V156" s="103"/>
      <c r="W156" s="84">
        <f t="shared" si="67"/>
        <v>89</v>
      </c>
      <c r="X156" s="84"/>
      <c r="Y156" s="78">
        <f>SUM(E140:E156)</f>
        <v>88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4</v>
      </c>
    </row>
    <row r="157" spans="1:53" ht="15" thickBot="1" x14ac:dyDescent="0.35">
      <c r="A157" s="88"/>
      <c r="B157" s="66" t="s">
        <v>306</v>
      </c>
      <c r="C157" s="67"/>
      <c r="D157" s="102"/>
      <c r="E157" s="32"/>
      <c r="F157" s="32"/>
      <c r="G157" s="68" t="s">
        <v>285</v>
      </c>
      <c r="H157" s="69">
        <f t="shared" si="60"/>
        <v>0</v>
      </c>
      <c r="I157" s="70">
        <f t="shared" si="61"/>
        <v>0</v>
      </c>
      <c r="J157" s="73" t="str">
        <f t="shared" si="62"/>
        <v>--</v>
      </c>
      <c r="K157" s="32"/>
      <c r="L157" s="233"/>
      <c r="M157" s="278"/>
      <c r="N157" s="278"/>
      <c r="O157" s="278"/>
      <c r="P157" s="278"/>
      <c r="Q157" s="278"/>
      <c r="R157" s="278"/>
      <c r="S157" s="278"/>
      <c r="T157" s="278"/>
      <c r="U157" s="279"/>
      <c r="V157" s="103"/>
      <c r="W157" s="84">
        <f t="shared" si="67"/>
        <v>89</v>
      </c>
      <c r="X157" s="84"/>
      <c r="Y157" s="78">
        <f>SUM(E140:E157)</f>
        <v>88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4</v>
      </c>
    </row>
    <row r="158" spans="1:53" ht="15" thickBot="1" x14ac:dyDescent="0.35">
      <c r="A158" s="88"/>
      <c r="B158" s="66" t="s">
        <v>307</v>
      </c>
      <c r="C158" s="67"/>
      <c r="D158" s="102"/>
      <c r="E158" s="32"/>
      <c r="F158" s="32"/>
      <c r="G158" s="68" t="s">
        <v>285</v>
      </c>
      <c r="H158" s="69">
        <f t="shared" si="60"/>
        <v>0</v>
      </c>
      <c r="I158" s="70">
        <f t="shared" si="61"/>
        <v>0</v>
      </c>
      <c r="J158" s="73" t="str">
        <f t="shared" si="62"/>
        <v>--</v>
      </c>
      <c r="K158" s="32"/>
      <c r="L158" s="233"/>
      <c r="M158" s="278"/>
      <c r="N158" s="278"/>
      <c r="O158" s="278"/>
      <c r="P158" s="278"/>
      <c r="Q158" s="278"/>
      <c r="R158" s="278"/>
      <c r="S158" s="278"/>
      <c r="T158" s="278"/>
      <c r="U158" s="279"/>
      <c r="V158" s="103"/>
      <c r="W158" s="84">
        <f t="shared" si="67"/>
        <v>89</v>
      </c>
      <c r="X158" s="84"/>
      <c r="Y158" s="78">
        <f>SUM(E140:E158)</f>
        <v>88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4</v>
      </c>
    </row>
    <row r="159" spans="1:53" ht="15" thickBot="1" x14ac:dyDescent="0.35">
      <c r="A159" s="88"/>
      <c r="B159" s="66" t="s">
        <v>308</v>
      </c>
      <c r="C159" s="67"/>
      <c r="D159" s="102"/>
      <c r="E159" s="32"/>
      <c r="F159" s="32"/>
      <c r="G159" s="68" t="s">
        <v>285</v>
      </c>
      <c r="H159" s="69">
        <f t="shared" si="60"/>
        <v>0</v>
      </c>
      <c r="I159" s="70">
        <f t="shared" si="61"/>
        <v>0</v>
      </c>
      <c r="J159" s="73" t="str">
        <f t="shared" si="62"/>
        <v>--</v>
      </c>
      <c r="K159" s="32"/>
      <c r="L159" s="233"/>
      <c r="M159" s="278"/>
      <c r="N159" s="278"/>
      <c r="O159" s="278"/>
      <c r="P159" s="278"/>
      <c r="Q159" s="278"/>
      <c r="R159" s="278"/>
      <c r="S159" s="278"/>
      <c r="T159" s="278"/>
      <c r="U159" s="279"/>
      <c r="V159" s="103"/>
      <c r="W159" s="84">
        <f t="shared" si="67"/>
        <v>89</v>
      </c>
      <c r="X159" s="84"/>
      <c r="Y159" s="78">
        <f>SUM(E140:E159)</f>
        <v>88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4</v>
      </c>
    </row>
    <row r="160" spans="1:53" ht="15" thickBot="1" x14ac:dyDescent="0.35">
      <c r="A160" s="88"/>
      <c r="B160" s="66" t="s">
        <v>309</v>
      </c>
      <c r="C160" s="67"/>
      <c r="D160" s="102"/>
      <c r="E160" s="32"/>
      <c r="F160" s="32"/>
      <c r="G160" s="68" t="s">
        <v>285</v>
      </c>
      <c r="H160" s="69">
        <f t="shared" si="60"/>
        <v>0</v>
      </c>
      <c r="I160" s="70">
        <f t="shared" si="61"/>
        <v>0</v>
      </c>
      <c r="J160" s="73" t="str">
        <f t="shared" si="62"/>
        <v>--</v>
      </c>
      <c r="K160" s="32"/>
      <c r="L160" s="233"/>
      <c r="M160" s="278"/>
      <c r="N160" s="278"/>
      <c r="O160" s="278"/>
      <c r="P160" s="278"/>
      <c r="Q160" s="278"/>
      <c r="R160" s="278"/>
      <c r="S160" s="278"/>
      <c r="T160" s="278"/>
      <c r="U160" s="279"/>
      <c r="V160" s="103"/>
      <c r="W160" s="84">
        <f t="shared" si="67"/>
        <v>89</v>
      </c>
      <c r="X160" s="84"/>
      <c r="Y160" s="78">
        <f>SUM(E140:E160)</f>
        <v>88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4</v>
      </c>
    </row>
    <row r="161" spans="1:53" ht="15" thickBot="1" x14ac:dyDescent="0.35">
      <c r="A161" s="88"/>
      <c r="B161" s="66" t="s">
        <v>310</v>
      </c>
      <c r="C161" s="67"/>
      <c r="D161" s="102"/>
      <c r="E161" s="32"/>
      <c r="F161" s="32"/>
      <c r="G161" s="68" t="s">
        <v>285</v>
      </c>
      <c r="H161" s="69">
        <f t="shared" si="60"/>
        <v>0</v>
      </c>
      <c r="I161" s="70">
        <f t="shared" si="61"/>
        <v>0</v>
      </c>
      <c r="J161" s="73" t="str">
        <f t="shared" si="62"/>
        <v>--</v>
      </c>
      <c r="K161" s="32"/>
      <c r="L161" s="233"/>
      <c r="M161" s="278"/>
      <c r="N161" s="278"/>
      <c r="O161" s="278"/>
      <c r="P161" s="278"/>
      <c r="Q161" s="278"/>
      <c r="R161" s="278"/>
      <c r="S161" s="278"/>
      <c r="T161" s="278"/>
      <c r="U161" s="279"/>
      <c r="V161" s="103"/>
      <c r="W161" s="84">
        <f t="shared" si="67"/>
        <v>89</v>
      </c>
      <c r="X161" s="84"/>
      <c r="Y161" s="78">
        <f>SUM(E140:E161)</f>
        <v>88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4</v>
      </c>
    </row>
    <row r="162" spans="1:53" ht="15" thickBot="1" x14ac:dyDescent="0.35">
      <c r="A162" s="88"/>
      <c r="B162" s="66" t="s">
        <v>311</v>
      </c>
      <c r="C162" s="67"/>
      <c r="D162" s="102"/>
      <c r="E162" s="32"/>
      <c r="F162" s="32"/>
      <c r="G162" s="68" t="s">
        <v>285</v>
      </c>
      <c r="H162" s="69">
        <f t="shared" si="60"/>
        <v>0</v>
      </c>
      <c r="I162" s="70">
        <f t="shared" si="61"/>
        <v>0</v>
      </c>
      <c r="J162" s="73" t="str">
        <f t="shared" si="62"/>
        <v>--</v>
      </c>
      <c r="K162" s="32"/>
      <c r="L162" s="233"/>
      <c r="M162" s="278"/>
      <c r="N162" s="278"/>
      <c r="O162" s="278"/>
      <c r="P162" s="278"/>
      <c r="Q162" s="278"/>
      <c r="R162" s="278"/>
      <c r="S162" s="278"/>
      <c r="T162" s="278"/>
      <c r="U162" s="279"/>
      <c r="V162" s="103"/>
      <c r="W162" s="84">
        <f t="shared" si="67"/>
        <v>89</v>
      </c>
      <c r="X162" s="84"/>
      <c r="Y162" s="78">
        <f>SUM(E140:E162)</f>
        <v>88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4</v>
      </c>
    </row>
    <row r="163" spans="1:53" ht="15" thickBot="1" x14ac:dyDescent="0.35">
      <c r="A163" s="88"/>
      <c r="B163" s="66" t="s">
        <v>312</v>
      </c>
      <c r="C163" s="67"/>
      <c r="D163" s="102"/>
      <c r="E163" s="32"/>
      <c r="F163" s="32"/>
      <c r="G163" s="68" t="s">
        <v>285</v>
      </c>
      <c r="H163" s="69">
        <f t="shared" si="60"/>
        <v>0</v>
      </c>
      <c r="I163" s="70">
        <f t="shared" si="61"/>
        <v>0</v>
      </c>
      <c r="J163" s="73" t="str">
        <f t="shared" si="62"/>
        <v>--</v>
      </c>
      <c r="K163" s="32"/>
      <c r="L163" s="233"/>
      <c r="M163" s="278"/>
      <c r="N163" s="278"/>
      <c r="O163" s="278"/>
      <c r="P163" s="278"/>
      <c r="Q163" s="278"/>
      <c r="R163" s="278"/>
      <c r="S163" s="278"/>
      <c r="T163" s="278"/>
      <c r="U163" s="279"/>
      <c r="V163" s="103"/>
      <c r="W163" s="84">
        <f t="shared" si="67"/>
        <v>89</v>
      </c>
      <c r="X163" s="84"/>
      <c r="Y163" s="78">
        <f>SUM(E140:E163)</f>
        <v>88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4</v>
      </c>
    </row>
    <row r="164" spans="1:53" ht="15" thickBot="1" x14ac:dyDescent="0.35">
      <c r="A164" s="88"/>
      <c r="B164" s="66" t="s">
        <v>313</v>
      </c>
      <c r="C164" s="67"/>
      <c r="D164" s="102"/>
      <c r="E164" s="32"/>
      <c r="F164" s="32"/>
      <c r="G164" s="68" t="s">
        <v>285</v>
      </c>
      <c r="H164" s="69">
        <f t="shared" si="60"/>
        <v>0</v>
      </c>
      <c r="I164" s="70">
        <f t="shared" si="61"/>
        <v>0</v>
      </c>
      <c r="J164" s="73" t="str">
        <f t="shared" si="62"/>
        <v>--</v>
      </c>
      <c r="K164" s="32"/>
      <c r="L164" s="234"/>
      <c r="M164" s="278"/>
      <c r="N164" s="278"/>
      <c r="O164" s="278"/>
      <c r="P164" s="278"/>
      <c r="Q164" s="278"/>
      <c r="R164" s="278"/>
      <c r="S164" s="278"/>
      <c r="T164" s="278"/>
      <c r="U164" s="279"/>
      <c r="V164" s="103"/>
      <c r="W164" s="72"/>
      <c r="X164" s="72"/>
      <c r="Y164" s="78">
        <f>SUM(E140:E164)</f>
        <v>88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2" thickBot="1" x14ac:dyDescent="0.35">
      <c r="A165" s="88"/>
      <c r="B165" s="319" t="s">
        <v>332</v>
      </c>
      <c r="C165" s="320"/>
      <c r="D165" s="79"/>
      <c r="E165" s="80"/>
      <c r="F165" s="80"/>
      <c r="G165" s="81"/>
      <c r="H165" s="192"/>
      <c r="I165" s="192"/>
      <c r="J165" s="192"/>
      <c r="K165" s="82"/>
      <c r="L165" s="319" t="s">
        <v>319</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18</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2" thickBot="1" x14ac:dyDescent="0.35">
      <c r="A166" s="88"/>
      <c r="B166" s="319" t="s">
        <v>320</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 thickBot="1"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5">
      <c r="A169" s="88"/>
      <c r="B169" s="85" t="s">
        <v>333</v>
      </c>
      <c r="C169" s="25"/>
      <c r="D169" s="25"/>
      <c r="E169" s="25"/>
      <c r="F169" s="88"/>
      <c r="G169" s="25"/>
      <c r="H169" s="25"/>
      <c r="I169" s="87"/>
      <c r="J169" s="26"/>
      <c r="K169" s="25"/>
      <c r="L169" s="25"/>
      <c r="M169" s="196" t="s">
        <v>217</v>
      </c>
      <c r="N169" s="196" t="s">
        <v>218</v>
      </c>
      <c r="O169" s="196" t="s">
        <v>219</v>
      </c>
      <c r="P169" s="196" t="s">
        <v>220</v>
      </c>
      <c r="Q169" s="196" t="s">
        <v>221</v>
      </c>
      <c r="R169" s="196" t="s">
        <v>222</v>
      </c>
      <c r="S169" s="196" t="s">
        <v>223</v>
      </c>
      <c r="T169" s="196" t="s">
        <v>224</v>
      </c>
      <c r="U169" s="196" t="s">
        <v>225</v>
      </c>
      <c r="V169" s="196" t="s">
        <v>226</v>
      </c>
      <c r="W169" s="113" t="s">
        <v>227</v>
      </c>
      <c r="X169" s="196" t="s">
        <v>228</v>
      </c>
      <c r="Y169" s="25"/>
      <c r="Z169" s="25"/>
      <c r="AA169" s="25"/>
      <c r="AB169" s="25"/>
      <c r="AC169" s="25"/>
      <c r="AD169" s="25"/>
      <c r="BA169" s="226"/>
    </row>
    <row r="170" spans="1:53" ht="15.6" thickTop="1" thickBot="1" x14ac:dyDescent="0.35">
      <c r="A170" s="88"/>
      <c r="B170" s="312" t="s">
        <v>229</v>
      </c>
      <c r="C170" s="313"/>
      <c r="D170" s="314" t="s">
        <v>230</v>
      </c>
      <c r="E170" s="305"/>
      <c r="F170" s="88"/>
      <c r="G170" s="315" t="s">
        <v>231</v>
      </c>
      <c r="H170" s="316"/>
      <c r="I170" s="28">
        <f>SUM(E181:E205)</f>
        <v>36</v>
      </c>
      <c r="J170" s="317" t="s">
        <v>232</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233</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234</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5">
      <c r="A171" s="88"/>
      <c r="B171" s="29" t="s">
        <v>235</v>
      </c>
      <c r="C171" s="30">
        <v>0</v>
      </c>
      <c r="D171" s="31" t="s">
        <v>236</v>
      </c>
      <c r="E171" s="66" t="str">
        <f>TEXT(IF('Cable Calculator'!X7="","",'Cable Calculator'!X7),)</f>
        <v>EUC</v>
      </c>
      <c r="F171" s="88"/>
      <c r="G171" s="304" t="s">
        <v>237</v>
      </c>
      <c r="H171" s="305"/>
      <c r="I171" s="33">
        <f>E172-I170</f>
        <v>12</v>
      </c>
      <c r="J171" s="289" t="s">
        <v>238</v>
      </c>
      <c r="K171" s="290"/>
      <c r="L171" s="34">
        <f>I175</f>
        <v>181</v>
      </c>
      <c r="M171" s="196">
        <v>4</v>
      </c>
      <c r="N171" s="35">
        <f>SUM(AI171,AI182)</f>
        <v>0</v>
      </c>
      <c r="O171" s="35">
        <v>0</v>
      </c>
      <c r="P171" s="35">
        <f>SUM(AJ171,AJ182)</f>
        <v>0</v>
      </c>
      <c r="Q171" s="35">
        <v>0</v>
      </c>
      <c r="R171" s="35">
        <f>COUNTIFS($E181:$E205,"4",$F181:$F205,"Pole",$C181:$C205,"FST")</f>
        <v>0</v>
      </c>
      <c r="S171" s="35">
        <f>SUM(AL171,AK182)</f>
        <v>0</v>
      </c>
      <c r="T171" s="35">
        <v>0</v>
      </c>
      <c r="U171" s="35">
        <f>SUM(AK171,AL182)</f>
        <v>6</v>
      </c>
      <c r="V171" s="35">
        <v>0</v>
      </c>
      <c r="W171" s="34">
        <f>COUNTIFS($E181:$E205,"4",$F181:$F205,"HH",$C181:$C205,"FST")</f>
        <v>6</v>
      </c>
      <c r="X171" s="35">
        <f>COUNTIFS($E181:$E205,"4",$F181:$F205,"Ped",$C181:$C205,"FST")</f>
        <v>0</v>
      </c>
      <c r="Y171" s="25"/>
      <c r="Z171" s="298" t="s">
        <v>239</v>
      </c>
      <c r="AA171" s="300" t="s">
        <v>240</v>
      </c>
      <c r="AB171" s="301"/>
      <c r="AC171" s="25"/>
      <c r="AD171" s="25"/>
      <c r="AH171" s="109">
        <v>4</v>
      </c>
      <c r="AI171" s="109" t="str">
        <f>IF($E171="SS",COUNTIFS($C181:$C205,"FST",$E181:$E205,"4"),"0")</f>
        <v>0</v>
      </c>
      <c r="AJ171" s="109" t="str">
        <f>IF($E171="RPX",COUNTIFS($C181:$C205,"FST",$E181:$E205,"4"),"0")</f>
        <v>0</v>
      </c>
      <c r="AK171" s="109">
        <f>IF($E171="EUC",COUNTIFS($C181:$C205,"FST",$E181:$E205,"4"),"0")</f>
        <v>6</v>
      </c>
      <c r="AL171" s="109" t="str">
        <f>IF($E171="RPX-T",COUNTIFS($C181:$C205,"FST",$E181:$E205,"4"),"0")</f>
        <v>0</v>
      </c>
      <c r="AS171" s="109" t="str">
        <f>IF(AND(E176="Y",E172=24,E173=0),"Y","N")</f>
        <v>N</v>
      </c>
      <c r="AT171" s="110" t="s">
        <v>241</v>
      </c>
      <c r="AU171" s="109">
        <f>COUNTIFS($E171,"SS",$AS171,"Y")</f>
        <v>0</v>
      </c>
      <c r="AV171" s="111">
        <f>COUNTIFS($E171,"RPX",$AS171,"Y")</f>
        <v>0</v>
      </c>
      <c r="AW171" s="111">
        <f>COUNTIFS($E171,"EUC",$AS171,"Y")</f>
        <v>0</v>
      </c>
      <c r="AX171" s="109">
        <f>COUNTIFS($E171,"RPX-T",$AS171,"Y")</f>
        <v>0</v>
      </c>
      <c r="BA171" s="227"/>
    </row>
    <row r="172" spans="1:53" ht="15.6" thickTop="1" thickBot="1" x14ac:dyDescent="0.35">
      <c r="A172" s="88"/>
      <c r="B172" s="36" t="s">
        <v>242</v>
      </c>
      <c r="C172" s="37">
        <v>0</v>
      </c>
      <c r="D172" s="38" t="s">
        <v>243</v>
      </c>
      <c r="E172" s="32">
        <v>48</v>
      </c>
      <c r="F172" s="88"/>
      <c r="G172" s="291" t="s">
        <v>244</v>
      </c>
      <c r="H172" s="292"/>
      <c r="I172" s="35">
        <f>IF(E172=0,0,12-(MOD(I170,12)))</f>
        <v>12</v>
      </c>
      <c r="J172" s="289" t="s">
        <v>245</v>
      </c>
      <c r="K172" s="290"/>
      <c r="L172" s="39">
        <f>I176-I170</f>
        <v>180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Y</v>
      </c>
      <c r="AT172" s="110" t="s">
        <v>246</v>
      </c>
      <c r="AU172" s="109">
        <f>COUNTIFS($E171,"SS",$AS172,"Y")</f>
        <v>0</v>
      </c>
      <c r="AV172" s="108">
        <f>COUNTIFS($E171,"RPX",$AS172,"Y")</f>
        <v>0</v>
      </c>
      <c r="AW172" s="108">
        <f>COUNTIFS($E171,"EUC",$AS172,"Y")</f>
        <v>1</v>
      </c>
      <c r="AX172" s="109">
        <f>COUNTIFS($E171,"RPX-T",$AS172,"Y")</f>
        <v>0</v>
      </c>
      <c r="BA172" s="227"/>
    </row>
    <row r="173" spans="1:53" ht="16.5" customHeight="1" thickTop="1" thickBot="1" x14ac:dyDescent="0.35">
      <c r="A173" s="88"/>
      <c r="B173" s="40" t="s">
        <v>247</v>
      </c>
      <c r="C173" s="30">
        <v>0</v>
      </c>
      <c r="D173" s="41" t="s">
        <v>248</v>
      </c>
      <c r="E173" s="42">
        <v>12</v>
      </c>
      <c r="F173" s="88"/>
      <c r="G173" s="321" t="s">
        <v>249</v>
      </c>
      <c r="H173" s="43" t="s">
        <v>250</v>
      </c>
      <c r="I173" s="35">
        <f>IF(E173&lt;&gt;0,1,0)</f>
        <v>1</v>
      </c>
      <c r="J173" s="291" t="s">
        <v>251</v>
      </c>
      <c r="K173" s="292"/>
      <c r="L173" s="44">
        <f>'Cable Calculator'!X3</f>
        <v>2035</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252</v>
      </c>
      <c r="AU173" s="109">
        <f>COUNTIFS($E171,"SS",$AS173,"Y")</f>
        <v>0</v>
      </c>
      <c r="AV173" s="108">
        <f>COUNTIFS($E171,"RPX",$AS173,"Y")</f>
        <v>0</v>
      </c>
      <c r="AW173" s="108">
        <f>COUNTIFS($E171,"EUC",$AS173,"Y")</f>
        <v>0</v>
      </c>
      <c r="AX173" s="109">
        <f>COUNTIFS($E171,"RPX-T",$AS173,"Y")</f>
        <v>0</v>
      </c>
      <c r="BA173" s="227"/>
    </row>
    <row r="174" spans="1:53" ht="15.6" thickTop="1" thickBot="1" x14ac:dyDescent="0.35">
      <c r="A174" s="88"/>
      <c r="B174" s="29" t="s">
        <v>253</v>
      </c>
      <c r="C174" s="37">
        <v>0</v>
      </c>
      <c r="D174" s="41" t="s">
        <v>254</v>
      </c>
      <c r="E174" s="42">
        <v>181</v>
      </c>
      <c r="F174" s="88"/>
      <c r="G174" s="322"/>
      <c r="H174" s="47" t="s">
        <v>255</v>
      </c>
      <c r="I174" s="35">
        <f>IF(E173&lt;&gt;0,E173,0)</f>
        <v>12</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5">
      <c r="A175" s="88"/>
      <c r="B175" s="36" t="s">
        <v>256</v>
      </c>
      <c r="C175" s="30">
        <v>0</v>
      </c>
      <c r="D175" s="49" t="s">
        <v>257</v>
      </c>
      <c r="E175" s="50">
        <f>E172/12</f>
        <v>4</v>
      </c>
      <c r="F175" s="88"/>
      <c r="G175" s="321" t="s">
        <v>258</v>
      </c>
      <c r="H175" s="51" t="s">
        <v>259</v>
      </c>
      <c r="I175" s="112">
        <f>E174</f>
        <v>181</v>
      </c>
      <c r="J175" s="323" t="s">
        <v>260</v>
      </c>
      <c r="K175" s="324"/>
      <c r="L175" s="325"/>
      <c r="M175" s="52" t="s">
        <v>261</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5.6" thickTop="1" thickBot="1" x14ac:dyDescent="0.35">
      <c r="A176" s="88"/>
      <c r="B176" s="36" t="s">
        <v>262</v>
      </c>
      <c r="C176" s="30">
        <v>0</v>
      </c>
      <c r="D176" s="31" t="s">
        <v>263</v>
      </c>
      <c r="E176" s="101" t="str">
        <f>IF('Cable Calculator'!X5="","",'Cable Calculator'!X5)</f>
        <v>Y</v>
      </c>
      <c r="F176" s="88"/>
      <c r="G176" s="322"/>
      <c r="H176" s="47" t="s">
        <v>264</v>
      </c>
      <c r="I176" s="35">
        <f>IF(E174="","0",IF(AND(E171="EUC",E172=432), I175+(203-E173),IF(E174=0,0,(E174+(E172-E173)-1))))</f>
        <v>216</v>
      </c>
      <c r="J176" s="286" t="str">
        <f>IFERROR(IF(OR(E171="EUC",E171="SS"),"---",IF(OR(P170,S170),"NO 2F Tethers for RPX!",IF(OR(P172,S172),"NO 6F Tethers for RPX!","---"))),"---")</f>
        <v>---</v>
      </c>
      <c r="K176" s="287"/>
      <c r="L176" s="288"/>
      <c r="M176" s="286" t="str">
        <f>IF(E173&gt;60,"Dead Count &gt;60: Consider Downsize","---")</f>
        <v>---</v>
      </c>
      <c r="N176" s="287"/>
      <c r="O176" s="287"/>
      <c r="P176" s="287"/>
      <c r="Q176" s="287"/>
      <c r="R176" s="287"/>
      <c r="S176" s="287"/>
      <c r="T176" s="287"/>
      <c r="U176" s="288"/>
      <c r="V176" s="100"/>
      <c r="W176" s="54">
        <f>SUM(P176:U176)</f>
        <v>0</v>
      </c>
      <c r="X176" s="54"/>
      <c r="Y176" s="25"/>
      <c r="Z176" s="45">
        <v>4</v>
      </c>
      <c r="AA176" s="46">
        <v>37</v>
      </c>
      <c r="AB176" s="46">
        <v>48</v>
      </c>
      <c r="AC176" s="25"/>
      <c r="AD176" s="25"/>
      <c r="BA176" s="227"/>
    </row>
    <row r="177" spans="1:53" ht="15.6" thickTop="1" thickBot="1" x14ac:dyDescent="0.35">
      <c r="A177" s="88"/>
      <c r="B177" s="55" t="s">
        <v>265</v>
      </c>
      <c r="C177" s="56">
        <f>SUM(C171:C176)+I170</f>
        <v>36</v>
      </c>
      <c r="D177" s="31" t="s">
        <v>266</v>
      </c>
      <c r="E177" s="101" t="str">
        <f>IF(AS171="Y","DBL",IF(AS172="Y","TRPL",IF(AS173="Y","QUAD","")))</f>
        <v>TRPL</v>
      </c>
      <c r="F177" s="88"/>
      <c r="G177" s="192"/>
      <c r="H177" s="57"/>
      <c r="I177" s="192"/>
      <c r="J177" s="286"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7"/>
      <c r="L177" s="288"/>
      <c r="M177" s="286" t="str">
        <f>IF(AND(OR(E171="SS",E171="RPX",E171="EUC",E171="RPX-T"),(OR(C181="",C181="Field SPL"))),"Cannot have FlexNap cables without tethers","---")</f>
        <v>---</v>
      </c>
      <c r="N177" s="287"/>
      <c r="O177" s="287"/>
      <c r="P177" s="287"/>
      <c r="Q177" s="287"/>
      <c r="R177" s="287"/>
      <c r="S177" s="287"/>
      <c r="T177" s="287"/>
      <c r="U177" s="288"/>
      <c r="V177" s="25"/>
      <c r="W177" s="58"/>
      <c r="X177" s="58"/>
      <c r="Y177" s="25"/>
      <c r="Z177" s="45">
        <v>5</v>
      </c>
      <c r="AA177" s="46">
        <v>49</v>
      </c>
      <c r="AB177" s="46">
        <v>60</v>
      </c>
      <c r="AC177" s="25"/>
      <c r="AD177" s="25"/>
      <c r="BA177" s="227"/>
    </row>
    <row r="178" spans="1:53" ht="15.6" thickTop="1" thickBot="1" x14ac:dyDescent="0.35">
      <c r="A178" s="88"/>
      <c r="B178" s="59"/>
      <c r="C178" s="60"/>
      <c r="D178" s="61"/>
      <c r="E178" s="62"/>
      <c r="F178" s="88"/>
      <c r="G178" s="63"/>
      <c r="H178" s="64"/>
      <c r="I178" s="63"/>
      <c r="J178" s="286" t="str">
        <f>IF(AND(OR(E171="RPX", E171="RPX-T", E171="SS"),E172=216),"NO 216 For RPX, RPX-T, OR SS CABLE","---")</f>
        <v>---</v>
      </c>
      <c r="K178" s="287"/>
      <c r="L178" s="288"/>
      <c r="M178" s="286" t="str" cm="1">
        <f t="array" ref="M178">IF(AND(E171="",OR(C181:C205="FST",C181:C205="REV T",C181:C205="DBL REV",C181:C205="TPL REV", C181:C205="QD REV")),"Non-FlexNap cables cannot have tethers","---")</f>
        <v>---</v>
      </c>
      <c r="N178" s="287"/>
      <c r="O178" s="287"/>
      <c r="P178" s="287"/>
      <c r="Q178" s="287"/>
      <c r="R178" s="287"/>
      <c r="S178" s="287"/>
      <c r="T178" s="287"/>
      <c r="U178" s="288"/>
      <c r="V178" s="25"/>
      <c r="W178" s="58"/>
      <c r="X178" s="58"/>
      <c r="Y178" s="25"/>
      <c r="Z178" s="45">
        <v>6</v>
      </c>
      <c r="AA178" s="65">
        <v>61</v>
      </c>
      <c r="AB178" s="65">
        <v>72</v>
      </c>
      <c r="AC178" s="25"/>
      <c r="AD178" s="25"/>
      <c r="BA178" s="226"/>
    </row>
    <row r="179" spans="1:53" ht="15.75" customHeight="1" thickBot="1" x14ac:dyDescent="0.35">
      <c r="A179" s="88"/>
      <c r="B179" s="321" t="s">
        <v>267</v>
      </c>
      <c r="C179" s="293" t="s">
        <v>268</v>
      </c>
      <c r="D179" s="293" t="s">
        <v>269</v>
      </c>
      <c r="E179" s="306" t="s">
        <v>270</v>
      </c>
      <c r="F179" s="293" t="s">
        <v>271</v>
      </c>
      <c r="G179" s="308" t="s">
        <v>272</v>
      </c>
      <c r="H179" s="308" t="s">
        <v>273</v>
      </c>
      <c r="I179" s="308" t="s">
        <v>274</v>
      </c>
      <c r="J179" s="310" t="s">
        <v>275</v>
      </c>
      <c r="K179" s="293" t="s">
        <v>276</v>
      </c>
      <c r="L179" s="280" t="s">
        <v>277</v>
      </c>
      <c r="M179" s="282" t="s">
        <v>278</v>
      </c>
      <c r="N179" s="282"/>
      <c r="O179" s="282"/>
      <c r="P179" s="282"/>
      <c r="Q179" s="282"/>
      <c r="R179" s="282"/>
      <c r="S179" s="282"/>
      <c r="T179" s="282"/>
      <c r="U179" s="283"/>
      <c r="V179" s="107"/>
      <c r="W179" s="72"/>
      <c r="X179" s="72"/>
      <c r="Y179" s="72"/>
      <c r="Z179" s="45">
        <v>7</v>
      </c>
      <c r="AA179" s="65">
        <v>73</v>
      </c>
      <c r="AB179" s="65">
        <v>84</v>
      </c>
      <c r="AC179" s="25"/>
      <c r="AD179" s="25"/>
      <c r="BA179" s="228"/>
    </row>
    <row r="180" spans="1:53" ht="15" thickBot="1" x14ac:dyDescent="0.35">
      <c r="A180" s="88"/>
      <c r="B180" s="322"/>
      <c r="C180" s="294"/>
      <c r="D180" s="294"/>
      <c r="E180" s="307"/>
      <c r="F180" s="294"/>
      <c r="G180" s="309"/>
      <c r="H180" s="309"/>
      <c r="I180" s="309"/>
      <c r="J180" s="311"/>
      <c r="K180" s="294"/>
      <c r="L180" s="281"/>
      <c r="M180" s="284"/>
      <c r="N180" s="284"/>
      <c r="O180" s="284"/>
      <c r="P180" s="284"/>
      <c r="Q180" s="284"/>
      <c r="R180" s="284"/>
      <c r="S180" s="284"/>
      <c r="T180" s="284"/>
      <c r="U180" s="285"/>
      <c r="V180" s="107"/>
      <c r="W180" s="72"/>
      <c r="X180" s="72"/>
      <c r="Y180" s="72"/>
      <c r="Z180" s="45">
        <v>8</v>
      </c>
      <c r="AA180" s="46">
        <v>85</v>
      </c>
      <c r="AB180" s="46">
        <v>96</v>
      </c>
      <c r="AC180" s="25"/>
      <c r="AD180" s="25"/>
      <c r="AI180" s="109" t="s">
        <v>279</v>
      </c>
      <c r="AJ180" s="109" t="s">
        <v>280</v>
      </c>
      <c r="AK180" s="109" t="s">
        <v>281</v>
      </c>
      <c r="AL180" s="109" t="s">
        <v>282</v>
      </c>
      <c r="BA180" s="228"/>
    </row>
    <row r="181" spans="1:53" ht="15" thickBot="1" x14ac:dyDescent="0.35">
      <c r="A181" s="88"/>
      <c r="B181" s="66" t="s">
        <v>283</v>
      </c>
      <c r="C181" s="67" t="s">
        <v>322</v>
      </c>
      <c r="D181" s="102" t="s">
        <v>808</v>
      </c>
      <c r="E181" s="32">
        <v>4</v>
      </c>
      <c r="F181" s="32" t="s">
        <v>324</v>
      </c>
      <c r="G181" s="68" t="s">
        <v>285</v>
      </c>
      <c r="H181" s="69">
        <f>IF(I181=0,0,I181-(E181-1))</f>
        <v>213</v>
      </c>
      <c r="I181" s="70">
        <f>IF(E181=0,0,I176)</f>
        <v>216</v>
      </c>
      <c r="J181" s="71" t="s">
        <v>286</v>
      </c>
      <c r="K181" s="32"/>
      <c r="L181" s="233"/>
      <c r="M181" s="278"/>
      <c r="N181" s="278"/>
      <c r="O181" s="278"/>
      <c r="P181" s="278"/>
      <c r="Q181" s="278"/>
      <c r="R181" s="278"/>
      <c r="S181" s="278"/>
      <c r="T181" s="278"/>
      <c r="U181" s="279"/>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213-216</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 thickBot="1" x14ac:dyDescent="0.35">
      <c r="A182" s="88"/>
      <c r="B182" s="66" t="s">
        <v>288</v>
      </c>
      <c r="C182" s="67" t="s">
        <v>322</v>
      </c>
      <c r="D182" s="102" t="s">
        <v>785</v>
      </c>
      <c r="E182" s="32">
        <v>4</v>
      </c>
      <c r="F182" s="32" t="s">
        <v>324</v>
      </c>
      <c r="G182" s="68" t="s">
        <v>285</v>
      </c>
      <c r="H182" s="69">
        <f t="shared" ref="H182:H205" si="77">IF(E182=0,0,I182-(E182-1))</f>
        <v>209</v>
      </c>
      <c r="I182" s="70">
        <f t="shared" ref="I182:I205" si="78">IF(E182=0,0,H181-1)</f>
        <v>212</v>
      </c>
      <c r="J182" s="73" t="str">
        <f>IF(C182="","--",IF(AND(C182&lt;&gt;"FST",C182&lt;&gt;"TCF",BA181&lt;&gt;0),BA181,"--"))</f>
        <v>--</v>
      </c>
      <c r="K182" s="32"/>
      <c r="L182" s="233"/>
      <c r="M182" s="278"/>
      <c r="N182" s="278"/>
      <c r="O182" s="278"/>
      <c r="P182" s="278"/>
      <c r="Q182" s="278"/>
      <c r="R182" s="278"/>
      <c r="S182" s="278"/>
      <c r="T182" s="278"/>
      <c r="U182" s="279"/>
      <c r="V182" s="103"/>
      <c r="W182" s="72"/>
      <c r="X182" s="72"/>
      <c r="Y182" s="72"/>
      <c r="Z182" s="45">
        <v>10</v>
      </c>
      <c r="AA182" s="46">
        <v>109</v>
      </c>
      <c r="AB182" s="46">
        <v>120</v>
      </c>
      <c r="AC182" s="72">
        <f t="shared" si="68"/>
        <v>1</v>
      </c>
      <c r="AD182" s="72">
        <f t="shared" si="69"/>
        <v>0</v>
      </c>
      <c r="AE182" s="109" t="str">
        <f t="shared" si="70"/>
        <v>209-212</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8</v>
      </c>
    </row>
    <row r="183" spans="1:53" ht="15" thickBot="1" x14ac:dyDescent="0.35">
      <c r="A183" s="88"/>
      <c r="B183" s="74" t="s">
        <v>290</v>
      </c>
      <c r="C183" s="67" t="s">
        <v>322</v>
      </c>
      <c r="D183" s="102" t="s">
        <v>786</v>
      </c>
      <c r="E183" s="32">
        <v>4</v>
      </c>
      <c r="F183" s="32" t="s">
        <v>324</v>
      </c>
      <c r="G183" s="75" t="s">
        <v>285</v>
      </c>
      <c r="H183" s="69">
        <f t="shared" si="77"/>
        <v>205</v>
      </c>
      <c r="I183" s="70">
        <f t="shared" si="78"/>
        <v>208</v>
      </c>
      <c r="J183" s="73" t="str">
        <f t="shared" ref="J183:J205" si="79">IF(C183="","--",IF(AND(C183&lt;&gt;"FST",C183&lt;&gt;"TCF",BA182&lt;&gt;0),BA182,"--"))</f>
        <v>--</v>
      </c>
      <c r="K183" s="32"/>
      <c r="L183" s="233"/>
      <c r="M183" s="278"/>
      <c r="N183" s="278"/>
      <c r="O183" s="278"/>
      <c r="P183" s="278"/>
      <c r="Q183" s="278"/>
      <c r="R183" s="278"/>
      <c r="S183" s="278"/>
      <c r="T183" s="278"/>
      <c r="U183" s="279"/>
      <c r="V183" s="103"/>
      <c r="W183" s="72"/>
      <c r="X183" s="72"/>
      <c r="Y183" s="72"/>
      <c r="Z183" s="45">
        <v>11</v>
      </c>
      <c r="AA183" s="46">
        <v>121</v>
      </c>
      <c r="AB183" s="46">
        <v>132</v>
      </c>
      <c r="AC183" s="72">
        <f t="shared" si="68"/>
        <v>1</v>
      </c>
      <c r="AD183" s="72">
        <f t="shared" si="69"/>
        <v>0</v>
      </c>
      <c r="AE183" s="109" t="str">
        <f t="shared" si="70"/>
        <v>205-208</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4</v>
      </c>
    </row>
    <row r="184" spans="1:53" ht="15" thickBot="1" x14ac:dyDescent="0.35">
      <c r="A184" s="88"/>
      <c r="B184" s="66" t="s">
        <v>292</v>
      </c>
      <c r="C184" s="67" t="s">
        <v>322</v>
      </c>
      <c r="D184" s="102" t="s">
        <v>787</v>
      </c>
      <c r="E184" s="32">
        <v>4</v>
      </c>
      <c r="F184" s="32" t="s">
        <v>324</v>
      </c>
      <c r="G184" s="68" t="s">
        <v>285</v>
      </c>
      <c r="H184" s="69">
        <f t="shared" si="77"/>
        <v>201</v>
      </c>
      <c r="I184" s="70">
        <f t="shared" si="78"/>
        <v>204</v>
      </c>
      <c r="J184" s="73" t="str">
        <f t="shared" si="79"/>
        <v>--</v>
      </c>
      <c r="K184" s="32"/>
      <c r="L184" s="233"/>
      <c r="M184" s="278"/>
      <c r="N184" s="278"/>
      <c r="O184" s="278"/>
      <c r="P184" s="278"/>
      <c r="Q184" s="278"/>
      <c r="R184" s="278"/>
      <c r="S184" s="278"/>
      <c r="T184" s="278"/>
      <c r="U184" s="279"/>
      <c r="V184" s="103"/>
      <c r="W184" s="72"/>
      <c r="X184" s="72"/>
      <c r="Y184" s="72"/>
      <c r="Z184" s="45">
        <v>12</v>
      </c>
      <c r="AA184" s="76">
        <v>133</v>
      </c>
      <c r="AB184" s="76">
        <v>144</v>
      </c>
      <c r="AC184" s="72">
        <f t="shared" si="68"/>
        <v>1</v>
      </c>
      <c r="AD184" s="72">
        <f t="shared" si="69"/>
        <v>0</v>
      </c>
      <c r="AE184" s="109" t="str">
        <f t="shared" si="70"/>
        <v>201-204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8</v>
      </c>
    </row>
    <row r="185" spans="1:53" ht="15" thickBot="1" x14ac:dyDescent="0.35">
      <c r="A185" s="88"/>
      <c r="B185" s="66" t="s">
        <v>293</v>
      </c>
      <c r="C185" s="67" t="s">
        <v>322</v>
      </c>
      <c r="D185" s="102" t="s">
        <v>806</v>
      </c>
      <c r="E185" s="32">
        <v>4</v>
      </c>
      <c r="F185" s="32" t="s">
        <v>324</v>
      </c>
      <c r="G185" s="68" t="s">
        <v>285</v>
      </c>
      <c r="H185" s="69">
        <f t="shared" si="77"/>
        <v>197</v>
      </c>
      <c r="I185" s="70">
        <f t="shared" si="78"/>
        <v>200</v>
      </c>
      <c r="J185" s="73" t="str">
        <f t="shared" si="79"/>
        <v>--</v>
      </c>
      <c r="K185" s="32"/>
      <c r="L185" s="233"/>
      <c r="M185" s="278"/>
      <c r="N185" s="278"/>
      <c r="O185" s="278"/>
      <c r="P185" s="278"/>
      <c r="Q185" s="278"/>
      <c r="R185" s="278"/>
      <c r="S185" s="278"/>
      <c r="T185" s="278"/>
      <c r="U185" s="279"/>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197-200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 thickBot="1" x14ac:dyDescent="0.35">
      <c r="A186" s="88"/>
      <c r="B186" s="66" t="s">
        <v>294</v>
      </c>
      <c r="C186" s="67" t="s">
        <v>322</v>
      </c>
      <c r="D186" s="102" t="s">
        <v>807</v>
      </c>
      <c r="E186" s="32">
        <v>4</v>
      </c>
      <c r="F186" s="32" t="s">
        <v>324</v>
      </c>
      <c r="G186" s="68" t="s">
        <v>285</v>
      </c>
      <c r="H186" s="69">
        <f t="shared" si="77"/>
        <v>193</v>
      </c>
      <c r="I186" s="70">
        <f t="shared" si="78"/>
        <v>196</v>
      </c>
      <c r="J186" s="73" t="str">
        <f t="shared" si="79"/>
        <v>--</v>
      </c>
      <c r="K186" s="32"/>
      <c r="L186" s="233"/>
      <c r="M186" s="278"/>
      <c r="N186" s="278"/>
      <c r="O186" s="278"/>
      <c r="P186" s="278"/>
      <c r="Q186" s="278"/>
      <c r="R186" s="278"/>
      <c r="S186" s="278"/>
      <c r="T186" s="278"/>
      <c r="U186" s="279"/>
      <c r="V186" s="103"/>
      <c r="W186" s="72"/>
      <c r="X186" s="72"/>
      <c r="Y186" s="72"/>
      <c r="Z186" s="45">
        <v>14</v>
      </c>
      <c r="AA186" s="77">
        <f t="shared" si="80"/>
        <v>157</v>
      </c>
      <c r="AB186" s="77">
        <f t="shared" si="81"/>
        <v>168</v>
      </c>
      <c r="AC186" s="72">
        <f t="shared" si="68"/>
        <v>1</v>
      </c>
      <c r="AD186" s="72">
        <f t="shared" si="69"/>
        <v>0</v>
      </c>
      <c r="AE186" s="109" t="str">
        <f t="shared" si="70"/>
        <v>193-196</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 thickBot="1" x14ac:dyDescent="0.35">
      <c r="A187" s="88"/>
      <c r="B187" s="66" t="s">
        <v>295</v>
      </c>
      <c r="C187" s="67" t="s">
        <v>402</v>
      </c>
      <c r="D187" s="102"/>
      <c r="E187" s="32">
        <v>12</v>
      </c>
      <c r="F187" s="32"/>
      <c r="G187" s="68" t="s">
        <v>285</v>
      </c>
      <c r="H187" s="69">
        <f t="shared" si="77"/>
        <v>181</v>
      </c>
      <c r="I187" s="70">
        <f t="shared" si="78"/>
        <v>192</v>
      </c>
      <c r="J187" s="73" t="str">
        <f t="shared" si="79"/>
        <v>--</v>
      </c>
      <c r="K187" s="32"/>
      <c r="L187" s="233"/>
      <c r="M187" s="278" t="s">
        <v>334</v>
      </c>
      <c r="N187" s="278"/>
      <c r="O187" s="278"/>
      <c r="P187" s="278"/>
      <c r="Q187" s="278"/>
      <c r="R187" s="278"/>
      <c r="S187" s="278"/>
      <c r="T187" s="278"/>
      <c r="U187" s="279"/>
      <c r="V187" s="103"/>
      <c r="W187" s="72"/>
      <c r="X187" s="72"/>
      <c r="Y187" s="72"/>
      <c r="Z187" s="45">
        <v>15</v>
      </c>
      <c r="AA187" s="77">
        <f t="shared" si="80"/>
        <v>169</v>
      </c>
      <c r="AB187" s="77">
        <f t="shared" si="81"/>
        <v>180</v>
      </c>
      <c r="AC187" s="72">
        <f t="shared" si="68"/>
        <v>1</v>
      </c>
      <c r="AD187" s="72">
        <f t="shared" si="69"/>
        <v>1</v>
      </c>
      <c r="AE187" s="109" t="str">
        <f t="shared" si="70"/>
        <v>181-192</v>
      </c>
      <c r="AF187" s="109" t="str">
        <f t="shared" si="71"/>
        <v>Y</v>
      </c>
      <c r="AG187" s="109" t="str">
        <f t="shared" si="72"/>
        <v>B</v>
      </c>
      <c r="AM187" s="109">
        <f t="shared" si="73"/>
        <v>1</v>
      </c>
      <c r="AN187" s="109">
        <f t="shared" si="74"/>
        <v>0</v>
      </c>
      <c r="AO187" s="109" t="str">
        <f t="shared" si="75"/>
        <v/>
      </c>
      <c r="AQ187" s="109" t="str">
        <f t="shared" si="76"/>
        <v/>
      </c>
      <c r="BA187" s="229">
        <f>MOD(SUM(E181:E188),12)</f>
        <v>0</v>
      </c>
    </row>
    <row r="188" spans="1:53" ht="15" thickBot="1" x14ac:dyDescent="0.35">
      <c r="A188" s="88"/>
      <c r="B188" s="66" t="s">
        <v>296</v>
      </c>
      <c r="C188" s="67"/>
      <c r="D188" s="102"/>
      <c r="E188" s="32"/>
      <c r="F188" s="32"/>
      <c r="G188" s="68" t="s">
        <v>285</v>
      </c>
      <c r="H188" s="69">
        <f t="shared" si="77"/>
        <v>0</v>
      </c>
      <c r="I188" s="70">
        <f t="shared" si="78"/>
        <v>0</v>
      </c>
      <c r="J188" s="73" t="str">
        <f t="shared" si="79"/>
        <v>--</v>
      </c>
      <c r="K188" s="32"/>
      <c r="L188" s="233"/>
      <c r="M188" s="278"/>
      <c r="N188" s="278"/>
      <c r="O188" s="278"/>
      <c r="P188" s="278"/>
      <c r="Q188" s="278"/>
      <c r="R188" s="278"/>
      <c r="S188" s="278"/>
      <c r="T188" s="278"/>
      <c r="U188" s="279"/>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 thickBot="1" x14ac:dyDescent="0.35">
      <c r="A189" s="88"/>
      <c r="B189" s="66" t="s">
        <v>297</v>
      </c>
      <c r="C189" s="67"/>
      <c r="D189" s="102"/>
      <c r="E189" s="32"/>
      <c r="F189" s="32"/>
      <c r="G189" s="68" t="s">
        <v>285</v>
      </c>
      <c r="H189" s="69">
        <f t="shared" si="77"/>
        <v>0</v>
      </c>
      <c r="I189" s="70">
        <f t="shared" si="78"/>
        <v>0</v>
      </c>
      <c r="J189" s="73" t="str">
        <f t="shared" si="79"/>
        <v>--</v>
      </c>
      <c r="K189" s="32"/>
      <c r="L189" s="233"/>
      <c r="M189" s="278"/>
      <c r="N189" s="278"/>
      <c r="O189" s="278"/>
      <c r="P189" s="278"/>
      <c r="Q189" s="278"/>
      <c r="R189" s="278"/>
      <c r="S189" s="278"/>
      <c r="T189" s="278"/>
      <c r="U189" s="279"/>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 thickBot="1" x14ac:dyDescent="0.35">
      <c r="A190" s="88"/>
      <c r="B190" s="66" t="s">
        <v>298</v>
      </c>
      <c r="C190" s="67"/>
      <c r="D190" s="102"/>
      <c r="E190" s="32"/>
      <c r="F190" s="32"/>
      <c r="G190" s="68" t="s">
        <v>285</v>
      </c>
      <c r="H190" s="69">
        <f t="shared" si="77"/>
        <v>0</v>
      </c>
      <c r="I190" s="70">
        <f t="shared" si="78"/>
        <v>0</v>
      </c>
      <c r="J190" s="73" t="str">
        <f t="shared" si="79"/>
        <v>--</v>
      </c>
      <c r="K190" s="32"/>
      <c r="L190" s="233"/>
      <c r="M190" s="278"/>
      <c r="N190" s="278"/>
      <c r="O190" s="278"/>
      <c r="P190" s="278"/>
      <c r="Q190" s="278"/>
      <c r="R190" s="278"/>
      <c r="S190" s="278"/>
      <c r="T190" s="278"/>
      <c r="U190" s="279"/>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 thickBot="1" x14ac:dyDescent="0.35">
      <c r="A191" s="88"/>
      <c r="B191" s="66" t="s">
        <v>299</v>
      </c>
      <c r="C191" s="67"/>
      <c r="D191" s="102"/>
      <c r="E191" s="32"/>
      <c r="F191" s="32"/>
      <c r="G191" s="68" t="s">
        <v>285</v>
      </c>
      <c r="H191" s="69">
        <f t="shared" si="77"/>
        <v>0</v>
      </c>
      <c r="I191" s="70">
        <f t="shared" si="78"/>
        <v>0</v>
      </c>
      <c r="J191" s="73" t="str">
        <f t="shared" si="79"/>
        <v>--</v>
      </c>
      <c r="K191" s="32"/>
      <c r="L191" s="233"/>
      <c r="M191" s="278"/>
      <c r="N191" s="278"/>
      <c r="O191" s="278"/>
      <c r="P191" s="278"/>
      <c r="Q191" s="278"/>
      <c r="R191" s="278"/>
      <c r="S191" s="278"/>
      <c r="T191" s="278"/>
      <c r="U191" s="279"/>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 thickBot="1" x14ac:dyDescent="0.35">
      <c r="A192" s="88"/>
      <c r="B192" s="66" t="s">
        <v>300</v>
      </c>
      <c r="C192" s="67"/>
      <c r="D192" s="102"/>
      <c r="E192" s="32"/>
      <c r="F192" s="32"/>
      <c r="G192" s="68" t="s">
        <v>285</v>
      </c>
      <c r="H192" s="69">
        <f t="shared" si="77"/>
        <v>0</v>
      </c>
      <c r="I192" s="70">
        <f t="shared" si="78"/>
        <v>0</v>
      </c>
      <c r="J192" s="73" t="str">
        <f t="shared" si="79"/>
        <v>--</v>
      </c>
      <c r="K192" s="32"/>
      <c r="L192" s="233"/>
      <c r="M192" s="278"/>
      <c r="N192" s="278"/>
      <c r="O192" s="278"/>
      <c r="P192" s="278"/>
      <c r="Q192" s="278"/>
      <c r="R192" s="278"/>
      <c r="S192" s="278"/>
      <c r="T192" s="278"/>
      <c r="U192" s="279"/>
      <c r="V192" s="103"/>
      <c r="W192" s="84">
        <f>Y192+1</f>
        <v>37</v>
      </c>
      <c r="X192" s="84"/>
      <c r="Y192" s="78">
        <f>SUM(E181:E192)</f>
        <v>36</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 thickBot="1" x14ac:dyDescent="0.35">
      <c r="A193" s="88"/>
      <c r="B193" s="66" t="s">
        <v>301</v>
      </c>
      <c r="C193" s="67"/>
      <c r="D193" s="102"/>
      <c r="E193" s="32"/>
      <c r="F193" s="32"/>
      <c r="G193" s="68" t="s">
        <v>285</v>
      </c>
      <c r="H193" s="69">
        <f t="shared" si="77"/>
        <v>0</v>
      </c>
      <c r="I193" s="70">
        <f t="shared" si="78"/>
        <v>0</v>
      </c>
      <c r="J193" s="73" t="str">
        <f t="shared" si="79"/>
        <v>--</v>
      </c>
      <c r="K193" s="32"/>
      <c r="L193" s="233"/>
      <c r="M193" s="278"/>
      <c r="N193" s="278"/>
      <c r="O193" s="278"/>
      <c r="P193" s="278"/>
      <c r="Q193" s="278"/>
      <c r="R193" s="278"/>
      <c r="S193" s="278"/>
      <c r="T193" s="278"/>
      <c r="U193" s="279"/>
      <c r="V193" s="103"/>
      <c r="W193" s="84">
        <f>Y193+1</f>
        <v>37</v>
      </c>
      <c r="X193" s="84"/>
      <c r="Y193" s="78">
        <f>SUM(E181:E193)</f>
        <v>36</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 thickBot="1" x14ac:dyDescent="0.35">
      <c r="A194" s="88"/>
      <c r="B194" s="66" t="s">
        <v>302</v>
      </c>
      <c r="C194" s="67"/>
      <c r="D194" s="102"/>
      <c r="E194" s="32"/>
      <c r="F194" s="32"/>
      <c r="G194" s="68" t="s">
        <v>285</v>
      </c>
      <c r="H194" s="69">
        <f t="shared" si="77"/>
        <v>0</v>
      </c>
      <c r="I194" s="70">
        <f t="shared" si="78"/>
        <v>0</v>
      </c>
      <c r="J194" s="73" t="str">
        <f t="shared" si="79"/>
        <v>--</v>
      </c>
      <c r="K194" s="32"/>
      <c r="L194" s="233"/>
      <c r="M194" s="278"/>
      <c r="N194" s="278"/>
      <c r="O194" s="278"/>
      <c r="P194" s="278"/>
      <c r="Q194" s="278"/>
      <c r="R194" s="278"/>
      <c r="S194" s="278"/>
      <c r="T194" s="278"/>
      <c r="U194" s="279"/>
      <c r="V194" s="103"/>
      <c r="W194" s="84">
        <f>Y194+1</f>
        <v>37</v>
      </c>
      <c r="X194" s="84"/>
      <c r="Y194" s="78">
        <f>SUM(E181:E194)</f>
        <v>36</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 thickBot="1" x14ac:dyDescent="0.35">
      <c r="A195" s="88"/>
      <c r="B195" s="66" t="s">
        <v>303</v>
      </c>
      <c r="C195" s="67"/>
      <c r="D195" s="102"/>
      <c r="E195" s="32"/>
      <c r="F195" s="32"/>
      <c r="G195" s="68" t="s">
        <v>285</v>
      </c>
      <c r="H195" s="69">
        <f t="shared" si="77"/>
        <v>0</v>
      </c>
      <c r="I195" s="70">
        <f t="shared" si="78"/>
        <v>0</v>
      </c>
      <c r="J195" s="73" t="str">
        <f t="shared" si="79"/>
        <v>--</v>
      </c>
      <c r="K195" s="32"/>
      <c r="L195" s="233"/>
      <c r="M195" s="278"/>
      <c r="N195" s="278"/>
      <c r="O195" s="278"/>
      <c r="P195" s="278"/>
      <c r="Q195" s="278"/>
      <c r="R195" s="278"/>
      <c r="S195" s="278"/>
      <c r="T195" s="278"/>
      <c r="U195" s="279"/>
      <c r="V195" s="103"/>
      <c r="W195" s="84">
        <f>Y195+1</f>
        <v>37</v>
      </c>
      <c r="X195" s="84"/>
      <c r="Y195" s="78">
        <f>SUM(E181:E195)</f>
        <v>36</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 thickBot="1" x14ac:dyDescent="0.35">
      <c r="A196" s="88"/>
      <c r="B196" s="66" t="s">
        <v>304</v>
      </c>
      <c r="C196" s="67"/>
      <c r="D196" s="102"/>
      <c r="E196" s="32"/>
      <c r="F196" s="32"/>
      <c r="G196" s="68" t="s">
        <v>285</v>
      </c>
      <c r="H196" s="69">
        <f t="shared" si="77"/>
        <v>0</v>
      </c>
      <c r="I196" s="70">
        <f t="shared" si="78"/>
        <v>0</v>
      </c>
      <c r="J196" s="73" t="str">
        <f t="shared" si="79"/>
        <v>--</v>
      </c>
      <c r="K196" s="32"/>
      <c r="L196" s="233"/>
      <c r="M196" s="278"/>
      <c r="N196" s="278"/>
      <c r="O196" s="278"/>
      <c r="P196" s="278"/>
      <c r="Q196" s="278"/>
      <c r="R196" s="278"/>
      <c r="S196" s="278"/>
      <c r="T196" s="278"/>
      <c r="U196" s="279"/>
      <c r="V196" s="103"/>
      <c r="W196" s="84">
        <f t="shared" ref="W196:W204" si="84">Y196+1</f>
        <v>37</v>
      </c>
      <c r="X196" s="84"/>
      <c r="Y196" s="78">
        <f>SUM(E181:E196)</f>
        <v>36</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 thickBot="1" x14ac:dyDescent="0.35">
      <c r="A197" s="88"/>
      <c r="B197" s="66" t="s">
        <v>305</v>
      </c>
      <c r="C197" s="67"/>
      <c r="D197" s="102"/>
      <c r="E197" s="32"/>
      <c r="F197" s="32"/>
      <c r="G197" s="68" t="s">
        <v>285</v>
      </c>
      <c r="H197" s="69">
        <f t="shared" si="77"/>
        <v>0</v>
      </c>
      <c r="I197" s="70">
        <f t="shared" si="78"/>
        <v>0</v>
      </c>
      <c r="J197" s="73" t="str">
        <f t="shared" si="79"/>
        <v>--</v>
      </c>
      <c r="K197" s="32"/>
      <c r="L197" s="233"/>
      <c r="M197" s="278"/>
      <c r="N197" s="278"/>
      <c r="O197" s="278"/>
      <c r="P197" s="278"/>
      <c r="Q197" s="278"/>
      <c r="R197" s="278"/>
      <c r="S197" s="278"/>
      <c r="T197" s="278"/>
      <c r="U197" s="279"/>
      <c r="V197" s="103"/>
      <c r="W197" s="84">
        <f t="shared" si="84"/>
        <v>37</v>
      </c>
      <c r="X197" s="84"/>
      <c r="Y197" s="78">
        <f>SUM(E181:E197)</f>
        <v>36</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 thickBot="1" x14ac:dyDescent="0.35">
      <c r="A198" s="88"/>
      <c r="B198" s="66" t="s">
        <v>306</v>
      </c>
      <c r="C198" s="67"/>
      <c r="D198" s="102"/>
      <c r="E198" s="32"/>
      <c r="F198" s="32"/>
      <c r="G198" s="68" t="s">
        <v>285</v>
      </c>
      <c r="H198" s="69">
        <f t="shared" si="77"/>
        <v>0</v>
      </c>
      <c r="I198" s="70">
        <f t="shared" si="78"/>
        <v>0</v>
      </c>
      <c r="J198" s="73" t="str">
        <f t="shared" si="79"/>
        <v>--</v>
      </c>
      <c r="K198" s="32"/>
      <c r="L198" s="233"/>
      <c r="M198" s="278"/>
      <c r="N198" s="278"/>
      <c r="O198" s="278"/>
      <c r="P198" s="278"/>
      <c r="Q198" s="278"/>
      <c r="R198" s="278"/>
      <c r="S198" s="278"/>
      <c r="T198" s="278"/>
      <c r="U198" s="279"/>
      <c r="V198" s="103"/>
      <c r="W198" s="84">
        <f t="shared" si="84"/>
        <v>37</v>
      </c>
      <c r="X198" s="84"/>
      <c r="Y198" s="78">
        <f>SUM(E181:E198)</f>
        <v>36</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 thickBot="1" x14ac:dyDescent="0.35">
      <c r="A199" s="88"/>
      <c r="B199" s="66" t="s">
        <v>307</v>
      </c>
      <c r="C199" s="67"/>
      <c r="D199" s="102"/>
      <c r="E199" s="32"/>
      <c r="F199" s="32"/>
      <c r="G199" s="68" t="s">
        <v>285</v>
      </c>
      <c r="H199" s="69">
        <f t="shared" si="77"/>
        <v>0</v>
      </c>
      <c r="I199" s="70">
        <f t="shared" si="78"/>
        <v>0</v>
      </c>
      <c r="J199" s="73" t="str">
        <f t="shared" si="79"/>
        <v>--</v>
      </c>
      <c r="K199" s="32"/>
      <c r="L199" s="233"/>
      <c r="M199" s="278"/>
      <c r="N199" s="278"/>
      <c r="O199" s="278"/>
      <c r="P199" s="278"/>
      <c r="Q199" s="278"/>
      <c r="R199" s="278"/>
      <c r="S199" s="278"/>
      <c r="T199" s="278"/>
      <c r="U199" s="279"/>
      <c r="V199" s="103"/>
      <c r="W199" s="84">
        <f t="shared" si="84"/>
        <v>37</v>
      </c>
      <c r="X199" s="84"/>
      <c r="Y199" s="78">
        <f>SUM(E181:E199)</f>
        <v>36</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 thickBot="1" x14ac:dyDescent="0.35">
      <c r="A200" s="88"/>
      <c r="B200" s="66" t="s">
        <v>308</v>
      </c>
      <c r="C200" s="67"/>
      <c r="D200" s="102"/>
      <c r="E200" s="32"/>
      <c r="F200" s="32"/>
      <c r="G200" s="68" t="s">
        <v>285</v>
      </c>
      <c r="H200" s="69">
        <f t="shared" si="77"/>
        <v>0</v>
      </c>
      <c r="I200" s="70">
        <f t="shared" si="78"/>
        <v>0</v>
      </c>
      <c r="J200" s="73" t="str">
        <f t="shared" si="79"/>
        <v>--</v>
      </c>
      <c r="K200" s="32"/>
      <c r="L200" s="233"/>
      <c r="M200" s="278"/>
      <c r="N200" s="278"/>
      <c r="O200" s="278"/>
      <c r="P200" s="278"/>
      <c r="Q200" s="278"/>
      <c r="R200" s="278"/>
      <c r="S200" s="278"/>
      <c r="T200" s="278"/>
      <c r="U200" s="279"/>
      <c r="V200" s="103"/>
      <c r="W200" s="84">
        <f t="shared" si="84"/>
        <v>37</v>
      </c>
      <c r="X200" s="84"/>
      <c r="Y200" s="78">
        <f>SUM(E181:E200)</f>
        <v>36</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 thickBot="1" x14ac:dyDescent="0.35">
      <c r="A201" s="88"/>
      <c r="B201" s="66" t="s">
        <v>309</v>
      </c>
      <c r="C201" s="67"/>
      <c r="D201" s="102"/>
      <c r="E201" s="32"/>
      <c r="F201" s="32"/>
      <c r="G201" s="68" t="s">
        <v>285</v>
      </c>
      <c r="H201" s="69">
        <f t="shared" si="77"/>
        <v>0</v>
      </c>
      <c r="I201" s="70">
        <f t="shared" si="78"/>
        <v>0</v>
      </c>
      <c r="J201" s="73" t="str">
        <f t="shared" si="79"/>
        <v>--</v>
      </c>
      <c r="K201" s="32"/>
      <c r="L201" s="233"/>
      <c r="M201" s="278"/>
      <c r="N201" s="278"/>
      <c r="O201" s="278"/>
      <c r="P201" s="278"/>
      <c r="Q201" s="278"/>
      <c r="R201" s="278"/>
      <c r="S201" s="278"/>
      <c r="T201" s="278"/>
      <c r="U201" s="279"/>
      <c r="V201" s="103"/>
      <c r="W201" s="84">
        <f t="shared" si="84"/>
        <v>37</v>
      </c>
      <c r="X201" s="84"/>
      <c r="Y201" s="78">
        <f>SUM(E181:E201)</f>
        <v>36</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 thickBot="1" x14ac:dyDescent="0.35">
      <c r="A202" s="88"/>
      <c r="B202" s="66" t="s">
        <v>310</v>
      </c>
      <c r="C202" s="67"/>
      <c r="D202" s="102"/>
      <c r="E202" s="32"/>
      <c r="F202" s="32"/>
      <c r="G202" s="68" t="s">
        <v>285</v>
      </c>
      <c r="H202" s="69">
        <f t="shared" si="77"/>
        <v>0</v>
      </c>
      <c r="I202" s="70">
        <f t="shared" si="78"/>
        <v>0</v>
      </c>
      <c r="J202" s="73" t="str">
        <f t="shared" si="79"/>
        <v>--</v>
      </c>
      <c r="K202" s="32"/>
      <c r="L202" s="233"/>
      <c r="M202" s="278"/>
      <c r="N202" s="278"/>
      <c r="O202" s="278"/>
      <c r="P202" s="278"/>
      <c r="Q202" s="278"/>
      <c r="R202" s="278"/>
      <c r="S202" s="278"/>
      <c r="T202" s="278"/>
      <c r="U202" s="279"/>
      <c r="V202" s="103"/>
      <c r="W202" s="84">
        <f t="shared" si="84"/>
        <v>37</v>
      </c>
      <c r="X202" s="84"/>
      <c r="Y202" s="78">
        <f>SUM(E181:E202)</f>
        <v>36</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 thickBot="1" x14ac:dyDescent="0.35">
      <c r="A203" s="88"/>
      <c r="B203" s="66" t="s">
        <v>311</v>
      </c>
      <c r="C203" s="67"/>
      <c r="D203" s="102"/>
      <c r="E203" s="32"/>
      <c r="F203" s="32"/>
      <c r="G203" s="68" t="s">
        <v>285</v>
      </c>
      <c r="H203" s="69">
        <f t="shared" si="77"/>
        <v>0</v>
      </c>
      <c r="I203" s="70">
        <f t="shared" si="78"/>
        <v>0</v>
      </c>
      <c r="J203" s="73" t="str">
        <f t="shared" si="79"/>
        <v>--</v>
      </c>
      <c r="K203" s="32"/>
      <c r="L203" s="233"/>
      <c r="M203" s="278"/>
      <c r="N203" s="278"/>
      <c r="O203" s="278"/>
      <c r="P203" s="278"/>
      <c r="Q203" s="278"/>
      <c r="R203" s="278"/>
      <c r="S203" s="278"/>
      <c r="T203" s="278"/>
      <c r="U203" s="279"/>
      <c r="V203" s="103"/>
      <c r="W203" s="84">
        <f t="shared" si="84"/>
        <v>37</v>
      </c>
      <c r="X203" s="84"/>
      <c r="Y203" s="78">
        <f>SUM(E181:E203)</f>
        <v>36</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 thickBot="1" x14ac:dyDescent="0.35">
      <c r="A204" s="88"/>
      <c r="B204" s="66" t="s">
        <v>312</v>
      </c>
      <c r="C204" s="67"/>
      <c r="D204" s="102"/>
      <c r="E204" s="32"/>
      <c r="F204" s="32"/>
      <c r="G204" s="68" t="s">
        <v>285</v>
      </c>
      <c r="H204" s="69">
        <f t="shared" si="77"/>
        <v>0</v>
      </c>
      <c r="I204" s="70">
        <f t="shared" si="78"/>
        <v>0</v>
      </c>
      <c r="J204" s="73" t="str">
        <f t="shared" si="79"/>
        <v>--</v>
      </c>
      <c r="K204" s="32"/>
      <c r="L204" s="233"/>
      <c r="M204" s="278"/>
      <c r="N204" s="278"/>
      <c r="O204" s="278"/>
      <c r="P204" s="278"/>
      <c r="Q204" s="278"/>
      <c r="R204" s="278"/>
      <c r="S204" s="278"/>
      <c r="T204" s="278"/>
      <c r="U204" s="279"/>
      <c r="V204" s="103"/>
      <c r="W204" s="84">
        <f t="shared" si="84"/>
        <v>37</v>
      </c>
      <c r="X204" s="84"/>
      <c r="Y204" s="78">
        <f>SUM(E181:E204)</f>
        <v>36</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 thickBot="1" x14ac:dyDescent="0.35">
      <c r="A205" s="88"/>
      <c r="B205" s="66" t="s">
        <v>313</v>
      </c>
      <c r="C205" s="67"/>
      <c r="D205" s="102"/>
      <c r="E205" s="32"/>
      <c r="F205" s="32"/>
      <c r="G205" s="68" t="s">
        <v>285</v>
      </c>
      <c r="H205" s="69">
        <f t="shared" si="77"/>
        <v>0</v>
      </c>
      <c r="I205" s="70">
        <f t="shared" si="78"/>
        <v>0</v>
      </c>
      <c r="J205" s="73" t="str">
        <f t="shared" si="79"/>
        <v>--</v>
      </c>
      <c r="K205" s="32"/>
      <c r="L205" s="234"/>
      <c r="M205" s="278"/>
      <c r="N205" s="278"/>
      <c r="O205" s="278"/>
      <c r="P205" s="278"/>
      <c r="Q205" s="278"/>
      <c r="R205" s="278"/>
      <c r="S205" s="278"/>
      <c r="T205" s="278"/>
      <c r="U205" s="279"/>
      <c r="V205" s="103"/>
      <c r="W205" s="72"/>
      <c r="X205" s="72"/>
      <c r="Y205" s="78">
        <f>SUM(E181:E205)</f>
        <v>36</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2" thickBot="1" x14ac:dyDescent="0.35">
      <c r="A206" s="88"/>
      <c r="B206" s="319" t="s">
        <v>335</v>
      </c>
      <c r="C206" s="320"/>
      <c r="D206" s="79"/>
      <c r="E206" s="80"/>
      <c r="F206" s="80"/>
      <c r="G206" s="81"/>
      <c r="H206" s="192"/>
      <c r="I206" s="192"/>
      <c r="J206" s="192"/>
      <c r="K206" s="82"/>
      <c r="L206" s="319" t="s">
        <v>319</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19</v>
      </c>
      <c r="AM206" s="109">
        <f>SUM(AM181:AM205)</f>
        <v>1</v>
      </c>
      <c r="AN206" s="109">
        <f>SUM(AN181:AN205)</f>
        <v>0</v>
      </c>
      <c r="AO206" s="109">
        <f>((COUNTIF(AO181:AO205,"Y")/3)*2)</f>
        <v>0</v>
      </c>
      <c r="AP206" s="109">
        <f>(COUNTIF(AO181:AO205,"Y")/3)</f>
        <v>0</v>
      </c>
      <c r="AQ206" s="109">
        <f>(COUNTIF(AQ181:AQ205,"Y")/2)</f>
        <v>0</v>
      </c>
      <c r="AR206" s="109">
        <f>(COUNTIF(AQ181:AQ205,"Y")/2)</f>
        <v>0</v>
      </c>
      <c r="BA206" s="228"/>
    </row>
    <row r="207" spans="1:53" ht="16.2" thickBot="1" x14ac:dyDescent="0.35">
      <c r="A207" s="88"/>
      <c r="B207" s="319" t="s">
        <v>320</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 thickBot="1"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5">
      <c r="A210" s="88"/>
      <c r="B210" s="85" t="s">
        <v>336</v>
      </c>
      <c r="C210" s="25"/>
      <c r="D210" s="25"/>
      <c r="E210" s="25"/>
      <c r="F210" s="88"/>
      <c r="G210" s="25"/>
      <c r="H210" s="25"/>
      <c r="I210" s="87"/>
      <c r="J210" s="26"/>
      <c r="K210" s="25"/>
      <c r="L210" s="25"/>
      <c r="M210" s="196" t="s">
        <v>217</v>
      </c>
      <c r="N210" s="196" t="s">
        <v>218</v>
      </c>
      <c r="O210" s="196" t="s">
        <v>219</v>
      </c>
      <c r="P210" s="196" t="s">
        <v>220</v>
      </c>
      <c r="Q210" s="196" t="s">
        <v>221</v>
      </c>
      <c r="R210" s="196" t="s">
        <v>222</v>
      </c>
      <c r="S210" s="196" t="s">
        <v>223</v>
      </c>
      <c r="T210" s="196" t="s">
        <v>224</v>
      </c>
      <c r="U210" s="196" t="s">
        <v>225</v>
      </c>
      <c r="V210" s="196" t="s">
        <v>226</v>
      </c>
      <c r="W210" s="113" t="s">
        <v>227</v>
      </c>
      <c r="X210" s="196" t="s">
        <v>228</v>
      </c>
      <c r="Y210" s="25"/>
      <c r="Z210" s="25"/>
      <c r="AA210" s="25"/>
      <c r="AB210" s="25"/>
      <c r="AC210" s="25"/>
      <c r="AD210" s="25"/>
      <c r="BA210" s="226"/>
    </row>
    <row r="211" spans="1:53" ht="15.6" thickTop="1" thickBot="1" x14ac:dyDescent="0.35">
      <c r="A211" s="88"/>
      <c r="B211" s="312" t="s">
        <v>229</v>
      </c>
      <c r="C211" s="313"/>
      <c r="D211" s="314" t="s">
        <v>230</v>
      </c>
      <c r="E211" s="305"/>
      <c r="F211" s="88"/>
      <c r="G211" s="315" t="s">
        <v>231</v>
      </c>
      <c r="H211" s="316"/>
      <c r="I211" s="28">
        <f>SUM(E222:E246)</f>
        <v>20</v>
      </c>
      <c r="J211" s="317" t="s">
        <v>232</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233</v>
      </c>
      <c r="AA211" s="296"/>
      <c r="AB211" s="297"/>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234</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5">
      <c r="A212" s="88"/>
      <c r="B212" s="29" t="s">
        <v>235</v>
      </c>
      <c r="C212" s="30">
        <v>0</v>
      </c>
      <c r="D212" s="31" t="s">
        <v>236</v>
      </c>
      <c r="E212" s="66" t="str">
        <f>TEXT(IF('Cable Calculator'!AC7="","",'Cable Calculator'!AC7),)</f>
        <v>EUC</v>
      </c>
      <c r="F212" s="88"/>
      <c r="G212" s="304" t="s">
        <v>237</v>
      </c>
      <c r="H212" s="305"/>
      <c r="I212" s="33">
        <f>E213-I211</f>
        <v>4</v>
      </c>
      <c r="J212" s="289" t="s">
        <v>238</v>
      </c>
      <c r="K212" s="290"/>
      <c r="L212" s="34">
        <f>I216</f>
        <v>145</v>
      </c>
      <c r="M212" s="196">
        <v>4</v>
      </c>
      <c r="N212" s="35">
        <f>SUM(AI212,AI223)</f>
        <v>0</v>
      </c>
      <c r="O212" s="35">
        <v>0</v>
      </c>
      <c r="P212" s="35">
        <f>SUM(AJ212,AJ223)</f>
        <v>0</v>
      </c>
      <c r="Q212" s="35">
        <v>0</v>
      </c>
      <c r="R212" s="35">
        <f>COUNTIFS($E222:$E246,"4",$F222:$F246,"Pole",$C222:$C246,"FST")</f>
        <v>0</v>
      </c>
      <c r="S212" s="35">
        <f>SUM(AL212,AK223)</f>
        <v>0</v>
      </c>
      <c r="T212" s="35">
        <v>0</v>
      </c>
      <c r="U212" s="35">
        <f>SUM(AK212,AL223)</f>
        <v>5</v>
      </c>
      <c r="V212" s="35">
        <v>0</v>
      </c>
      <c r="W212" s="34">
        <f>COUNTIFS($E222:$E246,"4",$F222:$F246,"HH",$C222:$C246,"FST")</f>
        <v>3</v>
      </c>
      <c r="X212" s="35">
        <f>COUNTIFS($E222:$E246,"4",$F222:$F246,"Ped",$C222:$C246,"FST")</f>
        <v>0</v>
      </c>
      <c r="Y212" s="25"/>
      <c r="Z212" s="298" t="s">
        <v>239</v>
      </c>
      <c r="AA212" s="300" t="s">
        <v>240</v>
      </c>
      <c r="AB212" s="301"/>
      <c r="AC212" s="25"/>
      <c r="AD212" s="25"/>
      <c r="AH212" s="109">
        <v>4</v>
      </c>
      <c r="AI212" s="109" t="str">
        <f>IF($E212="SS",COUNTIFS($C222:$C246,"FST",$E222:$E246,"4"),"0")</f>
        <v>0</v>
      </c>
      <c r="AJ212" s="109" t="str">
        <f>IF($E212="RPX",COUNTIFS($C222:$C246,"FST",$E222:$E246,"4"),"0")</f>
        <v>0</v>
      </c>
      <c r="AK212" s="109">
        <f>IF($E212="EUC",COUNTIFS($C222:$C246,"FST",$E222:$E246,"4"),"0")</f>
        <v>5</v>
      </c>
      <c r="AL212" s="109" t="str">
        <f>IF($E212="RPX-T",COUNTIFS($C222:$C246,"FST",$E222:$E246,"4"),"0")</f>
        <v>0</v>
      </c>
      <c r="AS212" s="109" t="str">
        <f>IF(AND(E217="Y",E213=24,E214=0),"Y","N")</f>
        <v>Y</v>
      </c>
      <c r="AT212" s="110" t="s">
        <v>241</v>
      </c>
      <c r="AU212" s="109">
        <f>COUNTIFS($E212,"SS",$AS212,"Y")</f>
        <v>0</v>
      </c>
      <c r="AV212" s="111">
        <f>COUNTIFS($E212,"RPX",$AS212,"Y")</f>
        <v>0</v>
      </c>
      <c r="AW212" s="111">
        <f>COUNTIFS($E212,"EUC",$AS212,"Y")</f>
        <v>1</v>
      </c>
      <c r="AX212" s="109">
        <f>COUNTIFS($E212,"RPX-T",$AS212,"Y")</f>
        <v>0</v>
      </c>
      <c r="BA212" s="227"/>
    </row>
    <row r="213" spans="1:53" ht="15.6" thickTop="1" thickBot="1" x14ac:dyDescent="0.35">
      <c r="A213" s="88"/>
      <c r="B213" s="36" t="s">
        <v>242</v>
      </c>
      <c r="C213" s="37">
        <v>0</v>
      </c>
      <c r="D213" s="38" t="s">
        <v>243</v>
      </c>
      <c r="E213" s="32">
        <v>24</v>
      </c>
      <c r="F213" s="88"/>
      <c r="G213" s="291" t="s">
        <v>244</v>
      </c>
      <c r="H213" s="292"/>
      <c r="I213" s="35">
        <f>IF(E213=0,0,12-(MOD(I211,12)))</f>
        <v>4</v>
      </c>
      <c r="J213" s="289" t="s">
        <v>245</v>
      </c>
      <c r="K213" s="290"/>
      <c r="L213" s="39">
        <f>I217-I211</f>
        <v>148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246</v>
      </c>
      <c r="AU213" s="109">
        <f>COUNTIFS($E212,"SS",$AS213,"Y")</f>
        <v>0</v>
      </c>
      <c r="AV213" s="108">
        <f>COUNTIFS($E212,"RPX",$AS213,"Y")</f>
        <v>0</v>
      </c>
      <c r="AW213" s="108">
        <f>COUNTIFS($E212,"EUC",$AS213,"Y")</f>
        <v>0</v>
      </c>
      <c r="AX213" s="109">
        <f>COUNTIFS($E212,"RPX-T",$AS213,"Y")</f>
        <v>0</v>
      </c>
      <c r="BA213" s="227"/>
    </row>
    <row r="214" spans="1:53" ht="16.5" customHeight="1" thickTop="1" thickBot="1" x14ac:dyDescent="0.35">
      <c r="A214" s="88"/>
      <c r="B214" s="40" t="s">
        <v>247</v>
      </c>
      <c r="C214" s="30">
        <v>0</v>
      </c>
      <c r="D214" s="41" t="s">
        <v>248</v>
      </c>
      <c r="E214" s="42">
        <v>0</v>
      </c>
      <c r="F214" s="88"/>
      <c r="G214" s="321" t="s">
        <v>249</v>
      </c>
      <c r="H214" s="43" t="s">
        <v>250</v>
      </c>
      <c r="I214" s="35">
        <f>IF(E214&lt;&gt;0,1,0)</f>
        <v>0</v>
      </c>
      <c r="J214" s="291" t="s">
        <v>251</v>
      </c>
      <c r="K214" s="292"/>
      <c r="L214" s="44">
        <f>'Cable Calculator'!AC3</f>
        <v>1086</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252</v>
      </c>
      <c r="AU214" s="109">
        <f>COUNTIFS($E212,"SS",$AS214,"Y")</f>
        <v>0</v>
      </c>
      <c r="AV214" s="108">
        <f>COUNTIFS($E212,"RPX",$AS214,"Y")</f>
        <v>0</v>
      </c>
      <c r="AW214" s="108">
        <f>COUNTIFS($E212,"EUC",$AS214,"Y")</f>
        <v>0</v>
      </c>
      <c r="AX214" s="109">
        <f>COUNTIFS($E212,"RPX-T",$AS214,"Y")</f>
        <v>0</v>
      </c>
      <c r="BA214" s="227"/>
    </row>
    <row r="215" spans="1:53" ht="15.6" thickTop="1" thickBot="1" x14ac:dyDescent="0.35">
      <c r="A215" s="88"/>
      <c r="B215" s="29" t="s">
        <v>253</v>
      </c>
      <c r="C215" s="37">
        <v>0</v>
      </c>
      <c r="D215" s="41" t="s">
        <v>254</v>
      </c>
      <c r="E215" s="42">
        <v>145</v>
      </c>
      <c r="F215" s="88"/>
      <c r="G215" s="322"/>
      <c r="H215" s="47" t="s">
        <v>255</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5">
      <c r="A216" s="88"/>
      <c r="B216" s="36" t="s">
        <v>256</v>
      </c>
      <c r="C216" s="30">
        <v>0</v>
      </c>
      <c r="D216" s="49" t="s">
        <v>257</v>
      </c>
      <c r="E216" s="50">
        <f>E213/12</f>
        <v>2</v>
      </c>
      <c r="F216" s="88"/>
      <c r="G216" s="321" t="s">
        <v>258</v>
      </c>
      <c r="H216" s="51" t="s">
        <v>259</v>
      </c>
      <c r="I216" s="112">
        <f>E215</f>
        <v>145</v>
      </c>
      <c r="J216" s="323" t="s">
        <v>260</v>
      </c>
      <c r="K216" s="324"/>
      <c r="L216" s="325"/>
      <c r="M216" s="52" t="s">
        <v>261</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5.6" thickTop="1" thickBot="1" x14ac:dyDescent="0.35">
      <c r="A217" s="88"/>
      <c r="B217" s="36" t="s">
        <v>262</v>
      </c>
      <c r="C217" s="30">
        <v>0</v>
      </c>
      <c r="D217" s="31" t="s">
        <v>263</v>
      </c>
      <c r="E217" s="101" t="str">
        <f>IF('Cable Calculator'!AC5="","",'Cable Calculator'!AC5)</f>
        <v>Y</v>
      </c>
      <c r="F217" s="88"/>
      <c r="G217" s="322"/>
      <c r="H217" s="47" t="s">
        <v>264</v>
      </c>
      <c r="I217" s="35">
        <f>IF(E215="","0",IF(AND(E212="EUC",E213=432), I216+(203-E214),IF(E215=0,0,(E215+(E213-E214)-1))))</f>
        <v>168</v>
      </c>
      <c r="J217" s="286" t="str">
        <f>IFERROR(IF(OR(E212="EUC",E212="SS"),"---",IF(OR(P211,S211),"NO 2F Tethers for RPX!",IF(OR(P213,S213),"NO 6F Tethers for RPX!","---"))),"---")</f>
        <v>---</v>
      </c>
      <c r="K217" s="287"/>
      <c r="L217" s="288"/>
      <c r="M217" s="286" t="str">
        <f>IF(E214&gt;60,"Dead Count &gt;60: Consider Downsize","---")</f>
        <v>---</v>
      </c>
      <c r="N217" s="287"/>
      <c r="O217" s="287"/>
      <c r="P217" s="287"/>
      <c r="Q217" s="287"/>
      <c r="R217" s="287"/>
      <c r="S217" s="287"/>
      <c r="T217" s="287"/>
      <c r="U217" s="288"/>
      <c r="V217" s="100"/>
      <c r="W217" s="54">
        <f>SUM(P217:U217)</f>
        <v>0</v>
      </c>
      <c r="X217" s="54"/>
      <c r="Y217" s="25"/>
      <c r="Z217" s="45">
        <v>4</v>
      </c>
      <c r="AA217" s="46">
        <v>37</v>
      </c>
      <c r="AB217" s="46">
        <v>48</v>
      </c>
      <c r="AC217" s="25"/>
      <c r="AD217" s="25"/>
      <c r="BA217" s="227"/>
    </row>
    <row r="218" spans="1:53" ht="15.6" thickTop="1" thickBot="1" x14ac:dyDescent="0.35">
      <c r="A218" s="88"/>
      <c r="B218" s="55" t="s">
        <v>265</v>
      </c>
      <c r="C218" s="56">
        <f>SUM(C212:C217)+I211</f>
        <v>20</v>
      </c>
      <c r="D218" s="31" t="s">
        <v>266</v>
      </c>
      <c r="E218" s="101" t="str">
        <f>IF(AS212="Y","DBL",IF(AS213="Y","TRPL",IF(AS214="Y","QUAD","")))</f>
        <v>DBL</v>
      </c>
      <c r="F218" s="88"/>
      <c r="G218" s="192"/>
      <c r="H218" s="57"/>
      <c r="I218" s="192"/>
      <c r="J218" s="286"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7"/>
      <c r="L218" s="288"/>
      <c r="M218" s="286" t="str">
        <f>IF(AND(OR(E212="SS",E212="RPX",E212="EUC",E212="RPX-T"),(OR(C222="",C222="Field SPL"))),"Cannot have FlexNap cables without tethers","---")</f>
        <v>---</v>
      </c>
      <c r="N218" s="287"/>
      <c r="O218" s="287"/>
      <c r="P218" s="287"/>
      <c r="Q218" s="287"/>
      <c r="R218" s="287"/>
      <c r="S218" s="287"/>
      <c r="T218" s="287"/>
      <c r="U218" s="288"/>
      <c r="V218" s="25"/>
      <c r="W218" s="58"/>
      <c r="X218" s="58"/>
      <c r="Y218" s="25"/>
      <c r="Z218" s="45">
        <v>5</v>
      </c>
      <c r="AA218" s="46">
        <v>49</v>
      </c>
      <c r="AB218" s="46">
        <v>60</v>
      </c>
      <c r="AC218" s="25"/>
      <c r="AD218" s="25"/>
      <c r="BA218" s="227"/>
    </row>
    <row r="219" spans="1:53" ht="15.6" thickTop="1" thickBot="1" x14ac:dyDescent="0.35">
      <c r="A219" s="88"/>
      <c r="B219" s="59"/>
      <c r="C219" s="60"/>
      <c r="D219" s="61"/>
      <c r="E219" s="62"/>
      <c r="F219" s="88"/>
      <c r="G219" s="63"/>
      <c r="H219" s="64"/>
      <c r="I219" s="63"/>
      <c r="J219" s="286" t="str">
        <f>IF(AND(OR(E212="RPX", E212="RPX-T", E212="SS"),E213=216),"NO 216 For RPX, RPX-T, OR SS CABLE","---")</f>
        <v>---</v>
      </c>
      <c r="K219" s="287"/>
      <c r="L219" s="288"/>
      <c r="M219" s="286" t="str" cm="1">
        <f t="array" ref="M219">IF(AND(E212="",OR(C222:C246="FST",C222:C246="REV T",C222:C246="DBL REV",C222:C246="TPL REV", C222:C246="QD REV")),"Non-FlexNap cables cannot have tethers","---")</f>
        <v>---</v>
      </c>
      <c r="N219" s="287"/>
      <c r="O219" s="287"/>
      <c r="P219" s="287"/>
      <c r="Q219" s="287"/>
      <c r="R219" s="287"/>
      <c r="S219" s="287"/>
      <c r="T219" s="287"/>
      <c r="U219" s="288"/>
      <c r="V219" s="25"/>
      <c r="W219" s="58"/>
      <c r="X219" s="58"/>
      <c r="Y219" s="25"/>
      <c r="Z219" s="45">
        <v>6</v>
      </c>
      <c r="AA219" s="65">
        <v>61</v>
      </c>
      <c r="AB219" s="65">
        <v>72</v>
      </c>
      <c r="AC219" s="25"/>
      <c r="AD219" s="25"/>
      <c r="BA219" s="226"/>
    </row>
    <row r="220" spans="1:53" ht="15.75" customHeight="1" thickBot="1" x14ac:dyDescent="0.35">
      <c r="A220" s="88"/>
      <c r="B220" s="321" t="s">
        <v>267</v>
      </c>
      <c r="C220" s="293" t="s">
        <v>268</v>
      </c>
      <c r="D220" s="293" t="s">
        <v>269</v>
      </c>
      <c r="E220" s="306" t="s">
        <v>270</v>
      </c>
      <c r="F220" s="293" t="s">
        <v>271</v>
      </c>
      <c r="G220" s="308" t="s">
        <v>272</v>
      </c>
      <c r="H220" s="308" t="s">
        <v>273</v>
      </c>
      <c r="I220" s="308" t="s">
        <v>274</v>
      </c>
      <c r="J220" s="310" t="s">
        <v>275</v>
      </c>
      <c r="K220" s="293" t="s">
        <v>276</v>
      </c>
      <c r="L220" s="280" t="s">
        <v>277</v>
      </c>
      <c r="M220" s="282" t="s">
        <v>278</v>
      </c>
      <c r="N220" s="282"/>
      <c r="O220" s="282"/>
      <c r="P220" s="282"/>
      <c r="Q220" s="282"/>
      <c r="R220" s="282"/>
      <c r="S220" s="282"/>
      <c r="T220" s="282"/>
      <c r="U220" s="283"/>
      <c r="V220" s="107"/>
      <c r="W220" s="72"/>
      <c r="X220" s="72"/>
      <c r="Y220" s="72"/>
      <c r="Z220" s="45">
        <v>7</v>
      </c>
      <c r="AA220" s="65">
        <v>73</v>
      </c>
      <c r="AB220" s="65">
        <v>84</v>
      </c>
      <c r="AC220" s="25"/>
      <c r="AD220" s="25"/>
      <c r="BA220" s="228"/>
    </row>
    <row r="221" spans="1:53" ht="15" thickBot="1" x14ac:dyDescent="0.35">
      <c r="A221" s="88"/>
      <c r="B221" s="322"/>
      <c r="C221" s="294"/>
      <c r="D221" s="294"/>
      <c r="E221" s="307"/>
      <c r="F221" s="294"/>
      <c r="G221" s="309"/>
      <c r="H221" s="309"/>
      <c r="I221" s="309"/>
      <c r="J221" s="311"/>
      <c r="K221" s="294"/>
      <c r="L221" s="281"/>
      <c r="M221" s="284"/>
      <c r="N221" s="284"/>
      <c r="O221" s="284"/>
      <c r="P221" s="284"/>
      <c r="Q221" s="284"/>
      <c r="R221" s="284"/>
      <c r="S221" s="284"/>
      <c r="T221" s="284"/>
      <c r="U221" s="285"/>
      <c r="V221" s="107"/>
      <c r="W221" s="72"/>
      <c r="X221" s="72"/>
      <c r="Y221" s="72"/>
      <c r="Z221" s="45">
        <v>8</v>
      </c>
      <c r="AA221" s="46">
        <v>85</v>
      </c>
      <c r="AB221" s="46">
        <v>96</v>
      </c>
      <c r="AC221" s="25"/>
      <c r="AD221" s="25"/>
      <c r="AI221" s="109" t="s">
        <v>279</v>
      </c>
      <c r="AJ221" s="109" t="s">
        <v>280</v>
      </c>
      <c r="AK221" s="109" t="s">
        <v>281</v>
      </c>
      <c r="AL221" s="109" t="s">
        <v>282</v>
      </c>
      <c r="BA221" s="228"/>
    </row>
    <row r="222" spans="1:53" ht="15" thickBot="1" x14ac:dyDescent="0.35">
      <c r="A222" s="88"/>
      <c r="B222" s="66" t="s">
        <v>283</v>
      </c>
      <c r="C222" s="67" t="s">
        <v>322</v>
      </c>
      <c r="D222" s="102" t="s">
        <v>791</v>
      </c>
      <c r="E222" s="32">
        <v>4</v>
      </c>
      <c r="F222" s="32" t="s">
        <v>324</v>
      </c>
      <c r="G222" s="68" t="s">
        <v>285</v>
      </c>
      <c r="H222" s="69">
        <f>IF(I222=0,0,I222-(E222-1))</f>
        <v>165</v>
      </c>
      <c r="I222" s="70">
        <f>IF(E222=0,0,I217)</f>
        <v>168</v>
      </c>
      <c r="J222" s="71" t="s">
        <v>286</v>
      </c>
      <c r="K222" s="32"/>
      <c r="L222" s="233"/>
      <c r="M222" s="278"/>
      <c r="N222" s="278"/>
      <c r="O222" s="278"/>
      <c r="P222" s="278"/>
      <c r="Q222" s="278"/>
      <c r="R222" s="278"/>
      <c r="S222" s="278"/>
      <c r="T222" s="278"/>
      <c r="U222" s="27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165-168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 thickBot="1" x14ac:dyDescent="0.35">
      <c r="A223" s="88"/>
      <c r="B223" s="66" t="s">
        <v>288</v>
      </c>
      <c r="C223" s="67" t="s">
        <v>322</v>
      </c>
      <c r="D223" s="102" t="s">
        <v>792</v>
      </c>
      <c r="E223" s="32">
        <v>4</v>
      </c>
      <c r="F223" s="32" t="s">
        <v>324</v>
      </c>
      <c r="G223" s="68" t="s">
        <v>285</v>
      </c>
      <c r="H223" s="69">
        <f t="shared" ref="H223:H246" si="94">IF(E223=0,0,I223-(E223-1))</f>
        <v>161</v>
      </c>
      <c r="I223" s="70">
        <f t="shared" ref="I223:I246" si="95">IF(E223=0,0,H222-1)</f>
        <v>164</v>
      </c>
      <c r="J223" s="73" t="str">
        <f>IF(C223="","--",IF(AND(C223&lt;&gt;"FST",C223&lt;&gt;"TCF",BA222&lt;&gt;0),BA222,"--"))</f>
        <v>--</v>
      </c>
      <c r="K223" s="32"/>
      <c r="L223" s="233"/>
      <c r="M223" s="278"/>
      <c r="N223" s="278"/>
      <c r="O223" s="278"/>
      <c r="P223" s="278"/>
      <c r="Q223" s="278"/>
      <c r="R223" s="278"/>
      <c r="S223" s="278"/>
      <c r="T223" s="278"/>
      <c r="U223" s="279"/>
      <c r="V223" s="103"/>
      <c r="W223" s="72"/>
      <c r="X223" s="72"/>
      <c r="Y223" s="72"/>
      <c r="Z223" s="45">
        <v>10</v>
      </c>
      <c r="AA223" s="46">
        <v>109</v>
      </c>
      <c r="AB223" s="46">
        <v>120</v>
      </c>
      <c r="AC223" s="72">
        <f t="shared" si="85"/>
        <v>1</v>
      </c>
      <c r="AD223" s="72">
        <f t="shared" si="86"/>
        <v>0</v>
      </c>
      <c r="AE223" s="109" t="str">
        <f t="shared" si="87"/>
        <v>161-164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 thickBot="1" x14ac:dyDescent="0.35">
      <c r="A224" s="88"/>
      <c r="B224" s="74" t="s">
        <v>290</v>
      </c>
      <c r="C224" s="67" t="s">
        <v>322</v>
      </c>
      <c r="D224" s="102" t="s">
        <v>793</v>
      </c>
      <c r="E224" s="32">
        <v>4</v>
      </c>
      <c r="F224" s="32" t="s">
        <v>324</v>
      </c>
      <c r="G224" s="75" t="s">
        <v>285</v>
      </c>
      <c r="H224" s="69">
        <f t="shared" si="94"/>
        <v>157</v>
      </c>
      <c r="I224" s="70">
        <f t="shared" si="95"/>
        <v>160</v>
      </c>
      <c r="J224" s="73" t="str">
        <f t="shared" ref="J224:J246" si="96">IF(C224="","--",IF(AND(C224&lt;&gt;"FST",C224&lt;&gt;"TCF",BA223&lt;&gt;0),BA223,"--"))</f>
        <v>--</v>
      </c>
      <c r="K224" s="32"/>
      <c r="L224" s="233"/>
      <c r="M224" s="278"/>
      <c r="N224" s="278"/>
      <c r="O224" s="278"/>
      <c r="P224" s="278"/>
      <c r="Q224" s="278"/>
      <c r="R224" s="278"/>
      <c r="S224" s="278"/>
      <c r="T224" s="278"/>
      <c r="U224" s="279"/>
      <c r="V224" s="103"/>
      <c r="W224" s="72"/>
      <c r="X224" s="72"/>
      <c r="Y224" s="72"/>
      <c r="Z224" s="45">
        <v>11</v>
      </c>
      <c r="AA224" s="46">
        <v>121</v>
      </c>
      <c r="AB224" s="46">
        <v>132</v>
      </c>
      <c r="AC224" s="72">
        <f t="shared" si="85"/>
        <v>1</v>
      </c>
      <c r="AD224" s="72">
        <f t="shared" si="86"/>
        <v>0</v>
      </c>
      <c r="AE224" s="109" t="str">
        <f t="shared" si="87"/>
        <v>157-160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 thickBot="1" x14ac:dyDescent="0.35">
      <c r="A225" s="88"/>
      <c r="B225" s="66" t="s">
        <v>292</v>
      </c>
      <c r="C225" s="67" t="s">
        <v>322</v>
      </c>
      <c r="D225" s="102" t="s">
        <v>794</v>
      </c>
      <c r="E225" s="32">
        <v>4</v>
      </c>
      <c r="F225" s="32"/>
      <c r="G225" s="68" t="s">
        <v>285</v>
      </c>
      <c r="H225" s="69">
        <f t="shared" si="94"/>
        <v>153</v>
      </c>
      <c r="I225" s="70">
        <f t="shared" si="95"/>
        <v>156</v>
      </c>
      <c r="J225" s="73" t="str">
        <f t="shared" si="96"/>
        <v>--</v>
      </c>
      <c r="K225" s="32"/>
      <c r="L225" s="233"/>
      <c r="M225" s="278" t="s">
        <v>809</v>
      </c>
      <c r="N225" s="278"/>
      <c r="O225" s="278"/>
      <c r="P225" s="278"/>
      <c r="Q225" s="278"/>
      <c r="R225" s="278"/>
      <c r="S225" s="278"/>
      <c r="T225" s="278"/>
      <c r="U225" s="279"/>
      <c r="V225" s="103"/>
      <c r="W225" s="72"/>
      <c r="X225" s="72"/>
      <c r="Y225" s="72"/>
      <c r="Z225" s="45">
        <v>12</v>
      </c>
      <c r="AA225" s="76">
        <v>133</v>
      </c>
      <c r="AB225" s="76">
        <v>144</v>
      </c>
      <c r="AC225" s="72">
        <f t="shared" si="85"/>
        <v>1</v>
      </c>
      <c r="AD225" s="72">
        <f t="shared" si="86"/>
        <v>0</v>
      </c>
      <c r="AE225" s="109" t="str">
        <f t="shared" si="87"/>
        <v>153-156</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 thickBot="1" x14ac:dyDescent="0.35">
      <c r="A226" s="88"/>
      <c r="B226" s="66" t="s">
        <v>293</v>
      </c>
      <c r="C226" s="67" t="s">
        <v>322</v>
      </c>
      <c r="D226" s="102" t="s">
        <v>795</v>
      </c>
      <c r="E226" s="32">
        <v>4</v>
      </c>
      <c r="F226" s="32"/>
      <c r="G226" s="68" t="s">
        <v>285</v>
      </c>
      <c r="H226" s="69">
        <f t="shared" si="94"/>
        <v>149</v>
      </c>
      <c r="I226" s="70">
        <f t="shared" si="95"/>
        <v>152</v>
      </c>
      <c r="J226" s="73" t="str">
        <f t="shared" si="96"/>
        <v>--</v>
      </c>
      <c r="K226" s="32"/>
      <c r="L226" s="233"/>
      <c r="M226" s="278" t="s">
        <v>809</v>
      </c>
      <c r="N226" s="278"/>
      <c r="O226" s="278"/>
      <c r="P226" s="278"/>
      <c r="Q226" s="278"/>
      <c r="R226" s="278"/>
      <c r="S226" s="278"/>
      <c r="T226" s="278"/>
      <c r="U226" s="279"/>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149-152</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8</v>
      </c>
    </row>
    <row r="227" spans="1:53" ht="15" thickBot="1" x14ac:dyDescent="0.35">
      <c r="A227" s="88"/>
      <c r="B227" s="66" t="s">
        <v>294</v>
      </c>
      <c r="C227" s="67"/>
      <c r="D227" s="102"/>
      <c r="E227" s="32"/>
      <c r="F227" s="32"/>
      <c r="G227" s="68" t="s">
        <v>285</v>
      </c>
      <c r="H227" s="69">
        <f t="shared" si="94"/>
        <v>0</v>
      </c>
      <c r="I227" s="70">
        <f t="shared" si="95"/>
        <v>0</v>
      </c>
      <c r="J227" s="73" t="str">
        <f t="shared" si="96"/>
        <v>--</v>
      </c>
      <c r="K227" s="32"/>
      <c r="L227" s="233"/>
      <c r="M227" s="278"/>
      <c r="N227" s="278"/>
      <c r="O227" s="278"/>
      <c r="P227" s="278"/>
      <c r="Q227" s="278"/>
      <c r="R227" s="278"/>
      <c r="S227" s="278"/>
      <c r="T227" s="278"/>
      <c r="U227" s="279"/>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8</v>
      </c>
    </row>
    <row r="228" spans="1:53" ht="15" thickBot="1" x14ac:dyDescent="0.35">
      <c r="A228" s="88"/>
      <c r="B228" s="66" t="s">
        <v>295</v>
      </c>
      <c r="C228" s="67"/>
      <c r="D228" s="102"/>
      <c r="E228" s="32"/>
      <c r="F228" s="32"/>
      <c r="G228" s="68" t="s">
        <v>285</v>
      </c>
      <c r="H228" s="69">
        <f t="shared" si="94"/>
        <v>0</v>
      </c>
      <c r="I228" s="70">
        <f t="shared" si="95"/>
        <v>0</v>
      </c>
      <c r="J228" s="73" t="str">
        <f t="shared" si="96"/>
        <v>--</v>
      </c>
      <c r="K228" s="32"/>
      <c r="L228" s="233"/>
      <c r="M228" s="278"/>
      <c r="N228" s="278"/>
      <c r="O228" s="278"/>
      <c r="P228" s="278"/>
      <c r="Q228" s="278"/>
      <c r="R228" s="278"/>
      <c r="S228" s="278"/>
      <c r="T228" s="278"/>
      <c r="U228" s="279"/>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8</v>
      </c>
    </row>
    <row r="229" spans="1:53" ht="15" thickBot="1" x14ac:dyDescent="0.35">
      <c r="A229" s="88"/>
      <c r="B229" s="66" t="s">
        <v>296</v>
      </c>
      <c r="C229" s="67"/>
      <c r="D229" s="102"/>
      <c r="E229" s="32"/>
      <c r="F229" s="32"/>
      <c r="G229" s="68" t="s">
        <v>285</v>
      </c>
      <c r="H229" s="69">
        <f t="shared" si="94"/>
        <v>0</v>
      </c>
      <c r="I229" s="70">
        <f t="shared" si="95"/>
        <v>0</v>
      </c>
      <c r="J229" s="73" t="str">
        <f t="shared" si="96"/>
        <v>--</v>
      </c>
      <c r="K229" s="32"/>
      <c r="L229" s="233"/>
      <c r="M229" s="278"/>
      <c r="N229" s="278"/>
      <c r="O229" s="278"/>
      <c r="P229" s="278"/>
      <c r="Q229" s="278"/>
      <c r="R229" s="278"/>
      <c r="S229" s="278"/>
      <c r="T229" s="278"/>
      <c r="U229" s="279"/>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8</v>
      </c>
    </row>
    <row r="230" spans="1:53" ht="15" thickBot="1" x14ac:dyDescent="0.35">
      <c r="A230" s="88"/>
      <c r="B230" s="66" t="s">
        <v>297</v>
      </c>
      <c r="C230" s="67"/>
      <c r="D230" s="102"/>
      <c r="E230" s="32"/>
      <c r="F230" s="32"/>
      <c r="G230" s="68" t="s">
        <v>285</v>
      </c>
      <c r="H230" s="69">
        <f t="shared" si="94"/>
        <v>0</v>
      </c>
      <c r="I230" s="70">
        <f t="shared" si="95"/>
        <v>0</v>
      </c>
      <c r="J230" s="73" t="str">
        <f t="shared" si="96"/>
        <v>--</v>
      </c>
      <c r="K230" s="32"/>
      <c r="L230" s="233"/>
      <c r="M230" s="278"/>
      <c r="N230" s="278"/>
      <c r="O230" s="278"/>
      <c r="P230" s="278"/>
      <c r="Q230" s="278"/>
      <c r="R230" s="278"/>
      <c r="S230" s="278"/>
      <c r="T230" s="278"/>
      <c r="U230" s="279"/>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8</v>
      </c>
    </row>
    <row r="231" spans="1:53" ht="15" thickBot="1" x14ac:dyDescent="0.35">
      <c r="A231" s="88"/>
      <c r="B231" s="66" t="s">
        <v>298</v>
      </c>
      <c r="C231" s="67"/>
      <c r="D231" s="102"/>
      <c r="E231" s="32"/>
      <c r="F231" s="32"/>
      <c r="G231" s="68" t="s">
        <v>285</v>
      </c>
      <c r="H231" s="69">
        <f t="shared" si="94"/>
        <v>0</v>
      </c>
      <c r="I231" s="70">
        <f t="shared" si="95"/>
        <v>0</v>
      </c>
      <c r="J231" s="73" t="str">
        <f t="shared" si="96"/>
        <v>--</v>
      </c>
      <c r="K231" s="32"/>
      <c r="L231" s="233"/>
      <c r="M231" s="278"/>
      <c r="N231" s="278"/>
      <c r="O231" s="278"/>
      <c r="P231" s="278"/>
      <c r="Q231" s="278"/>
      <c r="R231" s="278"/>
      <c r="S231" s="278"/>
      <c r="T231" s="278"/>
      <c r="U231" s="279"/>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8</v>
      </c>
    </row>
    <row r="232" spans="1:53" ht="15" thickBot="1" x14ac:dyDescent="0.35">
      <c r="A232" s="88"/>
      <c r="B232" s="66" t="s">
        <v>299</v>
      </c>
      <c r="C232" s="67"/>
      <c r="D232" s="102"/>
      <c r="E232" s="32"/>
      <c r="F232" s="32"/>
      <c r="G232" s="68" t="s">
        <v>285</v>
      </c>
      <c r="H232" s="69">
        <f t="shared" si="94"/>
        <v>0</v>
      </c>
      <c r="I232" s="70">
        <f t="shared" si="95"/>
        <v>0</v>
      </c>
      <c r="J232" s="73" t="str">
        <f t="shared" si="96"/>
        <v>--</v>
      </c>
      <c r="K232" s="32"/>
      <c r="L232" s="233"/>
      <c r="M232" s="278"/>
      <c r="N232" s="278"/>
      <c r="O232" s="278"/>
      <c r="P232" s="278"/>
      <c r="Q232" s="278"/>
      <c r="R232" s="278"/>
      <c r="S232" s="278"/>
      <c r="T232" s="278"/>
      <c r="U232" s="279"/>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8</v>
      </c>
    </row>
    <row r="233" spans="1:53" ht="15" thickBot="1" x14ac:dyDescent="0.35">
      <c r="A233" s="88"/>
      <c r="B233" s="66" t="s">
        <v>300</v>
      </c>
      <c r="C233" s="67"/>
      <c r="D233" s="102"/>
      <c r="E233" s="32"/>
      <c r="F233" s="32"/>
      <c r="G233" s="68" t="s">
        <v>285</v>
      </c>
      <c r="H233" s="69">
        <f t="shared" si="94"/>
        <v>0</v>
      </c>
      <c r="I233" s="70">
        <f t="shared" si="95"/>
        <v>0</v>
      </c>
      <c r="J233" s="73" t="str">
        <f t="shared" si="96"/>
        <v>--</v>
      </c>
      <c r="K233" s="32"/>
      <c r="L233" s="233"/>
      <c r="M233" s="278"/>
      <c r="N233" s="278"/>
      <c r="O233" s="278"/>
      <c r="P233" s="278"/>
      <c r="Q233" s="278"/>
      <c r="R233" s="278"/>
      <c r="S233" s="278"/>
      <c r="T233" s="278"/>
      <c r="U233" s="279"/>
      <c r="V233" s="103"/>
      <c r="W233" s="84">
        <f>Y233+1</f>
        <v>21</v>
      </c>
      <c r="X233" s="84"/>
      <c r="Y233" s="78">
        <f>SUM(E222:E233)</f>
        <v>20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8</v>
      </c>
    </row>
    <row r="234" spans="1:53" ht="15" thickBot="1" x14ac:dyDescent="0.35">
      <c r="A234" s="88"/>
      <c r="B234" s="66" t="s">
        <v>301</v>
      </c>
      <c r="C234" s="67"/>
      <c r="D234" s="102"/>
      <c r="E234" s="32"/>
      <c r="F234" s="32"/>
      <c r="G234" s="68" t="s">
        <v>285</v>
      </c>
      <c r="H234" s="69">
        <f t="shared" si="94"/>
        <v>0</v>
      </c>
      <c r="I234" s="70">
        <f t="shared" si="95"/>
        <v>0</v>
      </c>
      <c r="J234" s="73" t="str">
        <f t="shared" si="96"/>
        <v>--</v>
      </c>
      <c r="K234" s="32"/>
      <c r="L234" s="233"/>
      <c r="M234" s="278"/>
      <c r="N234" s="278"/>
      <c r="O234" s="278"/>
      <c r="P234" s="278"/>
      <c r="Q234" s="278"/>
      <c r="R234" s="278"/>
      <c r="S234" s="278"/>
      <c r="T234" s="278"/>
      <c r="U234" s="279"/>
      <c r="V234" s="103"/>
      <c r="W234" s="84">
        <f>Y234+1</f>
        <v>21</v>
      </c>
      <c r="X234" s="84"/>
      <c r="Y234" s="78">
        <f>SUM(E222:E234)</f>
        <v>20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8</v>
      </c>
    </row>
    <row r="235" spans="1:53" ht="15" thickBot="1" x14ac:dyDescent="0.35">
      <c r="A235" s="88"/>
      <c r="B235" s="66" t="s">
        <v>302</v>
      </c>
      <c r="C235" s="67"/>
      <c r="D235" s="102"/>
      <c r="E235" s="32"/>
      <c r="F235" s="32"/>
      <c r="G235" s="68" t="s">
        <v>285</v>
      </c>
      <c r="H235" s="69">
        <f t="shared" si="94"/>
        <v>0</v>
      </c>
      <c r="I235" s="70">
        <f t="shared" si="95"/>
        <v>0</v>
      </c>
      <c r="J235" s="73" t="str">
        <f t="shared" si="96"/>
        <v>--</v>
      </c>
      <c r="K235" s="32"/>
      <c r="L235" s="233"/>
      <c r="M235" s="278"/>
      <c r="N235" s="278"/>
      <c r="O235" s="278"/>
      <c r="P235" s="278"/>
      <c r="Q235" s="278"/>
      <c r="R235" s="278"/>
      <c r="S235" s="278"/>
      <c r="T235" s="278"/>
      <c r="U235" s="279"/>
      <c r="V235" s="103"/>
      <c r="W235" s="84">
        <f>Y235+1</f>
        <v>21</v>
      </c>
      <c r="X235" s="84"/>
      <c r="Y235" s="78">
        <f>SUM(E222:E235)</f>
        <v>20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8</v>
      </c>
    </row>
    <row r="236" spans="1:53" ht="15" thickBot="1" x14ac:dyDescent="0.35">
      <c r="A236" s="88"/>
      <c r="B236" s="66" t="s">
        <v>303</v>
      </c>
      <c r="C236" s="67"/>
      <c r="D236" s="102"/>
      <c r="E236" s="32"/>
      <c r="F236" s="32"/>
      <c r="G236" s="68" t="s">
        <v>285</v>
      </c>
      <c r="H236" s="69">
        <f t="shared" si="94"/>
        <v>0</v>
      </c>
      <c r="I236" s="70">
        <f t="shared" si="95"/>
        <v>0</v>
      </c>
      <c r="J236" s="73" t="str">
        <f t="shared" si="96"/>
        <v>--</v>
      </c>
      <c r="K236" s="32"/>
      <c r="L236" s="233"/>
      <c r="M236" s="278"/>
      <c r="N236" s="278"/>
      <c r="O236" s="278"/>
      <c r="P236" s="278"/>
      <c r="Q236" s="278"/>
      <c r="R236" s="278"/>
      <c r="S236" s="278"/>
      <c r="T236" s="278"/>
      <c r="U236" s="279"/>
      <c r="V236" s="103"/>
      <c r="W236" s="84">
        <f>Y236+1</f>
        <v>21</v>
      </c>
      <c r="X236" s="84"/>
      <c r="Y236" s="78">
        <f>SUM(E222:E236)</f>
        <v>20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8</v>
      </c>
    </row>
    <row r="237" spans="1:53" ht="15" thickBot="1" x14ac:dyDescent="0.35">
      <c r="A237" s="88"/>
      <c r="B237" s="66" t="s">
        <v>304</v>
      </c>
      <c r="C237" s="67"/>
      <c r="D237" s="102"/>
      <c r="E237" s="32"/>
      <c r="F237" s="32"/>
      <c r="G237" s="68" t="s">
        <v>285</v>
      </c>
      <c r="H237" s="69">
        <f t="shared" si="94"/>
        <v>0</v>
      </c>
      <c r="I237" s="70">
        <f t="shared" si="95"/>
        <v>0</v>
      </c>
      <c r="J237" s="73" t="str">
        <f t="shared" si="96"/>
        <v>--</v>
      </c>
      <c r="K237" s="32"/>
      <c r="L237" s="233"/>
      <c r="M237" s="278"/>
      <c r="N237" s="278"/>
      <c r="O237" s="278"/>
      <c r="P237" s="278"/>
      <c r="Q237" s="278"/>
      <c r="R237" s="278"/>
      <c r="S237" s="278"/>
      <c r="T237" s="278"/>
      <c r="U237" s="279"/>
      <c r="V237" s="103"/>
      <c r="W237" s="84">
        <f t="shared" ref="W237:W245" si="101">Y237+1</f>
        <v>21</v>
      </c>
      <c r="X237" s="84"/>
      <c r="Y237" s="78">
        <f>SUM(E222:E237)</f>
        <v>20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8</v>
      </c>
    </row>
    <row r="238" spans="1:53" ht="15" thickBot="1" x14ac:dyDescent="0.35">
      <c r="A238" s="88"/>
      <c r="B238" s="66" t="s">
        <v>305</v>
      </c>
      <c r="C238" s="67"/>
      <c r="D238" s="102"/>
      <c r="E238" s="32"/>
      <c r="F238" s="32"/>
      <c r="G238" s="68" t="s">
        <v>285</v>
      </c>
      <c r="H238" s="69">
        <f t="shared" si="94"/>
        <v>0</v>
      </c>
      <c r="I238" s="70">
        <f t="shared" si="95"/>
        <v>0</v>
      </c>
      <c r="J238" s="73" t="str">
        <f t="shared" si="96"/>
        <v>--</v>
      </c>
      <c r="K238" s="32"/>
      <c r="L238" s="233"/>
      <c r="M238" s="278"/>
      <c r="N238" s="278"/>
      <c r="O238" s="278"/>
      <c r="P238" s="278"/>
      <c r="Q238" s="278"/>
      <c r="R238" s="278"/>
      <c r="S238" s="278"/>
      <c r="T238" s="278"/>
      <c r="U238" s="279"/>
      <c r="V238" s="103"/>
      <c r="W238" s="84">
        <f t="shared" si="101"/>
        <v>21</v>
      </c>
      <c r="X238" s="84"/>
      <c r="Y238" s="78">
        <f>SUM(E222:E238)</f>
        <v>20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8</v>
      </c>
    </row>
    <row r="239" spans="1:53" ht="15" thickBot="1" x14ac:dyDescent="0.35">
      <c r="A239" s="88"/>
      <c r="B239" s="66" t="s">
        <v>306</v>
      </c>
      <c r="C239" s="67"/>
      <c r="D239" s="102"/>
      <c r="E239" s="32"/>
      <c r="F239" s="32"/>
      <c r="G239" s="68" t="s">
        <v>285</v>
      </c>
      <c r="H239" s="69">
        <f t="shared" si="94"/>
        <v>0</v>
      </c>
      <c r="I239" s="70">
        <f t="shared" si="95"/>
        <v>0</v>
      </c>
      <c r="J239" s="73" t="str">
        <f t="shared" si="96"/>
        <v>--</v>
      </c>
      <c r="K239" s="32"/>
      <c r="L239" s="233"/>
      <c r="M239" s="278"/>
      <c r="N239" s="278"/>
      <c r="O239" s="278"/>
      <c r="P239" s="278"/>
      <c r="Q239" s="278"/>
      <c r="R239" s="278"/>
      <c r="S239" s="278"/>
      <c r="T239" s="278"/>
      <c r="U239" s="279"/>
      <c r="V239" s="103"/>
      <c r="W239" s="84">
        <f t="shared" si="101"/>
        <v>21</v>
      </c>
      <c r="X239" s="84"/>
      <c r="Y239" s="78">
        <f>SUM(E222:E239)</f>
        <v>20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8</v>
      </c>
    </row>
    <row r="240" spans="1:53" ht="15" thickBot="1" x14ac:dyDescent="0.35">
      <c r="A240" s="88"/>
      <c r="B240" s="66" t="s">
        <v>307</v>
      </c>
      <c r="C240" s="67"/>
      <c r="D240" s="102"/>
      <c r="E240" s="32"/>
      <c r="F240" s="32"/>
      <c r="G240" s="68" t="s">
        <v>285</v>
      </c>
      <c r="H240" s="69">
        <f t="shared" si="94"/>
        <v>0</v>
      </c>
      <c r="I240" s="70">
        <f t="shared" si="95"/>
        <v>0</v>
      </c>
      <c r="J240" s="73" t="str">
        <f t="shared" si="96"/>
        <v>--</v>
      </c>
      <c r="K240" s="32"/>
      <c r="L240" s="233"/>
      <c r="M240" s="278"/>
      <c r="N240" s="278"/>
      <c r="O240" s="278"/>
      <c r="P240" s="278"/>
      <c r="Q240" s="278"/>
      <c r="R240" s="278"/>
      <c r="S240" s="278"/>
      <c r="T240" s="278"/>
      <c r="U240" s="279"/>
      <c r="V240" s="103"/>
      <c r="W240" s="84">
        <f t="shared" si="101"/>
        <v>21</v>
      </c>
      <c r="X240" s="84"/>
      <c r="Y240" s="78">
        <f>SUM(E222:E240)</f>
        <v>20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8</v>
      </c>
    </row>
    <row r="241" spans="1:53" ht="15" thickBot="1" x14ac:dyDescent="0.35">
      <c r="A241" s="88"/>
      <c r="B241" s="66" t="s">
        <v>308</v>
      </c>
      <c r="C241" s="67"/>
      <c r="D241" s="102"/>
      <c r="E241" s="32"/>
      <c r="F241" s="32"/>
      <c r="G241" s="68" t="s">
        <v>285</v>
      </c>
      <c r="H241" s="69">
        <f t="shared" si="94"/>
        <v>0</v>
      </c>
      <c r="I241" s="70">
        <f t="shared" si="95"/>
        <v>0</v>
      </c>
      <c r="J241" s="73" t="str">
        <f t="shared" si="96"/>
        <v>--</v>
      </c>
      <c r="K241" s="32"/>
      <c r="L241" s="233"/>
      <c r="M241" s="278"/>
      <c r="N241" s="278"/>
      <c r="O241" s="278"/>
      <c r="P241" s="278"/>
      <c r="Q241" s="278"/>
      <c r="R241" s="278"/>
      <c r="S241" s="278"/>
      <c r="T241" s="278"/>
      <c r="U241" s="279"/>
      <c r="V241" s="103"/>
      <c r="W241" s="84">
        <f t="shared" si="101"/>
        <v>21</v>
      </c>
      <c r="X241" s="84"/>
      <c r="Y241" s="78">
        <f>SUM(E222:E241)</f>
        <v>20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8</v>
      </c>
    </row>
    <row r="242" spans="1:53" ht="15" thickBot="1" x14ac:dyDescent="0.35">
      <c r="A242" s="88"/>
      <c r="B242" s="66" t="s">
        <v>309</v>
      </c>
      <c r="C242" s="67"/>
      <c r="D242" s="102"/>
      <c r="E242" s="32"/>
      <c r="F242" s="32"/>
      <c r="G242" s="68" t="s">
        <v>285</v>
      </c>
      <c r="H242" s="69">
        <f t="shared" si="94"/>
        <v>0</v>
      </c>
      <c r="I242" s="70">
        <f t="shared" si="95"/>
        <v>0</v>
      </c>
      <c r="J242" s="73" t="str">
        <f t="shared" si="96"/>
        <v>--</v>
      </c>
      <c r="K242" s="32"/>
      <c r="L242" s="233"/>
      <c r="M242" s="278"/>
      <c r="N242" s="278"/>
      <c r="O242" s="278"/>
      <c r="P242" s="278"/>
      <c r="Q242" s="278"/>
      <c r="R242" s="278"/>
      <c r="S242" s="278"/>
      <c r="T242" s="278"/>
      <c r="U242" s="279"/>
      <c r="V242" s="103"/>
      <c r="W242" s="84">
        <f t="shared" si="101"/>
        <v>21</v>
      </c>
      <c r="X242" s="84"/>
      <c r="Y242" s="78">
        <f>SUM(E222:E242)</f>
        <v>20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8</v>
      </c>
    </row>
    <row r="243" spans="1:53" ht="15" thickBot="1" x14ac:dyDescent="0.35">
      <c r="A243" s="88"/>
      <c r="B243" s="66" t="s">
        <v>310</v>
      </c>
      <c r="C243" s="67"/>
      <c r="D243" s="102"/>
      <c r="E243" s="32"/>
      <c r="F243" s="32"/>
      <c r="G243" s="68" t="s">
        <v>285</v>
      </c>
      <c r="H243" s="69">
        <f t="shared" si="94"/>
        <v>0</v>
      </c>
      <c r="I243" s="70">
        <f t="shared" si="95"/>
        <v>0</v>
      </c>
      <c r="J243" s="73" t="str">
        <f t="shared" si="96"/>
        <v>--</v>
      </c>
      <c r="K243" s="32"/>
      <c r="L243" s="233"/>
      <c r="M243" s="278"/>
      <c r="N243" s="278"/>
      <c r="O243" s="278"/>
      <c r="P243" s="278"/>
      <c r="Q243" s="278"/>
      <c r="R243" s="278"/>
      <c r="S243" s="278"/>
      <c r="T243" s="278"/>
      <c r="U243" s="279"/>
      <c r="V243" s="103"/>
      <c r="W243" s="84">
        <f t="shared" si="101"/>
        <v>21</v>
      </c>
      <c r="X243" s="84"/>
      <c r="Y243" s="78">
        <f>SUM(E222:E243)</f>
        <v>20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8</v>
      </c>
    </row>
    <row r="244" spans="1:53" ht="15" thickBot="1" x14ac:dyDescent="0.35">
      <c r="A244" s="88"/>
      <c r="B244" s="66" t="s">
        <v>311</v>
      </c>
      <c r="C244" s="67"/>
      <c r="D244" s="102"/>
      <c r="E244" s="32"/>
      <c r="F244" s="32"/>
      <c r="G244" s="68" t="s">
        <v>285</v>
      </c>
      <c r="H244" s="69">
        <f t="shared" si="94"/>
        <v>0</v>
      </c>
      <c r="I244" s="70">
        <f t="shared" si="95"/>
        <v>0</v>
      </c>
      <c r="J244" s="73" t="str">
        <f t="shared" si="96"/>
        <v>--</v>
      </c>
      <c r="K244" s="32"/>
      <c r="L244" s="233"/>
      <c r="M244" s="278"/>
      <c r="N244" s="278"/>
      <c r="O244" s="278"/>
      <c r="P244" s="278"/>
      <c r="Q244" s="278"/>
      <c r="R244" s="278"/>
      <c r="S244" s="278"/>
      <c r="T244" s="278"/>
      <c r="U244" s="279"/>
      <c r="V244" s="103"/>
      <c r="W244" s="84">
        <f t="shared" si="101"/>
        <v>21</v>
      </c>
      <c r="X244" s="84"/>
      <c r="Y244" s="78">
        <f>SUM(E222:E244)</f>
        <v>20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8</v>
      </c>
    </row>
    <row r="245" spans="1:53" ht="15" thickBot="1" x14ac:dyDescent="0.35">
      <c r="A245" s="88"/>
      <c r="B245" s="66" t="s">
        <v>312</v>
      </c>
      <c r="C245" s="67"/>
      <c r="D245" s="102"/>
      <c r="E245" s="32"/>
      <c r="F245" s="32"/>
      <c r="G245" s="68" t="s">
        <v>285</v>
      </c>
      <c r="H245" s="69">
        <f t="shared" si="94"/>
        <v>0</v>
      </c>
      <c r="I245" s="70">
        <f t="shared" si="95"/>
        <v>0</v>
      </c>
      <c r="J245" s="73" t="str">
        <f t="shared" si="96"/>
        <v>--</v>
      </c>
      <c r="K245" s="32"/>
      <c r="L245" s="233"/>
      <c r="M245" s="278"/>
      <c r="N245" s="278"/>
      <c r="O245" s="278"/>
      <c r="P245" s="278"/>
      <c r="Q245" s="278"/>
      <c r="R245" s="278"/>
      <c r="S245" s="278"/>
      <c r="T245" s="278"/>
      <c r="U245" s="279"/>
      <c r="V245" s="103"/>
      <c r="W245" s="84">
        <f t="shared" si="101"/>
        <v>21</v>
      </c>
      <c r="X245" s="84"/>
      <c r="Y245" s="78">
        <f>SUM(E222:E245)</f>
        <v>20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8</v>
      </c>
    </row>
    <row r="246" spans="1:53" ht="15" thickBot="1" x14ac:dyDescent="0.35">
      <c r="A246" s="88"/>
      <c r="B246" s="66" t="s">
        <v>313</v>
      </c>
      <c r="C246" s="67"/>
      <c r="D246" s="102"/>
      <c r="E246" s="32"/>
      <c r="F246" s="32"/>
      <c r="G246" s="68" t="s">
        <v>285</v>
      </c>
      <c r="H246" s="69">
        <f t="shared" si="94"/>
        <v>0</v>
      </c>
      <c r="I246" s="70">
        <f t="shared" si="95"/>
        <v>0</v>
      </c>
      <c r="J246" s="73" t="str">
        <f t="shared" si="96"/>
        <v>--</v>
      </c>
      <c r="K246" s="32"/>
      <c r="L246" s="234"/>
      <c r="M246" s="278"/>
      <c r="N246" s="278"/>
      <c r="O246" s="278"/>
      <c r="P246" s="278"/>
      <c r="Q246" s="278"/>
      <c r="R246" s="278"/>
      <c r="S246" s="278"/>
      <c r="T246" s="278"/>
      <c r="U246" s="279"/>
      <c r="V246" s="103"/>
      <c r="W246" s="72"/>
      <c r="X246" s="72"/>
      <c r="Y246" s="78">
        <f>SUM(E222:E246)</f>
        <v>20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2" thickBot="1" x14ac:dyDescent="0.35">
      <c r="A247" s="88"/>
      <c r="B247" s="319" t="s">
        <v>337</v>
      </c>
      <c r="C247" s="320"/>
      <c r="D247" s="79"/>
      <c r="E247" s="80"/>
      <c r="F247" s="80"/>
      <c r="G247" s="81"/>
      <c r="H247" s="192"/>
      <c r="I247" s="192"/>
      <c r="J247" s="192"/>
      <c r="K247" s="82"/>
      <c r="L247" s="319" t="s">
        <v>319</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20</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2" thickBot="1" x14ac:dyDescent="0.35">
      <c r="A248" s="88"/>
      <c r="B248" s="319" t="s">
        <v>320</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 thickBot="1"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5">
      <c r="A251" s="88"/>
      <c r="B251" s="85" t="s">
        <v>338</v>
      </c>
      <c r="C251" s="25"/>
      <c r="D251" s="25"/>
      <c r="E251" s="25"/>
      <c r="F251" s="88"/>
      <c r="G251" s="25"/>
      <c r="H251" s="25"/>
      <c r="I251" s="87"/>
      <c r="J251" s="26"/>
      <c r="K251" s="25"/>
      <c r="L251" s="25"/>
      <c r="M251" s="196" t="s">
        <v>217</v>
      </c>
      <c r="N251" s="196" t="s">
        <v>218</v>
      </c>
      <c r="O251" s="196" t="s">
        <v>219</v>
      </c>
      <c r="P251" s="196" t="s">
        <v>220</v>
      </c>
      <c r="Q251" s="196" t="s">
        <v>221</v>
      </c>
      <c r="R251" s="196" t="s">
        <v>222</v>
      </c>
      <c r="S251" s="196" t="s">
        <v>223</v>
      </c>
      <c r="T251" s="196" t="s">
        <v>224</v>
      </c>
      <c r="U251" s="196" t="s">
        <v>225</v>
      </c>
      <c r="V251" s="196" t="s">
        <v>226</v>
      </c>
      <c r="W251" s="113" t="s">
        <v>227</v>
      </c>
      <c r="X251" s="196" t="s">
        <v>228</v>
      </c>
      <c r="Y251" s="25"/>
      <c r="Z251" s="25"/>
      <c r="AA251" s="25"/>
      <c r="AB251" s="25"/>
      <c r="AC251" s="25"/>
      <c r="AD251" s="25"/>
      <c r="BA251" s="226"/>
    </row>
    <row r="252" spans="1:53" ht="15.6" thickTop="1" thickBot="1" x14ac:dyDescent="0.35">
      <c r="A252" s="88"/>
      <c r="B252" s="312" t="s">
        <v>229</v>
      </c>
      <c r="C252" s="313"/>
      <c r="D252" s="314" t="s">
        <v>230</v>
      </c>
      <c r="E252" s="305"/>
      <c r="F252" s="88"/>
      <c r="G252" s="315" t="s">
        <v>231</v>
      </c>
      <c r="H252" s="316"/>
      <c r="I252" s="28">
        <f>SUM(E263:E287)</f>
        <v>12</v>
      </c>
      <c r="J252" s="317" t="s">
        <v>232</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233</v>
      </c>
      <c r="AA252" s="296"/>
      <c r="AB252" s="297"/>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234</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5">
      <c r="A253" s="88"/>
      <c r="B253" s="29" t="s">
        <v>235</v>
      </c>
      <c r="C253" s="30">
        <v>0</v>
      </c>
      <c r="D253" s="31" t="s">
        <v>236</v>
      </c>
      <c r="E253" s="66" t="str">
        <f>TEXT(IF('Cable Calculator'!AH7="","",'Cable Calculator'!AH7),)</f>
        <v>RPX</v>
      </c>
      <c r="F253" s="88"/>
      <c r="G253" s="304" t="s">
        <v>237</v>
      </c>
      <c r="H253" s="305"/>
      <c r="I253" s="33">
        <f>E254-I252</f>
        <v>12</v>
      </c>
      <c r="J253" s="289" t="s">
        <v>238</v>
      </c>
      <c r="K253" s="290"/>
      <c r="L253" s="34">
        <f>I257</f>
        <v>217</v>
      </c>
      <c r="M253" s="196">
        <v>4</v>
      </c>
      <c r="N253" s="35">
        <f>SUM(AI253,AI264)</f>
        <v>0</v>
      </c>
      <c r="O253" s="35">
        <v>0</v>
      </c>
      <c r="P253" s="35">
        <f>SUM(AJ253,AJ264)</f>
        <v>3</v>
      </c>
      <c r="Q253" s="35">
        <v>0</v>
      </c>
      <c r="R253" s="35">
        <f>COUNTIFS($E263:$E287,"4",$F263:$F287,"Pole",$C263:$C287,"FST")</f>
        <v>3</v>
      </c>
      <c r="S253" s="35">
        <f>SUM(AL253,AK264)</f>
        <v>0</v>
      </c>
      <c r="T253" s="35">
        <v>0</v>
      </c>
      <c r="U253" s="35">
        <f>SUM(AK253,AL264)</f>
        <v>0</v>
      </c>
      <c r="V253" s="35">
        <v>0</v>
      </c>
      <c r="W253" s="34">
        <f>COUNTIFS($E263:$E287,"4",$F263:$F287,"HH",$C263:$C287,"FST")</f>
        <v>0</v>
      </c>
      <c r="X253" s="35">
        <f>COUNTIFS($E263:$E287,"4",$F263:$F287,"Ped",$C263:$C287,"FST")</f>
        <v>0</v>
      </c>
      <c r="Y253" s="25"/>
      <c r="Z253" s="298" t="s">
        <v>239</v>
      </c>
      <c r="AA253" s="300" t="s">
        <v>240</v>
      </c>
      <c r="AB253" s="301"/>
      <c r="AC253" s="25"/>
      <c r="AD253" s="25"/>
      <c r="AH253" s="109">
        <v>4</v>
      </c>
      <c r="AI253" s="109" t="str">
        <f>IF($E253="SS",COUNTIFS($C263:$C287,"FST",$E263:$E287,"4"),"0")</f>
        <v>0</v>
      </c>
      <c r="AJ253" s="109">
        <f>IF($E253="RPX",COUNTIFS($C263:$C287,"FST",$E263:$E287,"4"),"0")</f>
        <v>3</v>
      </c>
      <c r="AK253" s="109" t="str">
        <f>IF($E253="EUC",COUNTIFS($C263:$C287,"FST",$E263:$E287,"4"),"0")</f>
        <v>0</v>
      </c>
      <c r="AL253" s="109" t="str">
        <f>IF($E253="RPX-T",COUNTIFS($C263:$C287,"FST",$E263:$E287,"4"),"0")</f>
        <v>0</v>
      </c>
      <c r="AS253" s="109" t="str">
        <f>IF(AND(E258="Y",E254=24,E255=0),"Y","N")</f>
        <v>N</v>
      </c>
      <c r="AT253" s="110" t="s">
        <v>241</v>
      </c>
      <c r="AU253" s="109">
        <f>COUNTIFS($E253,"SS",$AS253,"Y")</f>
        <v>0</v>
      </c>
      <c r="AV253" s="111">
        <f>COUNTIFS($E253,"RPX",$AS253,"Y")</f>
        <v>0</v>
      </c>
      <c r="AW253" s="111">
        <f>COUNTIFS($E253,"EUC",$AS253,"Y")</f>
        <v>0</v>
      </c>
      <c r="AX253" s="109">
        <f>COUNTIFS($E253,"RPX-T",$AS253,"Y")</f>
        <v>0</v>
      </c>
      <c r="BA253" s="227"/>
    </row>
    <row r="254" spans="1:53" ht="15.6" thickTop="1" thickBot="1" x14ac:dyDescent="0.35">
      <c r="A254" s="88"/>
      <c r="B254" s="36" t="s">
        <v>242</v>
      </c>
      <c r="C254" s="37">
        <v>0</v>
      </c>
      <c r="D254" s="38" t="s">
        <v>243</v>
      </c>
      <c r="E254" s="32">
        <v>24</v>
      </c>
      <c r="F254" s="88"/>
      <c r="G254" s="291" t="s">
        <v>244</v>
      </c>
      <c r="H254" s="292"/>
      <c r="I254" s="35">
        <f>IF(E254=0,0,12-(MOD(I252,12)))</f>
        <v>12</v>
      </c>
      <c r="J254" s="289" t="s">
        <v>245</v>
      </c>
      <c r="K254" s="290"/>
      <c r="L254" s="39">
        <f>I258-I252</f>
        <v>216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246</v>
      </c>
      <c r="AU254" s="109">
        <f>COUNTIFS($E253,"SS",$AS254,"Y")</f>
        <v>0</v>
      </c>
      <c r="AV254" s="108">
        <f>COUNTIFS($E253,"RPX",$AS254,"Y")</f>
        <v>0</v>
      </c>
      <c r="AW254" s="108">
        <f>COUNTIFS($E253,"EUC",$AS254,"Y")</f>
        <v>0</v>
      </c>
      <c r="AX254" s="109">
        <f>COUNTIFS($E253,"RPX-T",$AS254,"Y")</f>
        <v>0</v>
      </c>
      <c r="BA254" s="227"/>
    </row>
    <row r="255" spans="1:53" ht="16.5" customHeight="1" thickTop="1" thickBot="1" x14ac:dyDescent="0.35">
      <c r="A255" s="88"/>
      <c r="B255" s="40" t="s">
        <v>247</v>
      </c>
      <c r="C255" s="30">
        <v>0</v>
      </c>
      <c r="D255" s="41" t="s">
        <v>248</v>
      </c>
      <c r="E255" s="42">
        <v>12</v>
      </c>
      <c r="F255" s="88"/>
      <c r="G255" s="321" t="s">
        <v>249</v>
      </c>
      <c r="H255" s="43" t="s">
        <v>250</v>
      </c>
      <c r="I255" s="35">
        <f>IF(E255&lt;&gt;0,1,0)</f>
        <v>1</v>
      </c>
      <c r="J255" s="291" t="s">
        <v>251</v>
      </c>
      <c r="K255" s="292"/>
      <c r="L255" s="44">
        <f>'Cable Calculator'!AH3</f>
        <v>1360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0</v>
      </c>
      <c r="AK255" s="109" t="str">
        <f>IF($E253="EUC",COUNTIFS($C263:$C287,"FST",$E263:$E287,"8"),"0")</f>
        <v>0</v>
      </c>
      <c r="AL255" s="109" t="str">
        <f>IF($E253="RPX-T",COUNTIFS($C263:$C287,"FST",$E263:$E287,"8"),"0")</f>
        <v>0</v>
      </c>
      <c r="AS255" s="109" t="str">
        <f>IF(AND(E258="Y",E254=48,E255=0),"Y","N")</f>
        <v>N</v>
      </c>
      <c r="AT255" s="110" t="s">
        <v>252</v>
      </c>
      <c r="AU255" s="109">
        <f>COUNTIFS($E253,"SS",$AS255,"Y")</f>
        <v>0</v>
      </c>
      <c r="AV255" s="108">
        <f>COUNTIFS($E253,"RPX",$AS255,"Y")</f>
        <v>0</v>
      </c>
      <c r="AW255" s="108">
        <f>COUNTIFS($E253,"EUC",$AS255,"Y")</f>
        <v>0</v>
      </c>
      <c r="AX255" s="109">
        <f>COUNTIFS($E253,"RPX-T",$AS255,"Y")</f>
        <v>0</v>
      </c>
      <c r="BA255" s="227"/>
    </row>
    <row r="256" spans="1:53" ht="15.6" thickTop="1" thickBot="1" x14ac:dyDescent="0.35">
      <c r="A256" s="88"/>
      <c r="B256" s="29" t="s">
        <v>253</v>
      </c>
      <c r="C256" s="37">
        <v>0</v>
      </c>
      <c r="D256" s="41" t="s">
        <v>254</v>
      </c>
      <c r="E256" s="42">
        <v>217</v>
      </c>
      <c r="F256" s="88"/>
      <c r="G256" s="322"/>
      <c r="H256" s="47" t="s">
        <v>255</v>
      </c>
      <c r="I256" s="35">
        <f>IF(E255&lt;&gt;0,E255,0)</f>
        <v>12</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5">
      <c r="A257" s="88"/>
      <c r="B257" s="36" t="s">
        <v>256</v>
      </c>
      <c r="C257" s="30">
        <v>0</v>
      </c>
      <c r="D257" s="49" t="s">
        <v>257</v>
      </c>
      <c r="E257" s="50">
        <f>E254/12</f>
        <v>2</v>
      </c>
      <c r="F257" s="88"/>
      <c r="G257" s="321" t="s">
        <v>258</v>
      </c>
      <c r="H257" s="51" t="s">
        <v>259</v>
      </c>
      <c r="I257" s="112">
        <f>E256</f>
        <v>217</v>
      </c>
      <c r="J257" s="323" t="s">
        <v>260</v>
      </c>
      <c r="K257" s="324"/>
      <c r="L257" s="325"/>
      <c r="M257" s="52" t="s">
        <v>261</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5.6" thickTop="1" thickBot="1" x14ac:dyDescent="0.35">
      <c r="A258" s="88"/>
      <c r="B258" s="36" t="s">
        <v>262</v>
      </c>
      <c r="C258" s="30">
        <v>0</v>
      </c>
      <c r="D258" s="31" t="s">
        <v>263</v>
      </c>
      <c r="E258" s="101" t="str">
        <f>IF('Cable Calculator'!AH5="","",'Cable Calculator'!AH5)</f>
        <v>N</v>
      </c>
      <c r="F258" s="88"/>
      <c r="G258" s="322"/>
      <c r="H258" s="47" t="s">
        <v>264</v>
      </c>
      <c r="I258" s="35">
        <f>IF(E256="","0",IF(AND(E253="EUC",E254=432), I257+(203-E255),IF(E256=0,0,(E256+(E254-E255)-1))))</f>
        <v>228</v>
      </c>
      <c r="J258" s="286" t="str">
        <f>IFERROR(IF(OR(E253="EUC",E253="SS"),"---",IF(OR(P252,S252),"NO 2F Tethers for RPX!",IF(OR(P254,S254),"NO 6F Tethers for RPX!","---"))),"---")</f>
        <v>---</v>
      </c>
      <c r="K258" s="287"/>
      <c r="L258" s="288"/>
      <c r="M258" s="286" t="str">
        <f>IF(E255&gt;60,"Dead Count &gt;60: Consider Downsize","---")</f>
        <v>---</v>
      </c>
      <c r="N258" s="287"/>
      <c r="O258" s="287"/>
      <c r="P258" s="287"/>
      <c r="Q258" s="287"/>
      <c r="R258" s="287"/>
      <c r="S258" s="287"/>
      <c r="T258" s="287"/>
      <c r="U258" s="288"/>
      <c r="V258" s="100"/>
      <c r="W258" s="54">
        <f>SUM(P258:U258)</f>
        <v>0</v>
      </c>
      <c r="X258" s="54"/>
      <c r="Y258" s="25"/>
      <c r="Z258" s="45">
        <v>4</v>
      </c>
      <c r="AA258" s="46">
        <v>37</v>
      </c>
      <c r="AB258" s="46">
        <v>48</v>
      </c>
      <c r="AC258" s="25"/>
      <c r="AD258" s="25"/>
      <c r="BA258" s="227"/>
    </row>
    <row r="259" spans="1:53" ht="15.6" thickTop="1" thickBot="1" x14ac:dyDescent="0.35">
      <c r="A259" s="88"/>
      <c r="B259" s="55" t="s">
        <v>265</v>
      </c>
      <c r="C259" s="56">
        <f>SUM(C253:C258)+I252</f>
        <v>12</v>
      </c>
      <c r="D259" s="31" t="s">
        <v>266</v>
      </c>
      <c r="E259" s="101" t="str">
        <f>IF(AS253="Y","DBL",IF(AS254="Y","TRPL",IF(AS255="Y","QUAD","")))</f>
        <v/>
      </c>
      <c r="F259" s="88"/>
      <c r="G259" s="192"/>
      <c r="H259" s="57"/>
      <c r="I259" s="192"/>
      <c r="J259" s="286"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7"/>
      <c r="L259" s="288"/>
      <c r="M259" s="286" t="str">
        <f>IF(AND(OR(E253="SS",E253="RPX",E253="EUC",E253="RPX-T"),(OR(C263="",C263="Field SPL"))),"Cannot have FlexNap cables without tethers","---")</f>
        <v>---</v>
      </c>
      <c r="N259" s="287"/>
      <c r="O259" s="287"/>
      <c r="P259" s="287"/>
      <c r="Q259" s="287"/>
      <c r="R259" s="287"/>
      <c r="S259" s="287"/>
      <c r="T259" s="287"/>
      <c r="U259" s="288"/>
      <c r="V259" s="25"/>
      <c r="W259" s="58"/>
      <c r="X259" s="58"/>
      <c r="Y259" s="25"/>
      <c r="Z259" s="45">
        <v>5</v>
      </c>
      <c r="AA259" s="46">
        <v>49</v>
      </c>
      <c r="AB259" s="46">
        <v>60</v>
      </c>
      <c r="AC259" s="25"/>
      <c r="AD259" s="25"/>
      <c r="BA259" s="227"/>
    </row>
    <row r="260" spans="1:53" ht="15.6" thickTop="1" thickBot="1" x14ac:dyDescent="0.35">
      <c r="A260" s="88"/>
      <c r="B260" s="59"/>
      <c r="C260" s="60"/>
      <c r="D260" s="61"/>
      <c r="E260" s="62"/>
      <c r="F260" s="88"/>
      <c r="G260" s="63"/>
      <c r="H260" s="64"/>
      <c r="I260" s="63"/>
      <c r="J260" s="286" t="str">
        <f>IF(AND(OR(E253="RPX", E253="RPX-T", E253="SS"),E254=216),"NO 216 For RPX, RPX-T, OR SS CABLE","---")</f>
        <v>---</v>
      </c>
      <c r="K260" s="287"/>
      <c r="L260" s="288"/>
      <c r="M260" s="286" t="str" cm="1">
        <f t="array" ref="M260">IF(AND(E253="",OR(C263:C287="FST",C263:C287="REV T",C263:C287="DBL REV",C263:C287="TPL REV", C263:C287="QD REV")),"Non-FlexNap cables cannot have tethers","---")</f>
        <v>---</v>
      </c>
      <c r="N260" s="287"/>
      <c r="O260" s="287"/>
      <c r="P260" s="287"/>
      <c r="Q260" s="287"/>
      <c r="R260" s="287"/>
      <c r="S260" s="287"/>
      <c r="T260" s="287"/>
      <c r="U260" s="288"/>
      <c r="V260" s="25"/>
      <c r="W260" s="58"/>
      <c r="X260" s="58"/>
      <c r="Y260" s="25"/>
      <c r="Z260" s="45">
        <v>6</v>
      </c>
      <c r="AA260" s="65">
        <v>61</v>
      </c>
      <c r="AB260" s="65">
        <v>72</v>
      </c>
      <c r="AC260" s="25"/>
      <c r="AD260" s="25"/>
      <c r="BA260" s="226"/>
    </row>
    <row r="261" spans="1:53" ht="15.75" customHeight="1" thickBot="1" x14ac:dyDescent="0.35">
      <c r="A261" s="88"/>
      <c r="B261" s="321" t="s">
        <v>267</v>
      </c>
      <c r="C261" s="293" t="s">
        <v>268</v>
      </c>
      <c r="D261" s="293" t="s">
        <v>269</v>
      </c>
      <c r="E261" s="306" t="s">
        <v>270</v>
      </c>
      <c r="F261" s="293" t="s">
        <v>271</v>
      </c>
      <c r="G261" s="308" t="s">
        <v>272</v>
      </c>
      <c r="H261" s="308" t="s">
        <v>273</v>
      </c>
      <c r="I261" s="308" t="s">
        <v>274</v>
      </c>
      <c r="J261" s="310" t="s">
        <v>275</v>
      </c>
      <c r="K261" s="293" t="s">
        <v>276</v>
      </c>
      <c r="L261" s="280" t="s">
        <v>277</v>
      </c>
      <c r="M261" s="282" t="s">
        <v>278</v>
      </c>
      <c r="N261" s="282"/>
      <c r="O261" s="282"/>
      <c r="P261" s="282"/>
      <c r="Q261" s="282"/>
      <c r="R261" s="282"/>
      <c r="S261" s="282"/>
      <c r="T261" s="282"/>
      <c r="U261" s="283"/>
      <c r="V261" s="107"/>
      <c r="W261" s="72"/>
      <c r="X261" s="72"/>
      <c r="Y261" s="72"/>
      <c r="Z261" s="45">
        <v>7</v>
      </c>
      <c r="AA261" s="65">
        <v>73</v>
      </c>
      <c r="AB261" s="65">
        <v>84</v>
      </c>
      <c r="AC261" s="25"/>
      <c r="AD261" s="25"/>
      <c r="BA261" s="228"/>
    </row>
    <row r="262" spans="1:53" ht="15" thickBot="1" x14ac:dyDescent="0.35">
      <c r="A262" s="88"/>
      <c r="B262" s="322"/>
      <c r="C262" s="294"/>
      <c r="D262" s="294"/>
      <c r="E262" s="307"/>
      <c r="F262" s="294"/>
      <c r="G262" s="309"/>
      <c r="H262" s="309"/>
      <c r="I262" s="309"/>
      <c r="J262" s="311"/>
      <c r="K262" s="294"/>
      <c r="L262" s="281"/>
      <c r="M262" s="284"/>
      <c r="N262" s="284"/>
      <c r="O262" s="284"/>
      <c r="P262" s="284"/>
      <c r="Q262" s="284"/>
      <c r="R262" s="284"/>
      <c r="S262" s="284"/>
      <c r="T262" s="284"/>
      <c r="U262" s="285"/>
      <c r="V262" s="107"/>
      <c r="W262" s="72"/>
      <c r="X262" s="72"/>
      <c r="Y262" s="72"/>
      <c r="Z262" s="45">
        <v>8</v>
      </c>
      <c r="AA262" s="46">
        <v>85</v>
      </c>
      <c r="AB262" s="46">
        <v>96</v>
      </c>
      <c r="AC262" s="25"/>
      <c r="AD262" s="25"/>
      <c r="AI262" s="109" t="s">
        <v>279</v>
      </c>
      <c r="AJ262" s="109" t="s">
        <v>280</v>
      </c>
      <c r="AK262" s="109" t="s">
        <v>281</v>
      </c>
      <c r="AL262" s="109" t="s">
        <v>282</v>
      </c>
      <c r="BA262" s="228"/>
    </row>
    <row r="263" spans="1:53" ht="15" thickBot="1" x14ac:dyDescent="0.35">
      <c r="A263" s="88"/>
      <c r="B263" s="66" t="s">
        <v>283</v>
      </c>
      <c r="C263" s="67" t="s">
        <v>322</v>
      </c>
      <c r="D263" s="102" t="s">
        <v>796</v>
      </c>
      <c r="E263" s="32">
        <v>4</v>
      </c>
      <c r="F263" s="32" t="s">
        <v>339</v>
      </c>
      <c r="G263" s="68" t="s">
        <v>285</v>
      </c>
      <c r="H263" s="69">
        <f>IF(I263=0,0,I263-(E263-1))</f>
        <v>225</v>
      </c>
      <c r="I263" s="70">
        <f>IF(E263=0,0,I258)</f>
        <v>228</v>
      </c>
      <c r="J263" s="71" t="s">
        <v>286</v>
      </c>
      <c r="K263" s="32"/>
      <c r="L263" s="233"/>
      <c r="M263" s="278"/>
      <c r="N263" s="278"/>
      <c r="O263" s="278"/>
      <c r="P263" s="278"/>
      <c r="Q263" s="278"/>
      <c r="R263" s="278"/>
      <c r="S263" s="278"/>
      <c r="T263" s="278"/>
      <c r="U263" s="27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225-228</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 thickBot="1" x14ac:dyDescent="0.35">
      <c r="A264" s="88"/>
      <c r="B264" s="66" t="s">
        <v>288</v>
      </c>
      <c r="C264" s="67" t="s">
        <v>322</v>
      </c>
      <c r="D264" s="102" t="s">
        <v>797</v>
      </c>
      <c r="E264" s="32">
        <v>4</v>
      </c>
      <c r="F264" s="32" t="s">
        <v>339</v>
      </c>
      <c r="G264" s="68" t="s">
        <v>285</v>
      </c>
      <c r="H264" s="69">
        <f t="shared" ref="H264:H287" si="111">IF(E264=0,0,I264-(E264-1))</f>
        <v>221</v>
      </c>
      <c r="I264" s="70">
        <f t="shared" ref="I264:I287" si="112">IF(E264=0,0,H263-1)</f>
        <v>224</v>
      </c>
      <c r="J264" s="73" t="str">
        <f>IF(C264="","--",IF(AND(C264&lt;&gt;"FST",C264&lt;&gt;"TCF",BA263&lt;&gt;0),BA263,"--"))</f>
        <v>--</v>
      </c>
      <c r="K264" s="32"/>
      <c r="L264" s="233"/>
      <c r="M264" s="278"/>
      <c r="N264" s="278"/>
      <c r="O264" s="278"/>
      <c r="P264" s="278"/>
      <c r="Q264" s="278"/>
      <c r="R264" s="278"/>
      <c r="S264" s="278"/>
      <c r="T264" s="278"/>
      <c r="U264" s="279"/>
      <c r="V264" s="103"/>
      <c r="W264" s="72"/>
      <c r="X264" s="72"/>
      <c r="Y264" s="72"/>
      <c r="Z264" s="45">
        <v>10</v>
      </c>
      <c r="AA264" s="46">
        <v>109</v>
      </c>
      <c r="AB264" s="46">
        <v>120</v>
      </c>
      <c r="AC264" s="72">
        <f t="shared" si="102"/>
        <v>1</v>
      </c>
      <c r="AD264" s="72">
        <f t="shared" si="103"/>
        <v>0</v>
      </c>
      <c r="AE264" s="109" t="str">
        <f t="shared" si="104"/>
        <v>221-224</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 thickBot="1" x14ac:dyDescent="0.35">
      <c r="A265" s="88"/>
      <c r="B265" s="74" t="s">
        <v>290</v>
      </c>
      <c r="C265" s="67" t="s">
        <v>322</v>
      </c>
      <c r="D265" s="102" t="s">
        <v>798</v>
      </c>
      <c r="E265" s="32">
        <v>4</v>
      </c>
      <c r="F265" s="32" t="s">
        <v>339</v>
      </c>
      <c r="G265" s="75" t="s">
        <v>285</v>
      </c>
      <c r="H265" s="69">
        <f t="shared" si="111"/>
        <v>217</v>
      </c>
      <c r="I265" s="70">
        <f t="shared" si="112"/>
        <v>220</v>
      </c>
      <c r="J265" s="73" t="str">
        <f t="shared" ref="J265:J287" si="113">IF(C265="","--",IF(AND(C265&lt;&gt;"FST",C265&lt;&gt;"TCF",BA264&lt;&gt;0),BA264,"--"))</f>
        <v>--</v>
      </c>
      <c r="K265" s="32"/>
      <c r="L265" s="233"/>
      <c r="M265" s="278"/>
      <c r="N265" s="278"/>
      <c r="O265" s="278"/>
      <c r="P265" s="278"/>
      <c r="Q265" s="278"/>
      <c r="R265" s="278"/>
      <c r="S265" s="278"/>
      <c r="T265" s="278"/>
      <c r="U265" s="279"/>
      <c r="V265" s="103"/>
      <c r="W265" s="72"/>
      <c r="X265" s="72"/>
      <c r="Y265" s="72"/>
      <c r="Z265" s="45">
        <v>11</v>
      </c>
      <c r="AA265" s="46">
        <v>121</v>
      </c>
      <c r="AB265" s="46">
        <v>132</v>
      </c>
      <c r="AC265" s="72">
        <f t="shared" si="102"/>
        <v>1</v>
      </c>
      <c r="AD265" s="72">
        <f t="shared" si="103"/>
        <v>0</v>
      </c>
      <c r="AE265" s="109" t="str">
        <f t="shared" si="104"/>
        <v>217-220</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 thickBot="1" x14ac:dyDescent="0.35">
      <c r="A266" s="88"/>
      <c r="B266" s="66" t="s">
        <v>292</v>
      </c>
      <c r="C266" s="67"/>
      <c r="D266" s="102"/>
      <c r="E266" s="32"/>
      <c r="F266" s="32"/>
      <c r="G266" s="68" t="s">
        <v>285</v>
      </c>
      <c r="H266" s="69">
        <f t="shared" si="111"/>
        <v>0</v>
      </c>
      <c r="I266" s="70">
        <f t="shared" si="112"/>
        <v>0</v>
      </c>
      <c r="J266" s="73" t="str">
        <f t="shared" si="113"/>
        <v>--</v>
      </c>
      <c r="K266" s="32"/>
      <c r="L266" s="233"/>
      <c r="M266" s="278"/>
      <c r="N266" s="278"/>
      <c r="O266" s="278"/>
      <c r="P266" s="278"/>
      <c r="Q266" s="278"/>
      <c r="R266" s="278"/>
      <c r="S266" s="278"/>
      <c r="T266" s="278"/>
      <c r="U266" s="279"/>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 thickBot="1" x14ac:dyDescent="0.35">
      <c r="A267" s="88"/>
      <c r="B267" s="66" t="s">
        <v>293</v>
      </c>
      <c r="C267" s="67"/>
      <c r="D267" s="102"/>
      <c r="E267" s="32"/>
      <c r="F267" s="32"/>
      <c r="G267" s="68" t="s">
        <v>285</v>
      </c>
      <c r="H267" s="69">
        <f t="shared" si="111"/>
        <v>0</v>
      </c>
      <c r="I267" s="70">
        <f t="shared" si="112"/>
        <v>0</v>
      </c>
      <c r="J267" s="73" t="str">
        <f t="shared" si="113"/>
        <v>--</v>
      </c>
      <c r="K267" s="32"/>
      <c r="L267" s="233"/>
      <c r="M267" s="278"/>
      <c r="N267" s="278"/>
      <c r="O267" s="278"/>
      <c r="P267" s="278"/>
      <c r="Q267" s="278"/>
      <c r="R267" s="278"/>
      <c r="S267" s="278"/>
      <c r="T267" s="278"/>
      <c r="U267" s="279"/>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 thickBot="1" x14ac:dyDescent="0.35">
      <c r="A268" s="88"/>
      <c r="B268" s="66" t="s">
        <v>294</v>
      </c>
      <c r="C268" s="67"/>
      <c r="D268" s="102"/>
      <c r="E268" s="32"/>
      <c r="F268" s="32"/>
      <c r="G268" s="68" t="s">
        <v>285</v>
      </c>
      <c r="H268" s="69">
        <f t="shared" si="111"/>
        <v>0</v>
      </c>
      <c r="I268" s="70">
        <f t="shared" si="112"/>
        <v>0</v>
      </c>
      <c r="J268" s="73" t="str">
        <f t="shared" si="113"/>
        <v>--</v>
      </c>
      <c r="K268" s="32"/>
      <c r="L268" s="233"/>
      <c r="M268" s="278"/>
      <c r="N268" s="278"/>
      <c r="O268" s="278"/>
      <c r="P268" s="278"/>
      <c r="Q268" s="278"/>
      <c r="R268" s="278"/>
      <c r="S268" s="278"/>
      <c r="T268" s="278"/>
      <c r="U268" s="279"/>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 thickBot="1" x14ac:dyDescent="0.35">
      <c r="A269" s="88"/>
      <c r="B269" s="66" t="s">
        <v>295</v>
      </c>
      <c r="C269" s="67"/>
      <c r="D269" s="102"/>
      <c r="E269" s="32"/>
      <c r="F269" s="32"/>
      <c r="G269" s="68" t="s">
        <v>285</v>
      </c>
      <c r="H269" s="69">
        <f t="shared" si="111"/>
        <v>0</v>
      </c>
      <c r="I269" s="70">
        <f t="shared" si="112"/>
        <v>0</v>
      </c>
      <c r="J269" s="73" t="str">
        <f t="shared" si="113"/>
        <v>--</v>
      </c>
      <c r="K269" s="32"/>
      <c r="L269" s="233"/>
      <c r="M269" s="278"/>
      <c r="N269" s="278"/>
      <c r="O269" s="278"/>
      <c r="P269" s="278"/>
      <c r="Q269" s="278"/>
      <c r="R269" s="278"/>
      <c r="S269" s="278"/>
      <c r="T269" s="278"/>
      <c r="U269" s="279"/>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 thickBot="1" x14ac:dyDescent="0.35">
      <c r="A270" s="88"/>
      <c r="B270" s="66" t="s">
        <v>296</v>
      </c>
      <c r="C270" s="67"/>
      <c r="D270" s="102"/>
      <c r="E270" s="32"/>
      <c r="F270" s="32"/>
      <c r="G270" s="68" t="s">
        <v>285</v>
      </c>
      <c r="H270" s="69">
        <f t="shared" si="111"/>
        <v>0</v>
      </c>
      <c r="I270" s="70">
        <f t="shared" si="112"/>
        <v>0</v>
      </c>
      <c r="J270" s="73" t="str">
        <f t="shared" si="113"/>
        <v>--</v>
      </c>
      <c r="K270" s="32"/>
      <c r="L270" s="233"/>
      <c r="M270" s="278"/>
      <c r="N270" s="278"/>
      <c r="O270" s="278"/>
      <c r="P270" s="278"/>
      <c r="Q270" s="278"/>
      <c r="R270" s="278"/>
      <c r="S270" s="278"/>
      <c r="T270" s="278"/>
      <c r="U270" s="279"/>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 thickBot="1" x14ac:dyDescent="0.35">
      <c r="A271" s="88"/>
      <c r="B271" s="66" t="s">
        <v>297</v>
      </c>
      <c r="C271" s="67"/>
      <c r="D271" s="102"/>
      <c r="E271" s="32"/>
      <c r="F271" s="32"/>
      <c r="G271" s="68" t="s">
        <v>285</v>
      </c>
      <c r="H271" s="69">
        <f t="shared" si="111"/>
        <v>0</v>
      </c>
      <c r="I271" s="70">
        <f t="shared" si="112"/>
        <v>0</v>
      </c>
      <c r="J271" s="73" t="str">
        <f t="shared" si="113"/>
        <v>--</v>
      </c>
      <c r="K271" s="32"/>
      <c r="L271" s="233"/>
      <c r="M271" s="278"/>
      <c r="N271" s="278"/>
      <c r="O271" s="278"/>
      <c r="P271" s="278"/>
      <c r="Q271" s="278"/>
      <c r="R271" s="278"/>
      <c r="S271" s="278"/>
      <c r="T271" s="278"/>
      <c r="U271" s="279"/>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 thickBot="1" x14ac:dyDescent="0.35">
      <c r="A272" s="88"/>
      <c r="B272" s="66" t="s">
        <v>298</v>
      </c>
      <c r="C272" s="67"/>
      <c r="D272" s="102"/>
      <c r="E272" s="32"/>
      <c r="F272" s="32"/>
      <c r="G272" s="68" t="s">
        <v>285</v>
      </c>
      <c r="H272" s="69">
        <f t="shared" si="111"/>
        <v>0</v>
      </c>
      <c r="I272" s="70">
        <f t="shared" si="112"/>
        <v>0</v>
      </c>
      <c r="J272" s="73" t="str">
        <f t="shared" si="113"/>
        <v>--</v>
      </c>
      <c r="K272" s="32"/>
      <c r="L272" s="233"/>
      <c r="M272" s="278"/>
      <c r="N272" s="278"/>
      <c r="O272" s="278"/>
      <c r="P272" s="278"/>
      <c r="Q272" s="278"/>
      <c r="R272" s="278"/>
      <c r="S272" s="278"/>
      <c r="T272" s="278"/>
      <c r="U272" s="27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 thickBot="1" x14ac:dyDescent="0.35">
      <c r="A273" s="88"/>
      <c r="B273" s="66" t="s">
        <v>299</v>
      </c>
      <c r="C273" s="67"/>
      <c r="D273" s="102"/>
      <c r="E273" s="32"/>
      <c r="F273" s="32"/>
      <c r="G273" s="68" t="s">
        <v>285</v>
      </c>
      <c r="H273" s="69">
        <f t="shared" si="111"/>
        <v>0</v>
      </c>
      <c r="I273" s="70">
        <f t="shared" si="112"/>
        <v>0</v>
      </c>
      <c r="J273" s="73" t="str">
        <f t="shared" si="113"/>
        <v>--</v>
      </c>
      <c r="K273" s="32"/>
      <c r="L273" s="233"/>
      <c r="M273" s="278"/>
      <c r="N273" s="278"/>
      <c r="O273" s="278"/>
      <c r="P273" s="278"/>
      <c r="Q273" s="278"/>
      <c r="R273" s="278"/>
      <c r="S273" s="278"/>
      <c r="T273" s="278"/>
      <c r="U273" s="279"/>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 thickBot="1" x14ac:dyDescent="0.35">
      <c r="A274" s="88"/>
      <c r="B274" s="66" t="s">
        <v>300</v>
      </c>
      <c r="C274" s="67"/>
      <c r="D274" s="102"/>
      <c r="E274" s="32"/>
      <c r="F274" s="32"/>
      <c r="G274" s="68" t="s">
        <v>285</v>
      </c>
      <c r="H274" s="69">
        <f t="shared" si="111"/>
        <v>0</v>
      </c>
      <c r="I274" s="70">
        <f t="shared" si="112"/>
        <v>0</v>
      </c>
      <c r="J274" s="73" t="str">
        <f t="shared" si="113"/>
        <v>--</v>
      </c>
      <c r="K274" s="32"/>
      <c r="L274" s="233"/>
      <c r="M274" s="278"/>
      <c r="N274" s="278"/>
      <c r="O274" s="278"/>
      <c r="P274" s="278"/>
      <c r="Q274" s="278"/>
      <c r="R274" s="278"/>
      <c r="S274" s="278"/>
      <c r="T274" s="278"/>
      <c r="U274" s="279"/>
      <c r="V274" s="103"/>
      <c r="W274" s="84">
        <f>Y274+1</f>
        <v>13</v>
      </c>
      <c r="X274" s="84"/>
      <c r="Y274" s="78">
        <f>SUM(E263:E274)</f>
        <v>12</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 thickBot="1" x14ac:dyDescent="0.35">
      <c r="A275" s="88"/>
      <c r="B275" s="66" t="s">
        <v>301</v>
      </c>
      <c r="C275" s="67"/>
      <c r="D275" s="102"/>
      <c r="E275" s="32"/>
      <c r="F275" s="32"/>
      <c r="G275" s="68" t="s">
        <v>285</v>
      </c>
      <c r="H275" s="69">
        <f t="shared" si="111"/>
        <v>0</v>
      </c>
      <c r="I275" s="70">
        <f t="shared" si="112"/>
        <v>0</v>
      </c>
      <c r="J275" s="73" t="str">
        <f t="shared" si="113"/>
        <v>--</v>
      </c>
      <c r="K275" s="32"/>
      <c r="L275" s="233"/>
      <c r="M275" s="278"/>
      <c r="N275" s="278"/>
      <c r="O275" s="278"/>
      <c r="P275" s="278"/>
      <c r="Q275" s="278"/>
      <c r="R275" s="278"/>
      <c r="S275" s="278"/>
      <c r="T275" s="278"/>
      <c r="U275" s="279"/>
      <c r="V275" s="103"/>
      <c r="W275" s="84">
        <f>Y275+1</f>
        <v>13</v>
      </c>
      <c r="X275" s="84"/>
      <c r="Y275" s="78">
        <f>SUM(E263:E275)</f>
        <v>12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 thickBot="1" x14ac:dyDescent="0.35">
      <c r="A276" s="88"/>
      <c r="B276" s="66" t="s">
        <v>302</v>
      </c>
      <c r="C276" s="67"/>
      <c r="D276" s="102"/>
      <c r="E276" s="32"/>
      <c r="F276" s="32"/>
      <c r="G276" s="68" t="s">
        <v>285</v>
      </c>
      <c r="H276" s="69">
        <f t="shared" si="111"/>
        <v>0</v>
      </c>
      <c r="I276" s="70">
        <f t="shared" si="112"/>
        <v>0</v>
      </c>
      <c r="J276" s="73" t="str">
        <f t="shared" si="113"/>
        <v>--</v>
      </c>
      <c r="K276" s="32"/>
      <c r="L276" s="233"/>
      <c r="M276" s="278"/>
      <c r="N276" s="278"/>
      <c r="O276" s="278"/>
      <c r="P276" s="278"/>
      <c r="Q276" s="278"/>
      <c r="R276" s="278"/>
      <c r="S276" s="278"/>
      <c r="T276" s="278"/>
      <c r="U276" s="279"/>
      <c r="V276" s="103"/>
      <c r="W276" s="84">
        <f>Y276+1</f>
        <v>13</v>
      </c>
      <c r="X276" s="84"/>
      <c r="Y276" s="78">
        <f>SUM(E263:E276)</f>
        <v>12</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 thickBot="1" x14ac:dyDescent="0.35">
      <c r="A277" s="88"/>
      <c r="B277" s="66" t="s">
        <v>303</v>
      </c>
      <c r="C277" s="67"/>
      <c r="D277" s="102"/>
      <c r="E277" s="32"/>
      <c r="F277" s="32"/>
      <c r="G277" s="68" t="s">
        <v>285</v>
      </c>
      <c r="H277" s="69">
        <f t="shared" si="111"/>
        <v>0</v>
      </c>
      <c r="I277" s="70">
        <f t="shared" si="112"/>
        <v>0</v>
      </c>
      <c r="J277" s="73" t="str">
        <f t="shared" si="113"/>
        <v>--</v>
      </c>
      <c r="K277" s="32"/>
      <c r="L277" s="233"/>
      <c r="M277" s="278"/>
      <c r="N277" s="278"/>
      <c r="O277" s="278"/>
      <c r="P277" s="278"/>
      <c r="Q277" s="278"/>
      <c r="R277" s="278"/>
      <c r="S277" s="278"/>
      <c r="T277" s="278"/>
      <c r="U277" s="279"/>
      <c r="V277" s="103"/>
      <c r="W277" s="84">
        <f>Y277+1</f>
        <v>13</v>
      </c>
      <c r="X277" s="84"/>
      <c r="Y277" s="78">
        <f>SUM(E263:E277)</f>
        <v>12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 thickBot="1" x14ac:dyDescent="0.35">
      <c r="A278" s="88"/>
      <c r="B278" s="66" t="s">
        <v>304</v>
      </c>
      <c r="C278" s="67"/>
      <c r="D278" s="102"/>
      <c r="E278" s="32"/>
      <c r="F278" s="32"/>
      <c r="G278" s="68" t="s">
        <v>285</v>
      </c>
      <c r="H278" s="69">
        <f t="shared" si="111"/>
        <v>0</v>
      </c>
      <c r="I278" s="70">
        <f t="shared" si="112"/>
        <v>0</v>
      </c>
      <c r="J278" s="73" t="str">
        <f t="shared" si="113"/>
        <v>--</v>
      </c>
      <c r="K278" s="32"/>
      <c r="L278" s="233"/>
      <c r="M278" s="278"/>
      <c r="N278" s="278"/>
      <c r="O278" s="278"/>
      <c r="P278" s="278"/>
      <c r="Q278" s="278"/>
      <c r="R278" s="278"/>
      <c r="S278" s="278"/>
      <c r="T278" s="278"/>
      <c r="U278" s="279"/>
      <c r="V278" s="103"/>
      <c r="W278" s="84">
        <f t="shared" ref="W278:W286" si="118">Y278+1</f>
        <v>13</v>
      </c>
      <c r="X278" s="84"/>
      <c r="Y278" s="78">
        <f>SUM(E263:E278)</f>
        <v>12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 thickBot="1" x14ac:dyDescent="0.35">
      <c r="A279" s="88"/>
      <c r="B279" s="66" t="s">
        <v>305</v>
      </c>
      <c r="C279" s="67"/>
      <c r="D279" s="102"/>
      <c r="E279" s="32"/>
      <c r="F279" s="32"/>
      <c r="G279" s="68" t="s">
        <v>285</v>
      </c>
      <c r="H279" s="69">
        <f t="shared" si="111"/>
        <v>0</v>
      </c>
      <c r="I279" s="70">
        <f t="shared" si="112"/>
        <v>0</v>
      </c>
      <c r="J279" s="73" t="str">
        <f t="shared" si="113"/>
        <v>--</v>
      </c>
      <c r="K279" s="32"/>
      <c r="L279" s="233"/>
      <c r="M279" s="278"/>
      <c r="N279" s="278"/>
      <c r="O279" s="278"/>
      <c r="P279" s="278"/>
      <c r="Q279" s="278"/>
      <c r="R279" s="278"/>
      <c r="S279" s="278"/>
      <c r="T279" s="278"/>
      <c r="U279" s="279"/>
      <c r="V279" s="103"/>
      <c r="W279" s="84">
        <f t="shared" si="118"/>
        <v>13</v>
      </c>
      <c r="X279" s="84"/>
      <c r="Y279" s="78">
        <f>SUM(E263:E279)</f>
        <v>12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 thickBot="1" x14ac:dyDescent="0.35">
      <c r="A280" s="88"/>
      <c r="B280" s="66" t="s">
        <v>306</v>
      </c>
      <c r="C280" s="67"/>
      <c r="D280" s="102"/>
      <c r="E280" s="32"/>
      <c r="F280" s="32"/>
      <c r="G280" s="68" t="s">
        <v>285</v>
      </c>
      <c r="H280" s="69">
        <f t="shared" si="111"/>
        <v>0</v>
      </c>
      <c r="I280" s="70">
        <f t="shared" si="112"/>
        <v>0</v>
      </c>
      <c r="J280" s="73" t="str">
        <f t="shared" si="113"/>
        <v>--</v>
      </c>
      <c r="K280" s="32"/>
      <c r="L280" s="233"/>
      <c r="M280" s="278"/>
      <c r="N280" s="278"/>
      <c r="O280" s="278"/>
      <c r="P280" s="278"/>
      <c r="Q280" s="278"/>
      <c r="R280" s="278"/>
      <c r="S280" s="278"/>
      <c r="T280" s="278"/>
      <c r="U280" s="279"/>
      <c r="V280" s="103"/>
      <c r="W280" s="84">
        <f t="shared" si="118"/>
        <v>13</v>
      </c>
      <c r="X280" s="84"/>
      <c r="Y280" s="78">
        <f>SUM(E263:E280)</f>
        <v>12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 thickBot="1" x14ac:dyDescent="0.35">
      <c r="A281" s="88"/>
      <c r="B281" s="66" t="s">
        <v>307</v>
      </c>
      <c r="C281" s="67"/>
      <c r="D281" s="102"/>
      <c r="E281" s="32"/>
      <c r="F281" s="32"/>
      <c r="G281" s="68" t="s">
        <v>285</v>
      </c>
      <c r="H281" s="69">
        <f t="shared" si="111"/>
        <v>0</v>
      </c>
      <c r="I281" s="70">
        <f t="shared" si="112"/>
        <v>0</v>
      </c>
      <c r="J281" s="73" t="str">
        <f t="shared" si="113"/>
        <v>--</v>
      </c>
      <c r="K281" s="32"/>
      <c r="L281" s="233"/>
      <c r="M281" s="278"/>
      <c r="N281" s="278"/>
      <c r="O281" s="278"/>
      <c r="P281" s="278"/>
      <c r="Q281" s="278"/>
      <c r="R281" s="278"/>
      <c r="S281" s="278"/>
      <c r="T281" s="278"/>
      <c r="U281" s="279"/>
      <c r="V281" s="103"/>
      <c r="W281" s="84">
        <f t="shared" si="118"/>
        <v>13</v>
      </c>
      <c r="X281" s="84"/>
      <c r="Y281" s="78">
        <f>SUM(E263:E281)</f>
        <v>12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 thickBot="1" x14ac:dyDescent="0.35">
      <c r="A282" s="88"/>
      <c r="B282" s="66" t="s">
        <v>308</v>
      </c>
      <c r="C282" s="67"/>
      <c r="D282" s="102"/>
      <c r="E282" s="32"/>
      <c r="F282" s="32"/>
      <c r="G282" s="68" t="s">
        <v>285</v>
      </c>
      <c r="H282" s="69">
        <f t="shared" si="111"/>
        <v>0</v>
      </c>
      <c r="I282" s="70">
        <f t="shared" si="112"/>
        <v>0</v>
      </c>
      <c r="J282" s="73" t="str">
        <f t="shared" si="113"/>
        <v>--</v>
      </c>
      <c r="K282" s="32"/>
      <c r="L282" s="233"/>
      <c r="M282" s="278"/>
      <c r="N282" s="278"/>
      <c r="O282" s="278"/>
      <c r="P282" s="278"/>
      <c r="Q282" s="278"/>
      <c r="R282" s="278"/>
      <c r="S282" s="278"/>
      <c r="T282" s="278"/>
      <c r="U282" s="279"/>
      <c r="V282" s="103"/>
      <c r="W282" s="84">
        <f t="shared" si="118"/>
        <v>13</v>
      </c>
      <c r="X282" s="84"/>
      <c r="Y282" s="78">
        <f>SUM(E263:E282)</f>
        <v>12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 thickBot="1" x14ac:dyDescent="0.35">
      <c r="A283" s="88"/>
      <c r="B283" s="66" t="s">
        <v>309</v>
      </c>
      <c r="C283" s="67"/>
      <c r="D283" s="102"/>
      <c r="E283" s="32"/>
      <c r="F283" s="32"/>
      <c r="G283" s="68" t="s">
        <v>285</v>
      </c>
      <c r="H283" s="69">
        <f t="shared" si="111"/>
        <v>0</v>
      </c>
      <c r="I283" s="70">
        <f t="shared" si="112"/>
        <v>0</v>
      </c>
      <c r="J283" s="73" t="str">
        <f t="shared" si="113"/>
        <v>--</v>
      </c>
      <c r="K283" s="32"/>
      <c r="L283" s="233"/>
      <c r="M283" s="278"/>
      <c r="N283" s="278"/>
      <c r="O283" s="278"/>
      <c r="P283" s="278"/>
      <c r="Q283" s="278"/>
      <c r="R283" s="278"/>
      <c r="S283" s="278"/>
      <c r="T283" s="278"/>
      <c r="U283" s="279"/>
      <c r="V283" s="103"/>
      <c r="W283" s="84">
        <f t="shared" si="118"/>
        <v>13</v>
      </c>
      <c r="X283" s="84"/>
      <c r="Y283" s="78">
        <f>SUM(E263:E283)</f>
        <v>12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 thickBot="1" x14ac:dyDescent="0.35">
      <c r="A284" s="88"/>
      <c r="B284" s="66" t="s">
        <v>310</v>
      </c>
      <c r="C284" s="67"/>
      <c r="D284" s="102"/>
      <c r="E284" s="32"/>
      <c r="F284" s="32"/>
      <c r="G284" s="68" t="s">
        <v>285</v>
      </c>
      <c r="H284" s="69">
        <f t="shared" si="111"/>
        <v>0</v>
      </c>
      <c r="I284" s="70">
        <f t="shared" si="112"/>
        <v>0</v>
      </c>
      <c r="J284" s="73" t="str">
        <f t="shared" si="113"/>
        <v>--</v>
      </c>
      <c r="K284" s="32"/>
      <c r="L284" s="233"/>
      <c r="M284" s="278"/>
      <c r="N284" s="278"/>
      <c r="O284" s="278"/>
      <c r="P284" s="278"/>
      <c r="Q284" s="278"/>
      <c r="R284" s="278"/>
      <c r="S284" s="278"/>
      <c r="T284" s="278"/>
      <c r="U284" s="279"/>
      <c r="V284" s="103"/>
      <c r="W284" s="84">
        <f t="shared" si="118"/>
        <v>13</v>
      </c>
      <c r="X284" s="84"/>
      <c r="Y284" s="78">
        <f>SUM(E263:E284)</f>
        <v>12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 thickBot="1" x14ac:dyDescent="0.35">
      <c r="A285" s="88"/>
      <c r="B285" s="66" t="s">
        <v>311</v>
      </c>
      <c r="C285" s="67"/>
      <c r="D285" s="102"/>
      <c r="E285" s="32"/>
      <c r="F285" s="32"/>
      <c r="G285" s="68" t="s">
        <v>285</v>
      </c>
      <c r="H285" s="69">
        <f t="shared" si="111"/>
        <v>0</v>
      </c>
      <c r="I285" s="70">
        <f t="shared" si="112"/>
        <v>0</v>
      </c>
      <c r="J285" s="73" t="str">
        <f t="shared" si="113"/>
        <v>--</v>
      </c>
      <c r="K285" s="32"/>
      <c r="L285" s="233"/>
      <c r="M285" s="278"/>
      <c r="N285" s="278"/>
      <c r="O285" s="278"/>
      <c r="P285" s="278"/>
      <c r="Q285" s="278"/>
      <c r="R285" s="278"/>
      <c r="S285" s="278"/>
      <c r="T285" s="278"/>
      <c r="U285" s="279"/>
      <c r="V285" s="103"/>
      <c r="W285" s="84">
        <f t="shared" si="118"/>
        <v>13</v>
      </c>
      <c r="X285" s="84"/>
      <c r="Y285" s="78">
        <f>SUM(E263:E285)</f>
        <v>12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 thickBot="1" x14ac:dyDescent="0.35">
      <c r="A286" s="88"/>
      <c r="B286" s="66" t="s">
        <v>312</v>
      </c>
      <c r="C286" s="67"/>
      <c r="D286" s="102"/>
      <c r="E286" s="32"/>
      <c r="F286" s="32"/>
      <c r="G286" s="68" t="s">
        <v>285</v>
      </c>
      <c r="H286" s="69">
        <f t="shared" si="111"/>
        <v>0</v>
      </c>
      <c r="I286" s="70">
        <f t="shared" si="112"/>
        <v>0</v>
      </c>
      <c r="J286" s="73" t="str">
        <f t="shared" si="113"/>
        <v>--</v>
      </c>
      <c r="K286" s="32"/>
      <c r="L286" s="233"/>
      <c r="M286" s="278"/>
      <c r="N286" s="278"/>
      <c r="O286" s="278"/>
      <c r="P286" s="278"/>
      <c r="Q286" s="278"/>
      <c r="R286" s="278"/>
      <c r="S286" s="278"/>
      <c r="T286" s="278"/>
      <c r="U286" s="279"/>
      <c r="V286" s="103"/>
      <c r="W286" s="84">
        <f t="shared" si="118"/>
        <v>13</v>
      </c>
      <c r="X286" s="84"/>
      <c r="Y286" s="78">
        <f>SUM(E263:E286)</f>
        <v>12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 thickBot="1" x14ac:dyDescent="0.35">
      <c r="A287" s="88"/>
      <c r="B287" s="66" t="s">
        <v>313</v>
      </c>
      <c r="C287" s="67"/>
      <c r="D287" s="102"/>
      <c r="E287" s="32"/>
      <c r="F287" s="32"/>
      <c r="G287" s="68" t="s">
        <v>285</v>
      </c>
      <c r="H287" s="69">
        <f t="shared" si="111"/>
        <v>0</v>
      </c>
      <c r="I287" s="70">
        <f t="shared" si="112"/>
        <v>0</v>
      </c>
      <c r="J287" s="73" t="str">
        <f t="shared" si="113"/>
        <v>--</v>
      </c>
      <c r="K287" s="32"/>
      <c r="L287" s="234"/>
      <c r="M287" s="278"/>
      <c r="N287" s="278"/>
      <c r="O287" s="278"/>
      <c r="P287" s="278"/>
      <c r="Q287" s="278"/>
      <c r="R287" s="278"/>
      <c r="S287" s="278"/>
      <c r="T287" s="278"/>
      <c r="U287" s="279"/>
      <c r="V287" s="103"/>
      <c r="W287" s="72"/>
      <c r="X287" s="72"/>
      <c r="Y287" s="78">
        <f>SUM(E263:E287)</f>
        <v>12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2" thickBot="1" x14ac:dyDescent="0.35">
      <c r="A288" s="88"/>
      <c r="B288" s="319" t="s">
        <v>340</v>
      </c>
      <c r="C288" s="320"/>
      <c r="D288" s="79"/>
      <c r="E288" s="80"/>
      <c r="F288" s="80"/>
      <c r="G288" s="81"/>
      <c r="H288" s="192"/>
      <c r="I288" s="192"/>
      <c r="J288" s="192"/>
      <c r="K288" s="82"/>
      <c r="L288" s="319" t="s">
        <v>319</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22</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2" thickBot="1" x14ac:dyDescent="0.35">
      <c r="A289" s="88"/>
      <c r="B289" s="319" t="s">
        <v>320</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 thickBot="1"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5">
      <c r="A292" s="88"/>
      <c r="B292" s="85" t="s">
        <v>341</v>
      </c>
      <c r="C292" s="25"/>
      <c r="D292" s="25"/>
      <c r="E292" s="25"/>
      <c r="F292" s="88"/>
      <c r="G292" s="25"/>
      <c r="H292" s="25"/>
      <c r="I292" s="87"/>
      <c r="J292" s="26"/>
      <c r="K292" s="25"/>
      <c r="L292" s="25"/>
      <c r="M292" s="196" t="s">
        <v>217</v>
      </c>
      <c r="N292" s="196" t="s">
        <v>218</v>
      </c>
      <c r="O292" s="196" t="s">
        <v>219</v>
      </c>
      <c r="P292" s="196" t="s">
        <v>220</v>
      </c>
      <c r="Q292" s="196" t="s">
        <v>221</v>
      </c>
      <c r="R292" s="196" t="s">
        <v>222</v>
      </c>
      <c r="S292" s="196" t="s">
        <v>223</v>
      </c>
      <c r="T292" s="196" t="s">
        <v>224</v>
      </c>
      <c r="U292" s="196" t="s">
        <v>225</v>
      </c>
      <c r="V292" s="196" t="s">
        <v>226</v>
      </c>
      <c r="W292" s="113" t="s">
        <v>227</v>
      </c>
      <c r="X292" s="196" t="s">
        <v>228</v>
      </c>
      <c r="Y292" s="25"/>
      <c r="Z292" s="25"/>
      <c r="AA292" s="25"/>
      <c r="AB292" s="25"/>
      <c r="AC292" s="25"/>
      <c r="AD292" s="25"/>
      <c r="BA292" s="226"/>
    </row>
    <row r="293" spans="1:53" ht="15.6" thickTop="1" thickBot="1" x14ac:dyDescent="0.35">
      <c r="A293" s="88"/>
      <c r="B293" s="312" t="s">
        <v>229</v>
      </c>
      <c r="C293" s="313"/>
      <c r="D293" s="314" t="s">
        <v>230</v>
      </c>
      <c r="E293" s="305"/>
      <c r="F293" s="88"/>
      <c r="G293" s="315" t="s">
        <v>231</v>
      </c>
      <c r="H293" s="316"/>
      <c r="I293" s="28">
        <f>SUM(E304:E328)</f>
        <v>32</v>
      </c>
      <c r="J293" s="317" t="s">
        <v>232</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233</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234</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5">
      <c r="A294" s="88"/>
      <c r="B294" s="29" t="s">
        <v>235</v>
      </c>
      <c r="C294" s="30">
        <v>0</v>
      </c>
      <c r="D294" s="31" t="s">
        <v>236</v>
      </c>
      <c r="E294" s="66" t="str">
        <f>TEXT(IF('Cable Calculator'!AM7="","",'Cable Calculator'!AM7),)</f>
        <v>EUC</v>
      </c>
      <c r="F294" s="88"/>
      <c r="G294" s="304" t="s">
        <v>237</v>
      </c>
      <c r="H294" s="305"/>
      <c r="I294" s="33">
        <f>E295-I293</f>
        <v>16</v>
      </c>
      <c r="J294" s="289" t="s">
        <v>238</v>
      </c>
      <c r="K294" s="290"/>
      <c r="L294" s="34">
        <f>I298</f>
        <v>253</v>
      </c>
      <c r="M294" s="196">
        <v>4</v>
      </c>
      <c r="N294" s="35">
        <f>SUM(AI294,AI305)</f>
        <v>0</v>
      </c>
      <c r="O294" s="35">
        <v>0</v>
      </c>
      <c r="P294" s="35">
        <f>SUM(AJ294,AJ305)</f>
        <v>0</v>
      </c>
      <c r="Q294" s="35">
        <v>0</v>
      </c>
      <c r="R294" s="35">
        <f>COUNTIFS($E304:$E328,"4",$F304:$F328,"Pole",$C304:$C328,"FST")</f>
        <v>0</v>
      </c>
      <c r="S294" s="35">
        <f>SUM(AL294,AK305)</f>
        <v>0</v>
      </c>
      <c r="T294" s="35">
        <v>0</v>
      </c>
      <c r="U294" s="35">
        <f>SUM(AK294,AL305)</f>
        <v>8</v>
      </c>
      <c r="V294" s="35">
        <v>0</v>
      </c>
      <c r="W294" s="34">
        <f>COUNTIFS($E304:$E328,"4",$F304:$F328,"HH",$C304:$C328,"FST")</f>
        <v>8</v>
      </c>
      <c r="X294" s="35">
        <f>COUNTIFS($E304:$E328,"4",$F304:$F328,"Ped",$C304:$C328,"FST")</f>
        <v>0</v>
      </c>
      <c r="Y294" s="25"/>
      <c r="Z294" s="298" t="s">
        <v>239</v>
      </c>
      <c r="AA294" s="300" t="s">
        <v>240</v>
      </c>
      <c r="AB294" s="301"/>
      <c r="AC294" s="25"/>
      <c r="AD294" s="25"/>
      <c r="AH294" s="109">
        <v>4</v>
      </c>
      <c r="AI294" s="109" t="str">
        <f>IF($E294="SS",COUNTIFS($C304:$C328,"FST",$E304:$E328,"4"),"0")</f>
        <v>0</v>
      </c>
      <c r="AJ294" s="109" t="str">
        <f>IF($E294="RPX",COUNTIFS($C304:$C328,"FST",$E304:$E328,"4"),"0")</f>
        <v>0</v>
      </c>
      <c r="AK294" s="109">
        <f>IF($E294="EUC",COUNTIFS($C304:$C328,"FST",$E304:$E328,"4"),"0")</f>
        <v>8</v>
      </c>
      <c r="AL294" s="109" t="str">
        <f>IF($E294="RPX-T",COUNTIFS($C304:$C328,"FST",$E304:$E328,"4"),"0")</f>
        <v>0</v>
      </c>
      <c r="AS294" s="109" t="str">
        <f>IF(AND(E299="Y",E295=24,E296=0),"Y","N")</f>
        <v>N</v>
      </c>
      <c r="AT294" s="110" t="s">
        <v>241</v>
      </c>
      <c r="AU294" s="109">
        <f>COUNTIFS($E294,"SS",$AS294,"Y")</f>
        <v>0</v>
      </c>
      <c r="AV294" s="111">
        <f>COUNTIFS($E294,"RPX",$AS294,"Y")</f>
        <v>0</v>
      </c>
      <c r="AW294" s="111">
        <f>COUNTIFS($E294,"EUC",$AS294,"Y")</f>
        <v>0</v>
      </c>
      <c r="AX294" s="109">
        <f>COUNTIFS($E294,"RPX-T",$AS294,"Y")</f>
        <v>0</v>
      </c>
      <c r="BA294" s="227"/>
    </row>
    <row r="295" spans="1:53" ht="15.6" thickTop="1" thickBot="1" x14ac:dyDescent="0.35">
      <c r="A295" s="88"/>
      <c r="B295" s="36" t="s">
        <v>242</v>
      </c>
      <c r="C295" s="37">
        <v>0</v>
      </c>
      <c r="D295" s="38" t="s">
        <v>243</v>
      </c>
      <c r="E295" s="32">
        <v>48</v>
      </c>
      <c r="F295" s="88"/>
      <c r="G295" s="291" t="s">
        <v>244</v>
      </c>
      <c r="H295" s="292"/>
      <c r="I295" s="35">
        <f>IF(E295=0,0,12-(MOD(I293,12)))</f>
        <v>4</v>
      </c>
      <c r="J295" s="289" t="s">
        <v>245</v>
      </c>
      <c r="K295" s="290"/>
      <c r="L295" s="39">
        <f>I299-I293</f>
        <v>256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246</v>
      </c>
      <c r="AU295" s="109">
        <f>COUNTIFS($E294,"SS",$AS295,"Y")</f>
        <v>0</v>
      </c>
      <c r="AV295" s="108">
        <f>COUNTIFS($E294,"RPX",$AS295,"Y")</f>
        <v>0</v>
      </c>
      <c r="AW295" s="108">
        <f>COUNTIFS($E294,"EUC",$AS295,"Y")</f>
        <v>0</v>
      </c>
      <c r="AX295" s="109">
        <f>COUNTIFS($E294,"RPX-T",$AS295,"Y")</f>
        <v>0</v>
      </c>
      <c r="BA295" s="227"/>
    </row>
    <row r="296" spans="1:53" ht="16.5" customHeight="1" thickTop="1" thickBot="1" x14ac:dyDescent="0.35">
      <c r="A296" s="88"/>
      <c r="B296" s="40" t="s">
        <v>247</v>
      </c>
      <c r="C296" s="30">
        <v>0</v>
      </c>
      <c r="D296" s="41" t="s">
        <v>248</v>
      </c>
      <c r="E296" s="42">
        <v>12</v>
      </c>
      <c r="F296" s="88"/>
      <c r="G296" s="321" t="s">
        <v>249</v>
      </c>
      <c r="H296" s="43" t="s">
        <v>250</v>
      </c>
      <c r="I296" s="35">
        <f>IF(E296&lt;&gt;0,1,0)</f>
        <v>1</v>
      </c>
      <c r="J296" s="291" t="s">
        <v>251</v>
      </c>
      <c r="K296" s="292"/>
      <c r="L296" s="44">
        <f>'Cable Calculator'!AM3</f>
        <v>1220</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252</v>
      </c>
      <c r="AU296" s="109">
        <f>COUNTIFS($E294,"SS",$AS296,"Y")</f>
        <v>0</v>
      </c>
      <c r="AV296" s="108">
        <f>COUNTIFS($E294,"RPX",$AS296,"Y")</f>
        <v>0</v>
      </c>
      <c r="AW296" s="108">
        <f>COUNTIFS($E294,"EUC",$AS296,"Y")</f>
        <v>0</v>
      </c>
      <c r="AX296" s="109">
        <f>COUNTIFS($E294,"RPX-T",$AS296,"Y")</f>
        <v>0</v>
      </c>
      <c r="BA296" s="227"/>
    </row>
    <row r="297" spans="1:53" ht="15.6" thickTop="1" thickBot="1" x14ac:dyDescent="0.35">
      <c r="A297" s="88"/>
      <c r="B297" s="29" t="s">
        <v>253</v>
      </c>
      <c r="C297" s="37">
        <v>0</v>
      </c>
      <c r="D297" s="41" t="s">
        <v>254</v>
      </c>
      <c r="E297" s="42">
        <v>253</v>
      </c>
      <c r="F297" s="88"/>
      <c r="G297" s="322"/>
      <c r="H297" s="47" t="s">
        <v>255</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5">
      <c r="A298" s="88"/>
      <c r="B298" s="36" t="s">
        <v>256</v>
      </c>
      <c r="C298" s="30">
        <v>0</v>
      </c>
      <c r="D298" s="49" t="s">
        <v>257</v>
      </c>
      <c r="E298" s="50">
        <f>E295/12</f>
        <v>4</v>
      </c>
      <c r="F298" s="88"/>
      <c r="G298" s="321" t="s">
        <v>258</v>
      </c>
      <c r="H298" s="51" t="s">
        <v>259</v>
      </c>
      <c r="I298" s="112">
        <f>E297</f>
        <v>253</v>
      </c>
      <c r="J298" s="323" t="s">
        <v>260</v>
      </c>
      <c r="K298" s="324"/>
      <c r="L298" s="325"/>
      <c r="M298" s="52" t="s">
        <v>261</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5.6" thickTop="1" thickBot="1" x14ac:dyDescent="0.35">
      <c r="A299" s="88"/>
      <c r="B299" s="36" t="s">
        <v>262</v>
      </c>
      <c r="C299" s="30">
        <v>0</v>
      </c>
      <c r="D299" s="31" t="s">
        <v>263</v>
      </c>
      <c r="E299" s="101" t="str">
        <f>IF('Cable Calculator'!AM5="","",'Cable Calculator'!AM5)</f>
        <v>N</v>
      </c>
      <c r="F299" s="88"/>
      <c r="G299" s="322"/>
      <c r="H299" s="47" t="s">
        <v>264</v>
      </c>
      <c r="I299" s="35">
        <f>IF(E297="","0",IF(AND(E294="EUC",E295=432), I298+(203-E296),IF(E297=0,0,(E297+(E295-E296)-1))))</f>
        <v>288</v>
      </c>
      <c r="J299" s="286" t="str">
        <f>IFERROR(IF(OR(E294="EUC",E294="SS"),"---",IF(OR(P293,S293),"NO 2F Tethers for RPX!",IF(OR(P295,S295),"NO 6F Tethers for RPX!","---"))),"---")</f>
        <v>---</v>
      </c>
      <c r="K299" s="287"/>
      <c r="L299" s="288"/>
      <c r="M299" s="286" t="str">
        <f>IF(E296&gt;60,"Dead Count &gt;60: Consider Downsize","---")</f>
        <v>---</v>
      </c>
      <c r="N299" s="287"/>
      <c r="O299" s="287"/>
      <c r="P299" s="287"/>
      <c r="Q299" s="287"/>
      <c r="R299" s="287"/>
      <c r="S299" s="287"/>
      <c r="T299" s="287"/>
      <c r="U299" s="288"/>
      <c r="V299" s="100"/>
      <c r="W299" s="54">
        <f>SUM(P299:U299)</f>
        <v>0</v>
      </c>
      <c r="X299" s="54"/>
      <c r="Y299" s="25"/>
      <c r="Z299" s="45">
        <v>4</v>
      </c>
      <c r="AA299" s="46">
        <v>37</v>
      </c>
      <c r="AB299" s="46">
        <v>48</v>
      </c>
      <c r="AC299" s="25"/>
      <c r="AD299" s="25"/>
      <c r="BA299" s="227"/>
    </row>
    <row r="300" spans="1:53" ht="15.6" thickTop="1" thickBot="1" x14ac:dyDescent="0.35">
      <c r="A300" s="88"/>
      <c r="B300" s="55" t="s">
        <v>265</v>
      </c>
      <c r="C300" s="56">
        <f>SUM(C294:C299)+I293</f>
        <v>32</v>
      </c>
      <c r="D300" s="31" t="s">
        <v>266</v>
      </c>
      <c r="E300" s="101" t="str">
        <f>IF(AS294="Y","DBL",IF(AS295="Y","TRPL",IF(AS296="Y","QUAD","")))</f>
        <v/>
      </c>
      <c r="F300" s="88"/>
      <c r="G300" s="192"/>
      <c r="H300" s="57"/>
      <c r="I300" s="192"/>
      <c r="J300" s="286"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7"/>
      <c r="L300" s="288"/>
      <c r="M300" s="286" t="str">
        <f>IF(AND(OR(E294="SS",E294="RPX",E294="EUC",E294="RPX-T"),(OR(C304="",C304="Field SPL"))),"Cannot have FlexNap cables without tethers","---")</f>
        <v>---</v>
      </c>
      <c r="N300" s="287"/>
      <c r="O300" s="287"/>
      <c r="P300" s="287"/>
      <c r="Q300" s="287"/>
      <c r="R300" s="287"/>
      <c r="S300" s="287"/>
      <c r="T300" s="287"/>
      <c r="U300" s="288"/>
      <c r="V300" s="25"/>
      <c r="W300" s="58"/>
      <c r="X300" s="58"/>
      <c r="Y300" s="25"/>
      <c r="Z300" s="45">
        <v>5</v>
      </c>
      <c r="AA300" s="46">
        <v>49</v>
      </c>
      <c r="AB300" s="46">
        <v>60</v>
      </c>
      <c r="AC300" s="25"/>
      <c r="AD300" s="25"/>
      <c r="BA300" s="227"/>
    </row>
    <row r="301" spans="1:53" ht="15.6" thickTop="1" thickBot="1" x14ac:dyDescent="0.35">
      <c r="A301" s="88"/>
      <c r="B301" s="59"/>
      <c r="C301" s="60"/>
      <c r="D301" s="61"/>
      <c r="E301" s="62"/>
      <c r="F301" s="88"/>
      <c r="G301" s="63"/>
      <c r="H301" s="64"/>
      <c r="I301" s="63"/>
      <c r="J301" s="286" t="str">
        <f>IF(AND(OR(E294="RPX", E294="RPX-T", E294="SS"),E295=216),"NO 216 For RPX, RPX-T, OR SS CABLE","---")</f>
        <v>---</v>
      </c>
      <c r="K301" s="287"/>
      <c r="L301" s="288"/>
      <c r="M301" s="286" t="str" cm="1">
        <f t="array" ref="M301">IF(AND(E294="",OR(C304:C328="FST",C304:C328="REV T",C304:C328="DBL REV",C304:C328="TPL REV", C304:C328="QD REV")),"Non-FlexNap cables cannot have tethers","---")</f>
        <v>---</v>
      </c>
      <c r="N301" s="287"/>
      <c r="O301" s="287"/>
      <c r="P301" s="287"/>
      <c r="Q301" s="287"/>
      <c r="R301" s="287"/>
      <c r="S301" s="287"/>
      <c r="T301" s="287"/>
      <c r="U301" s="288"/>
      <c r="V301" s="25"/>
      <c r="W301" s="58"/>
      <c r="X301" s="58"/>
      <c r="Y301" s="25"/>
      <c r="Z301" s="45">
        <v>6</v>
      </c>
      <c r="AA301" s="65">
        <v>61</v>
      </c>
      <c r="AB301" s="65">
        <v>72</v>
      </c>
      <c r="AC301" s="25"/>
      <c r="AD301" s="25"/>
      <c r="BA301" s="226"/>
    </row>
    <row r="302" spans="1:53" ht="15.75" customHeight="1" thickBot="1" x14ac:dyDescent="0.35">
      <c r="A302" s="88"/>
      <c r="B302" s="321" t="s">
        <v>267</v>
      </c>
      <c r="C302" s="293" t="s">
        <v>268</v>
      </c>
      <c r="D302" s="293" t="s">
        <v>269</v>
      </c>
      <c r="E302" s="306" t="s">
        <v>270</v>
      </c>
      <c r="F302" s="293" t="s">
        <v>271</v>
      </c>
      <c r="G302" s="308" t="s">
        <v>272</v>
      </c>
      <c r="H302" s="308" t="s">
        <v>273</v>
      </c>
      <c r="I302" s="308" t="s">
        <v>274</v>
      </c>
      <c r="J302" s="310" t="s">
        <v>275</v>
      </c>
      <c r="K302" s="293" t="s">
        <v>276</v>
      </c>
      <c r="L302" s="280" t="s">
        <v>277</v>
      </c>
      <c r="M302" s="282" t="s">
        <v>278</v>
      </c>
      <c r="N302" s="282"/>
      <c r="O302" s="282"/>
      <c r="P302" s="282"/>
      <c r="Q302" s="282"/>
      <c r="R302" s="282"/>
      <c r="S302" s="282"/>
      <c r="T302" s="282"/>
      <c r="U302" s="283"/>
      <c r="V302" s="107"/>
      <c r="W302" s="72"/>
      <c r="X302" s="72"/>
      <c r="Y302" s="72"/>
      <c r="Z302" s="45">
        <v>7</v>
      </c>
      <c r="AA302" s="65">
        <v>73</v>
      </c>
      <c r="AB302" s="65">
        <v>84</v>
      </c>
      <c r="AC302" s="25"/>
      <c r="AD302" s="25"/>
      <c r="BA302" s="228"/>
    </row>
    <row r="303" spans="1:53" ht="15" thickBot="1" x14ac:dyDescent="0.35">
      <c r="A303" s="88"/>
      <c r="B303" s="322"/>
      <c r="C303" s="294"/>
      <c r="D303" s="294"/>
      <c r="E303" s="307"/>
      <c r="F303" s="294"/>
      <c r="G303" s="309"/>
      <c r="H303" s="309"/>
      <c r="I303" s="309"/>
      <c r="J303" s="311"/>
      <c r="K303" s="294"/>
      <c r="L303" s="281"/>
      <c r="M303" s="284"/>
      <c r="N303" s="284"/>
      <c r="O303" s="284"/>
      <c r="P303" s="284"/>
      <c r="Q303" s="284"/>
      <c r="R303" s="284"/>
      <c r="S303" s="284"/>
      <c r="T303" s="284"/>
      <c r="U303" s="285"/>
      <c r="V303" s="107"/>
      <c r="W303" s="72"/>
      <c r="X303" s="72"/>
      <c r="Y303" s="72"/>
      <c r="Z303" s="45">
        <v>8</v>
      </c>
      <c r="AA303" s="46">
        <v>85</v>
      </c>
      <c r="AB303" s="46">
        <v>96</v>
      </c>
      <c r="AC303" s="25"/>
      <c r="AD303" s="25"/>
      <c r="AI303" s="109" t="s">
        <v>279</v>
      </c>
      <c r="AJ303" s="109" t="s">
        <v>280</v>
      </c>
      <c r="AK303" s="109" t="s">
        <v>281</v>
      </c>
      <c r="AL303" s="109" t="s">
        <v>282</v>
      </c>
      <c r="BA303" s="228"/>
    </row>
    <row r="304" spans="1:53" ht="15" thickBot="1" x14ac:dyDescent="0.35">
      <c r="A304" s="88"/>
      <c r="B304" s="66" t="s">
        <v>283</v>
      </c>
      <c r="C304" s="67" t="s">
        <v>322</v>
      </c>
      <c r="D304" s="102" t="s">
        <v>342</v>
      </c>
      <c r="E304" s="32">
        <v>4</v>
      </c>
      <c r="F304" s="32" t="s">
        <v>324</v>
      </c>
      <c r="G304" s="68" t="s">
        <v>285</v>
      </c>
      <c r="H304" s="69">
        <f>IF(I304=0,0,I304-(E304-1))</f>
        <v>285</v>
      </c>
      <c r="I304" s="70">
        <f>IF(E304=0,0,I299)</f>
        <v>288</v>
      </c>
      <c r="J304" s="71" t="s">
        <v>286</v>
      </c>
      <c r="K304" s="32"/>
      <c r="L304" s="233"/>
      <c r="M304" s="278"/>
      <c r="N304" s="278"/>
      <c r="O304" s="278"/>
      <c r="P304" s="278"/>
      <c r="Q304" s="278"/>
      <c r="R304" s="278"/>
      <c r="S304" s="278"/>
      <c r="T304" s="278"/>
      <c r="U304" s="27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285-288</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 thickBot="1" x14ac:dyDescent="0.35">
      <c r="A305" s="88"/>
      <c r="B305" s="66" t="s">
        <v>288</v>
      </c>
      <c r="C305" s="67" t="s">
        <v>322</v>
      </c>
      <c r="D305" s="102" t="s">
        <v>343</v>
      </c>
      <c r="E305" s="32">
        <v>4</v>
      </c>
      <c r="F305" s="32" t="s">
        <v>324</v>
      </c>
      <c r="G305" s="68" t="s">
        <v>285</v>
      </c>
      <c r="H305" s="69">
        <f t="shared" ref="H305:H328" si="128">IF(E305=0,0,I305-(E305-1))</f>
        <v>281</v>
      </c>
      <c r="I305" s="70">
        <f t="shared" ref="I305:I328" si="129">IF(E305=0,0,H304-1)</f>
        <v>284</v>
      </c>
      <c r="J305" s="73" t="str">
        <f>IF(C305="","--",IF(AND(C305&lt;&gt;"FST",C305&lt;&gt;"TCF",BA304&lt;&gt;0),BA304,"--"))</f>
        <v>--</v>
      </c>
      <c r="K305" s="32"/>
      <c r="L305" s="233"/>
      <c r="M305" s="278"/>
      <c r="N305" s="278"/>
      <c r="O305" s="278"/>
      <c r="P305" s="278"/>
      <c r="Q305" s="278"/>
      <c r="R305" s="278"/>
      <c r="S305" s="278"/>
      <c r="T305" s="278"/>
      <c r="U305" s="279"/>
      <c r="V305" s="103"/>
      <c r="W305" s="72"/>
      <c r="X305" s="72"/>
      <c r="Y305" s="72"/>
      <c r="Z305" s="45">
        <v>10</v>
      </c>
      <c r="AA305" s="46">
        <v>109</v>
      </c>
      <c r="AB305" s="46">
        <v>120</v>
      </c>
      <c r="AC305" s="72">
        <f t="shared" si="119"/>
        <v>1</v>
      </c>
      <c r="AD305" s="72">
        <f t="shared" si="120"/>
        <v>0</v>
      </c>
      <c r="AE305" s="109" t="str">
        <f t="shared" si="121"/>
        <v>281-284</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 thickBot="1" x14ac:dyDescent="0.35">
      <c r="A306" s="88"/>
      <c r="B306" s="74" t="s">
        <v>290</v>
      </c>
      <c r="C306" s="67" t="s">
        <v>322</v>
      </c>
      <c r="D306" s="102" t="s">
        <v>344</v>
      </c>
      <c r="E306" s="32">
        <v>4</v>
      </c>
      <c r="F306" s="32" t="s">
        <v>324</v>
      </c>
      <c r="G306" s="75" t="s">
        <v>285</v>
      </c>
      <c r="H306" s="69">
        <f t="shared" si="128"/>
        <v>277</v>
      </c>
      <c r="I306" s="70">
        <f t="shared" si="129"/>
        <v>280</v>
      </c>
      <c r="J306" s="73" t="str">
        <f t="shared" ref="J306:J328" si="130">IF(C306="","--",IF(AND(C306&lt;&gt;"FST",C306&lt;&gt;"TCF",BA305&lt;&gt;0),BA305,"--"))</f>
        <v>--</v>
      </c>
      <c r="K306" s="32"/>
      <c r="L306" s="233"/>
      <c r="M306" s="278"/>
      <c r="N306" s="278"/>
      <c r="O306" s="278"/>
      <c r="P306" s="278"/>
      <c r="Q306" s="278"/>
      <c r="R306" s="278"/>
      <c r="S306" s="278"/>
      <c r="T306" s="278"/>
      <c r="U306" s="279"/>
      <c r="V306" s="103"/>
      <c r="W306" s="72"/>
      <c r="X306" s="72"/>
      <c r="Y306" s="72"/>
      <c r="Z306" s="45">
        <v>11</v>
      </c>
      <c r="AA306" s="46">
        <v>121</v>
      </c>
      <c r="AB306" s="46">
        <v>132</v>
      </c>
      <c r="AC306" s="72">
        <f t="shared" si="119"/>
        <v>1</v>
      </c>
      <c r="AD306" s="72">
        <f t="shared" si="120"/>
        <v>0</v>
      </c>
      <c r="AE306" s="109" t="str">
        <f t="shared" si="121"/>
        <v>277-280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 thickBot="1" x14ac:dyDescent="0.35">
      <c r="A307" s="88"/>
      <c r="B307" s="66" t="s">
        <v>292</v>
      </c>
      <c r="C307" s="67" t="s">
        <v>322</v>
      </c>
      <c r="D307" s="102" t="s">
        <v>345</v>
      </c>
      <c r="E307" s="32">
        <v>4</v>
      </c>
      <c r="F307" s="32" t="s">
        <v>324</v>
      </c>
      <c r="G307" s="68" t="s">
        <v>285</v>
      </c>
      <c r="H307" s="69">
        <f t="shared" si="128"/>
        <v>273</v>
      </c>
      <c r="I307" s="70">
        <f t="shared" si="129"/>
        <v>276</v>
      </c>
      <c r="J307" s="73" t="str">
        <f t="shared" si="130"/>
        <v>--</v>
      </c>
      <c r="K307" s="32"/>
      <c r="L307" s="233"/>
      <c r="M307" s="278"/>
      <c r="N307" s="278"/>
      <c r="O307" s="278"/>
      <c r="P307" s="278"/>
      <c r="Q307" s="278"/>
      <c r="R307" s="278"/>
      <c r="S307" s="278"/>
      <c r="T307" s="278"/>
      <c r="U307" s="279"/>
      <c r="V307" s="103"/>
      <c r="W307" s="72"/>
      <c r="X307" s="72"/>
      <c r="Y307" s="72"/>
      <c r="Z307" s="45">
        <v>12</v>
      </c>
      <c r="AA307" s="76">
        <v>133</v>
      </c>
      <c r="AB307" s="76">
        <v>144</v>
      </c>
      <c r="AC307" s="72">
        <f t="shared" si="119"/>
        <v>1</v>
      </c>
      <c r="AD307" s="72">
        <f t="shared" si="120"/>
        <v>0</v>
      </c>
      <c r="AE307" s="109" t="str">
        <f t="shared" si="121"/>
        <v>273-276</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8</v>
      </c>
    </row>
    <row r="308" spans="1:53" ht="15" thickBot="1" x14ac:dyDescent="0.35">
      <c r="A308" s="88"/>
      <c r="B308" s="66" t="s">
        <v>293</v>
      </c>
      <c r="C308" s="67" t="s">
        <v>322</v>
      </c>
      <c r="D308" s="102" t="s">
        <v>346</v>
      </c>
      <c r="E308" s="32">
        <v>4</v>
      </c>
      <c r="F308" s="32" t="s">
        <v>324</v>
      </c>
      <c r="G308" s="68" t="s">
        <v>285</v>
      </c>
      <c r="H308" s="69">
        <f t="shared" si="128"/>
        <v>269</v>
      </c>
      <c r="I308" s="70">
        <f t="shared" si="129"/>
        <v>272</v>
      </c>
      <c r="J308" s="73" t="str">
        <f t="shared" si="130"/>
        <v>--</v>
      </c>
      <c r="K308" s="32"/>
      <c r="L308" s="233"/>
      <c r="M308" s="278"/>
      <c r="N308" s="278"/>
      <c r="O308" s="278"/>
      <c r="P308" s="278"/>
      <c r="Q308" s="278"/>
      <c r="R308" s="278"/>
      <c r="S308" s="278"/>
      <c r="T308" s="278"/>
      <c r="U308" s="279"/>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269-272</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 thickBot="1" x14ac:dyDescent="0.35">
      <c r="A309" s="88"/>
      <c r="B309" s="66" t="s">
        <v>294</v>
      </c>
      <c r="C309" s="67" t="s">
        <v>322</v>
      </c>
      <c r="D309" s="102" t="s">
        <v>347</v>
      </c>
      <c r="E309" s="32">
        <v>4</v>
      </c>
      <c r="F309" s="32" t="s">
        <v>324</v>
      </c>
      <c r="G309" s="68" t="s">
        <v>285</v>
      </c>
      <c r="H309" s="69">
        <f t="shared" si="128"/>
        <v>265</v>
      </c>
      <c r="I309" s="70">
        <f t="shared" si="129"/>
        <v>268</v>
      </c>
      <c r="J309" s="73" t="str">
        <f t="shared" si="130"/>
        <v>--</v>
      </c>
      <c r="K309" s="32"/>
      <c r="L309" s="233"/>
      <c r="M309" s="278"/>
      <c r="N309" s="278"/>
      <c r="O309" s="278"/>
      <c r="P309" s="278"/>
      <c r="Q309" s="278"/>
      <c r="R309" s="278"/>
      <c r="S309" s="278"/>
      <c r="T309" s="278"/>
      <c r="U309" s="279"/>
      <c r="V309" s="103"/>
      <c r="W309" s="72"/>
      <c r="X309" s="72"/>
      <c r="Y309" s="72"/>
      <c r="Z309" s="45">
        <v>14</v>
      </c>
      <c r="AA309" s="77">
        <f t="shared" si="131"/>
        <v>157</v>
      </c>
      <c r="AB309" s="77">
        <f t="shared" si="132"/>
        <v>168</v>
      </c>
      <c r="AC309" s="72">
        <f t="shared" si="119"/>
        <v>1</v>
      </c>
      <c r="AD309" s="72">
        <f t="shared" si="120"/>
        <v>0</v>
      </c>
      <c r="AE309" s="109" t="str">
        <f t="shared" si="121"/>
        <v>265-268</v>
      </c>
      <c r="AF309" s="109" t="str">
        <f t="shared" si="122"/>
        <v>Y</v>
      </c>
      <c r="AG309" s="109" t="str">
        <f t="shared" si="123"/>
        <v>B</v>
      </c>
      <c r="AM309" s="109">
        <f t="shared" si="124"/>
        <v>0</v>
      </c>
      <c r="AN309" s="109">
        <f t="shared" si="125"/>
        <v>0</v>
      </c>
      <c r="AO309" s="109" t="str">
        <f t="shared" si="126"/>
        <v/>
      </c>
      <c r="AQ309" s="109" t="str">
        <f t="shared" si="127"/>
        <v/>
      </c>
      <c r="BA309" s="229">
        <f>MOD(SUM(E304:E310),12)</f>
        <v>4</v>
      </c>
    </row>
    <row r="310" spans="1:53" ht="15" thickBot="1" x14ac:dyDescent="0.35">
      <c r="A310" s="88"/>
      <c r="B310" s="66" t="s">
        <v>295</v>
      </c>
      <c r="C310" s="67" t="s">
        <v>322</v>
      </c>
      <c r="D310" s="102" t="s">
        <v>348</v>
      </c>
      <c r="E310" s="32">
        <v>4</v>
      </c>
      <c r="F310" s="32" t="s">
        <v>324</v>
      </c>
      <c r="G310" s="68" t="s">
        <v>285</v>
      </c>
      <c r="H310" s="69">
        <f t="shared" si="128"/>
        <v>261</v>
      </c>
      <c r="I310" s="70">
        <f t="shared" si="129"/>
        <v>264</v>
      </c>
      <c r="J310" s="73" t="str">
        <f t="shared" si="130"/>
        <v>--</v>
      </c>
      <c r="K310" s="32"/>
      <c r="L310" s="233"/>
      <c r="M310" s="278"/>
      <c r="N310" s="278"/>
      <c r="O310" s="278"/>
      <c r="P310" s="278"/>
      <c r="Q310" s="278"/>
      <c r="R310" s="278"/>
      <c r="S310" s="278"/>
      <c r="T310" s="278"/>
      <c r="U310" s="279"/>
      <c r="V310" s="103"/>
      <c r="W310" s="72"/>
      <c r="X310" s="72"/>
      <c r="Y310" s="72"/>
      <c r="Z310" s="45">
        <v>15</v>
      </c>
      <c r="AA310" s="77">
        <f t="shared" si="131"/>
        <v>169</v>
      </c>
      <c r="AB310" s="77">
        <f t="shared" si="132"/>
        <v>180</v>
      </c>
      <c r="AC310" s="72">
        <f t="shared" si="119"/>
        <v>1</v>
      </c>
      <c r="AD310" s="72">
        <f t="shared" si="120"/>
        <v>0</v>
      </c>
      <c r="AE310" s="109" t="str">
        <f t="shared" si="121"/>
        <v>261-264</v>
      </c>
      <c r="AF310" s="109" t="str">
        <f t="shared" si="122"/>
        <v>Y</v>
      </c>
      <c r="AG310" s="109" t="str">
        <f t="shared" si="123"/>
        <v>B</v>
      </c>
      <c r="AM310" s="109">
        <f t="shared" si="124"/>
        <v>0</v>
      </c>
      <c r="AN310" s="109">
        <f t="shared" si="125"/>
        <v>0</v>
      </c>
      <c r="AO310" s="109" t="str">
        <f t="shared" si="126"/>
        <v/>
      </c>
      <c r="AQ310" s="109" t="str">
        <f t="shared" si="127"/>
        <v/>
      </c>
      <c r="BA310" s="229">
        <f>MOD(SUM(E304:E311),12)</f>
        <v>8</v>
      </c>
    </row>
    <row r="311" spans="1:53" ht="15" thickBot="1" x14ac:dyDescent="0.35">
      <c r="A311" s="88"/>
      <c r="B311" s="66" t="s">
        <v>296</v>
      </c>
      <c r="C311" s="67" t="s">
        <v>322</v>
      </c>
      <c r="D311" s="102" t="s">
        <v>349</v>
      </c>
      <c r="E311" s="32">
        <v>4</v>
      </c>
      <c r="F311" s="32" t="s">
        <v>324</v>
      </c>
      <c r="G311" s="68" t="s">
        <v>285</v>
      </c>
      <c r="H311" s="69">
        <f t="shared" si="128"/>
        <v>257</v>
      </c>
      <c r="I311" s="70">
        <f t="shared" si="129"/>
        <v>260</v>
      </c>
      <c r="J311" s="73" t="str">
        <f t="shared" si="130"/>
        <v>--</v>
      </c>
      <c r="K311" s="32"/>
      <c r="L311" s="233"/>
      <c r="M311" s="278"/>
      <c r="N311" s="278"/>
      <c r="O311" s="278"/>
      <c r="P311" s="278"/>
      <c r="Q311" s="278"/>
      <c r="R311" s="278"/>
      <c r="S311" s="278"/>
      <c r="T311" s="278"/>
      <c r="U311" s="279"/>
      <c r="V311" s="103"/>
      <c r="W311" s="72"/>
      <c r="X311" s="72"/>
      <c r="Y311" s="72"/>
      <c r="Z311" s="45">
        <f>Z310+1</f>
        <v>16</v>
      </c>
      <c r="AA311" s="77">
        <f t="shared" si="131"/>
        <v>181</v>
      </c>
      <c r="AB311" s="77">
        <f t="shared" si="132"/>
        <v>192</v>
      </c>
      <c r="AC311" s="72">
        <f t="shared" si="119"/>
        <v>1</v>
      </c>
      <c r="AD311" s="72">
        <f t="shared" si="120"/>
        <v>0</v>
      </c>
      <c r="AE311" s="109" t="str">
        <f t="shared" si="121"/>
        <v>257-260</v>
      </c>
      <c r="AF311" s="109" t="str">
        <f t="shared" si="122"/>
        <v>Y</v>
      </c>
      <c r="AG311" s="109" t="str">
        <f t="shared" si="123"/>
        <v>B</v>
      </c>
      <c r="AM311" s="109">
        <f t="shared" si="124"/>
        <v>0</v>
      </c>
      <c r="AN311" s="109">
        <f t="shared" si="125"/>
        <v>0</v>
      </c>
      <c r="AO311" s="109" t="str">
        <f t="shared" si="126"/>
        <v/>
      </c>
      <c r="AQ311" s="109" t="str">
        <f t="shared" si="127"/>
        <v/>
      </c>
      <c r="BA311" s="229">
        <f>MOD(SUM(E304:E312),12)</f>
        <v>8</v>
      </c>
    </row>
    <row r="312" spans="1:53" ht="15" thickBot="1" x14ac:dyDescent="0.35">
      <c r="A312" s="88"/>
      <c r="B312" s="66" t="s">
        <v>297</v>
      </c>
      <c r="C312" s="67"/>
      <c r="D312" s="102"/>
      <c r="E312" s="32"/>
      <c r="F312" s="32"/>
      <c r="G312" s="68" t="s">
        <v>285</v>
      </c>
      <c r="H312" s="69">
        <f t="shared" si="128"/>
        <v>0</v>
      </c>
      <c r="I312" s="70">
        <f t="shared" si="129"/>
        <v>0</v>
      </c>
      <c r="J312" s="73" t="str">
        <f t="shared" si="130"/>
        <v>--</v>
      </c>
      <c r="K312" s="32"/>
      <c r="L312" s="233"/>
      <c r="M312" s="278"/>
      <c r="N312" s="278"/>
      <c r="O312" s="278"/>
      <c r="P312" s="278"/>
      <c r="Q312" s="278"/>
      <c r="R312" s="278"/>
      <c r="S312" s="278"/>
      <c r="T312" s="278"/>
      <c r="U312" s="27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8</v>
      </c>
    </row>
    <row r="313" spans="1:53" ht="15" thickBot="1" x14ac:dyDescent="0.35">
      <c r="A313" s="88"/>
      <c r="B313" s="66" t="s">
        <v>298</v>
      </c>
      <c r="C313" s="67"/>
      <c r="D313" s="102"/>
      <c r="E313" s="32"/>
      <c r="F313" s="32"/>
      <c r="G313" s="68" t="s">
        <v>285</v>
      </c>
      <c r="H313" s="69">
        <f t="shared" si="128"/>
        <v>0</v>
      </c>
      <c r="I313" s="70">
        <f t="shared" si="129"/>
        <v>0</v>
      </c>
      <c r="J313" s="73" t="str">
        <f t="shared" si="130"/>
        <v>--</v>
      </c>
      <c r="K313" s="32"/>
      <c r="L313" s="233"/>
      <c r="M313" s="278"/>
      <c r="N313" s="278"/>
      <c r="O313" s="278"/>
      <c r="P313" s="278"/>
      <c r="Q313" s="278"/>
      <c r="R313" s="278"/>
      <c r="S313" s="278"/>
      <c r="T313" s="278"/>
      <c r="U313" s="27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8</v>
      </c>
    </row>
    <row r="314" spans="1:53" ht="15" thickBot="1" x14ac:dyDescent="0.35">
      <c r="A314" s="88"/>
      <c r="B314" s="66" t="s">
        <v>299</v>
      </c>
      <c r="C314" s="67"/>
      <c r="D314" s="102"/>
      <c r="E314" s="32"/>
      <c r="F314" s="32"/>
      <c r="G314" s="68" t="s">
        <v>285</v>
      </c>
      <c r="H314" s="69">
        <f t="shared" si="128"/>
        <v>0</v>
      </c>
      <c r="I314" s="70">
        <f t="shared" si="129"/>
        <v>0</v>
      </c>
      <c r="J314" s="73" t="str">
        <f t="shared" si="130"/>
        <v>--</v>
      </c>
      <c r="K314" s="32"/>
      <c r="L314" s="233"/>
      <c r="M314" s="278"/>
      <c r="N314" s="278"/>
      <c r="O314" s="278"/>
      <c r="P314" s="278"/>
      <c r="Q314" s="278"/>
      <c r="R314" s="278"/>
      <c r="S314" s="278"/>
      <c r="T314" s="278"/>
      <c r="U314" s="27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8</v>
      </c>
    </row>
    <row r="315" spans="1:53" ht="15" thickBot="1" x14ac:dyDescent="0.35">
      <c r="A315" s="88"/>
      <c r="B315" s="66" t="s">
        <v>300</v>
      </c>
      <c r="C315" s="67"/>
      <c r="D315" s="102"/>
      <c r="E315" s="32"/>
      <c r="F315" s="32"/>
      <c r="G315" s="68" t="s">
        <v>285</v>
      </c>
      <c r="H315" s="69">
        <f t="shared" si="128"/>
        <v>0</v>
      </c>
      <c r="I315" s="70">
        <f t="shared" si="129"/>
        <v>0</v>
      </c>
      <c r="J315" s="73" t="str">
        <f t="shared" si="130"/>
        <v>--</v>
      </c>
      <c r="K315" s="32"/>
      <c r="L315" s="233"/>
      <c r="M315" s="278"/>
      <c r="N315" s="278"/>
      <c r="O315" s="278"/>
      <c r="P315" s="278"/>
      <c r="Q315" s="278"/>
      <c r="R315" s="278"/>
      <c r="S315" s="278"/>
      <c r="T315" s="278"/>
      <c r="U315" s="279"/>
      <c r="V315" s="103"/>
      <c r="W315" s="84">
        <f>Y315+1</f>
        <v>33</v>
      </c>
      <c r="X315" s="84"/>
      <c r="Y315" s="78">
        <f>SUM(E304:E315)</f>
        <v>32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8</v>
      </c>
    </row>
    <row r="316" spans="1:53" ht="15" thickBot="1" x14ac:dyDescent="0.35">
      <c r="A316" s="88"/>
      <c r="B316" s="66" t="s">
        <v>301</v>
      </c>
      <c r="C316" s="67"/>
      <c r="D316" s="102"/>
      <c r="E316" s="32"/>
      <c r="F316" s="32"/>
      <c r="G316" s="68" t="s">
        <v>285</v>
      </c>
      <c r="H316" s="69">
        <f t="shared" si="128"/>
        <v>0</v>
      </c>
      <c r="I316" s="70">
        <f t="shared" si="129"/>
        <v>0</v>
      </c>
      <c r="J316" s="73" t="str">
        <f t="shared" si="130"/>
        <v>--</v>
      </c>
      <c r="K316" s="32"/>
      <c r="L316" s="233"/>
      <c r="M316" s="278"/>
      <c r="N316" s="278"/>
      <c r="O316" s="278"/>
      <c r="P316" s="278"/>
      <c r="Q316" s="278"/>
      <c r="R316" s="278"/>
      <c r="S316" s="278"/>
      <c r="T316" s="278"/>
      <c r="U316" s="279"/>
      <c r="V316" s="103"/>
      <c r="W316" s="84">
        <f>Y316+1</f>
        <v>33</v>
      </c>
      <c r="X316" s="84"/>
      <c r="Y316" s="78">
        <f>SUM(E304:E316)</f>
        <v>32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8</v>
      </c>
    </row>
    <row r="317" spans="1:53" ht="15" thickBot="1" x14ac:dyDescent="0.35">
      <c r="A317" s="88"/>
      <c r="B317" s="66" t="s">
        <v>302</v>
      </c>
      <c r="C317" s="67"/>
      <c r="D317" s="102"/>
      <c r="E317" s="32"/>
      <c r="F317" s="32"/>
      <c r="G317" s="68" t="s">
        <v>285</v>
      </c>
      <c r="H317" s="69">
        <f t="shared" si="128"/>
        <v>0</v>
      </c>
      <c r="I317" s="70">
        <f t="shared" si="129"/>
        <v>0</v>
      </c>
      <c r="J317" s="73" t="str">
        <f t="shared" si="130"/>
        <v>--</v>
      </c>
      <c r="K317" s="32"/>
      <c r="L317" s="233"/>
      <c r="M317" s="278"/>
      <c r="N317" s="278"/>
      <c r="O317" s="278"/>
      <c r="P317" s="278"/>
      <c r="Q317" s="278"/>
      <c r="R317" s="278"/>
      <c r="S317" s="278"/>
      <c r="T317" s="278"/>
      <c r="U317" s="279"/>
      <c r="V317" s="103"/>
      <c r="W317" s="84">
        <f>Y317+1</f>
        <v>33</v>
      </c>
      <c r="X317" s="84"/>
      <c r="Y317" s="78">
        <f>SUM(E304:E317)</f>
        <v>32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8</v>
      </c>
    </row>
    <row r="318" spans="1:53" ht="15" thickBot="1" x14ac:dyDescent="0.35">
      <c r="A318" s="88"/>
      <c r="B318" s="66" t="s">
        <v>303</v>
      </c>
      <c r="C318" s="67"/>
      <c r="D318" s="102"/>
      <c r="E318" s="32"/>
      <c r="F318" s="32"/>
      <c r="G318" s="68" t="s">
        <v>285</v>
      </c>
      <c r="H318" s="69">
        <f t="shared" si="128"/>
        <v>0</v>
      </c>
      <c r="I318" s="70">
        <f t="shared" si="129"/>
        <v>0</v>
      </c>
      <c r="J318" s="73" t="str">
        <f t="shared" si="130"/>
        <v>--</v>
      </c>
      <c r="K318" s="32"/>
      <c r="L318" s="233"/>
      <c r="M318" s="278"/>
      <c r="N318" s="278"/>
      <c r="O318" s="278"/>
      <c r="P318" s="278"/>
      <c r="Q318" s="278"/>
      <c r="R318" s="278"/>
      <c r="S318" s="278"/>
      <c r="T318" s="278"/>
      <c r="U318" s="279"/>
      <c r="V318" s="103"/>
      <c r="W318" s="84">
        <f>Y318+1</f>
        <v>33</v>
      </c>
      <c r="X318" s="84"/>
      <c r="Y318" s="78">
        <f>SUM(E304:E318)</f>
        <v>32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8</v>
      </c>
    </row>
    <row r="319" spans="1:53" ht="15" thickBot="1" x14ac:dyDescent="0.35">
      <c r="A319" s="88"/>
      <c r="B319" s="66" t="s">
        <v>304</v>
      </c>
      <c r="C319" s="67"/>
      <c r="D319" s="102"/>
      <c r="E319" s="32"/>
      <c r="F319" s="32"/>
      <c r="G319" s="68" t="s">
        <v>285</v>
      </c>
      <c r="H319" s="69">
        <f t="shared" si="128"/>
        <v>0</v>
      </c>
      <c r="I319" s="70">
        <f t="shared" si="129"/>
        <v>0</v>
      </c>
      <c r="J319" s="73" t="str">
        <f t="shared" si="130"/>
        <v>--</v>
      </c>
      <c r="K319" s="32"/>
      <c r="L319" s="233"/>
      <c r="M319" s="278"/>
      <c r="N319" s="278"/>
      <c r="O319" s="278"/>
      <c r="P319" s="278"/>
      <c r="Q319" s="278"/>
      <c r="R319" s="278"/>
      <c r="S319" s="278"/>
      <c r="T319" s="278"/>
      <c r="U319" s="279"/>
      <c r="V319" s="103"/>
      <c r="W319" s="84">
        <f t="shared" ref="W319:W327" si="135">Y319+1</f>
        <v>33</v>
      </c>
      <c r="X319" s="84"/>
      <c r="Y319" s="78">
        <f>SUM(E304:E319)</f>
        <v>32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8</v>
      </c>
    </row>
    <row r="320" spans="1:53" ht="15" thickBot="1" x14ac:dyDescent="0.35">
      <c r="A320" s="88"/>
      <c r="B320" s="66" t="s">
        <v>305</v>
      </c>
      <c r="C320" s="67"/>
      <c r="D320" s="102"/>
      <c r="E320" s="32"/>
      <c r="F320" s="32"/>
      <c r="G320" s="68" t="s">
        <v>285</v>
      </c>
      <c r="H320" s="69">
        <f t="shared" si="128"/>
        <v>0</v>
      </c>
      <c r="I320" s="70">
        <f t="shared" si="129"/>
        <v>0</v>
      </c>
      <c r="J320" s="73" t="str">
        <f t="shared" si="130"/>
        <v>--</v>
      </c>
      <c r="K320" s="32"/>
      <c r="L320" s="233"/>
      <c r="M320" s="278"/>
      <c r="N320" s="278"/>
      <c r="O320" s="278"/>
      <c r="P320" s="278"/>
      <c r="Q320" s="278"/>
      <c r="R320" s="278"/>
      <c r="S320" s="278"/>
      <c r="T320" s="278"/>
      <c r="U320" s="279"/>
      <c r="V320" s="103"/>
      <c r="W320" s="84">
        <f t="shared" si="135"/>
        <v>33</v>
      </c>
      <c r="X320" s="84"/>
      <c r="Y320" s="78">
        <f>SUM(E304:E320)</f>
        <v>32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8</v>
      </c>
    </row>
    <row r="321" spans="1:53" ht="15" thickBot="1" x14ac:dyDescent="0.35">
      <c r="A321" s="88"/>
      <c r="B321" s="66" t="s">
        <v>306</v>
      </c>
      <c r="C321" s="67"/>
      <c r="D321" s="102"/>
      <c r="E321" s="32"/>
      <c r="F321" s="32"/>
      <c r="G321" s="68" t="s">
        <v>285</v>
      </c>
      <c r="H321" s="69">
        <f t="shared" si="128"/>
        <v>0</v>
      </c>
      <c r="I321" s="70">
        <f t="shared" si="129"/>
        <v>0</v>
      </c>
      <c r="J321" s="73" t="str">
        <f t="shared" si="130"/>
        <v>--</v>
      </c>
      <c r="K321" s="32"/>
      <c r="L321" s="233"/>
      <c r="M321" s="278"/>
      <c r="N321" s="278"/>
      <c r="O321" s="278"/>
      <c r="P321" s="278"/>
      <c r="Q321" s="278"/>
      <c r="R321" s="278"/>
      <c r="S321" s="278"/>
      <c r="T321" s="278"/>
      <c r="U321" s="279"/>
      <c r="V321" s="103"/>
      <c r="W321" s="84">
        <f t="shared" si="135"/>
        <v>33</v>
      </c>
      <c r="X321" s="84"/>
      <c r="Y321" s="78">
        <f>SUM(E304:E321)</f>
        <v>32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8</v>
      </c>
    </row>
    <row r="322" spans="1:53" ht="15" thickBot="1" x14ac:dyDescent="0.35">
      <c r="A322" s="88"/>
      <c r="B322" s="66" t="s">
        <v>307</v>
      </c>
      <c r="C322" s="67"/>
      <c r="D322" s="102"/>
      <c r="E322" s="32"/>
      <c r="F322" s="32"/>
      <c r="G322" s="68" t="s">
        <v>285</v>
      </c>
      <c r="H322" s="69">
        <f t="shared" si="128"/>
        <v>0</v>
      </c>
      <c r="I322" s="70">
        <f t="shared" si="129"/>
        <v>0</v>
      </c>
      <c r="J322" s="73" t="str">
        <f t="shared" si="130"/>
        <v>--</v>
      </c>
      <c r="K322" s="32"/>
      <c r="L322" s="233"/>
      <c r="M322" s="278"/>
      <c r="N322" s="278"/>
      <c r="O322" s="278"/>
      <c r="P322" s="278"/>
      <c r="Q322" s="278"/>
      <c r="R322" s="278"/>
      <c r="S322" s="278"/>
      <c r="T322" s="278"/>
      <c r="U322" s="279"/>
      <c r="V322" s="103"/>
      <c r="W322" s="84">
        <f t="shared" si="135"/>
        <v>33</v>
      </c>
      <c r="X322" s="84"/>
      <c r="Y322" s="78">
        <f>SUM(E304:E322)</f>
        <v>32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8</v>
      </c>
    </row>
    <row r="323" spans="1:53" ht="15" thickBot="1" x14ac:dyDescent="0.35">
      <c r="A323" s="88"/>
      <c r="B323" s="66" t="s">
        <v>308</v>
      </c>
      <c r="C323" s="67"/>
      <c r="D323" s="102"/>
      <c r="E323" s="32"/>
      <c r="F323" s="32"/>
      <c r="G323" s="68" t="s">
        <v>285</v>
      </c>
      <c r="H323" s="69">
        <f t="shared" si="128"/>
        <v>0</v>
      </c>
      <c r="I323" s="70">
        <f t="shared" si="129"/>
        <v>0</v>
      </c>
      <c r="J323" s="73" t="str">
        <f t="shared" si="130"/>
        <v>--</v>
      </c>
      <c r="K323" s="32"/>
      <c r="L323" s="233"/>
      <c r="M323" s="278"/>
      <c r="N323" s="278"/>
      <c r="O323" s="278"/>
      <c r="P323" s="278"/>
      <c r="Q323" s="278"/>
      <c r="R323" s="278"/>
      <c r="S323" s="278"/>
      <c r="T323" s="278"/>
      <c r="U323" s="279"/>
      <c r="V323" s="103"/>
      <c r="W323" s="84">
        <f t="shared" si="135"/>
        <v>33</v>
      </c>
      <c r="X323" s="84"/>
      <c r="Y323" s="78">
        <f>SUM(E304:E323)</f>
        <v>32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8</v>
      </c>
    </row>
    <row r="324" spans="1:53" ht="15" thickBot="1" x14ac:dyDescent="0.35">
      <c r="A324" s="88"/>
      <c r="B324" s="66" t="s">
        <v>309</v>
      </c>
      <c r="C324" s="67"/>
      <c r="D324" s="102"/>
      <c r="E324" s="32"/>
      <c r="F324" s="32"/>
      <c r="G324" s="68" t="s">
        <v>285</v>
      </c>
      <c r="H324" s="69">
        <f t="shared" si="128"/>
        <v>0</v>
      </c>
      <c r="I324" s="70">
        <f t="shared" si="129"/>
        <v>0</v>
      </c>
      <c r="J324" s="73" t="str">
        <f t="shared" si="130"/>
        <v>--</v>
      </c>
      <c r="K324" s="32"/>
      <c r="L324" s="233"/>
      <c r="M324" s="278"/>
      <c r="N324" s="278"/>
      <c r="O324" s="278"/>
      <c r="P324" s="278"/>
      <c r="Q324" s="278"/>
      <c r="R324" s="278"/>
      <c r="S324" s="278"/>
      <c r="T324" s="278"/>
      <c r="U324" s="279"/>
      <c r="V324" s="103"/>
      <c r="W324" s="84">
        <f t="shared" si="135"/>
        <v>33</v>
      </c>
      <c r="X324" s="84"/>
      <c r="Y324" s="78">
        <f>SUM(E304:E324)</f>
        <v>32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8</v>
      </c>
    </row>
    <row r="325" spans="1:53" ht="15" thickBot="1" x14ac:dyDescent="0.35">
      <c r="A325" s="88"/>
      <c r="B325" s="66" t="s">
        <v>310</v>
      </c>
      <c r="C325" s="67"/>
      <c r="D325" s="102"/>
      <c r="E325" s="32"/>
      <c r="F325" s="32"/>
      <c r="G325" s="68" t="s">
        <v>285</v>
      </c>
      <c r="H325" s="69">
        <f t="shared" si="128"/>
        <v>0</v>
      </c>
      <c r="I325" s="70">
        <f t="shared" si="129"/>
        <v>0</v>
      </c>
      <c r="J325" s="73" t="str">
        <f t="shared" si="130"/>
        <v>--</v>
      </c>
      <c r="K325" s="32"/>
      <c r="L325" s="233"/>
      <c r="M325" s="278"/>
      <c r="N325" s="278"/>
      <c r="O325" s="278"/>
      <c r="P325" s="278"/>
      <c r="Q325" s="278"/>
      <c r="R325" s="278"/>
      <c r="S325" s="278"/>
      <c r="T325" s="278"/>
      <c r="U325" s="279"/>
      <c r="V325" s="103"/>
      <c r="W325" s="84">
        <f t="shared" si="135"/>
        <v>33</v>
      </c>
      <c r="X325" s="84"/>
      <c r="Y325" s="78">
        <f>SUM(E304:E325)</f>
        <v>32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8</v>
      </c>
    </row>
    <row r="326" spans="1:53" ht="15" thickBot="1" x14ac:dyDescent="0.35">
      <c r="A326" s="88"/>
      <c r="B326" s="66" t="s">
        <v>311</v>
      </c>
      <c r="C326" s="67"/>
      <c r="D326" s="102"/>
      <c r="E326" s="32"/>
      <c r="F326" s="32"/>
      <c r="G326" s="68" t="s">
        <v>285</v>
      </c>
      <c r="H326" s="69">
        <f t="shared" si="128"/>
        <v>0</v>
      </c>
      <c r="I326" s="70">
        <f t="shared" si="129"/>
        <v>0</v>
      </c>
      <c r="J326" s="73" t="str">
        <f t="shared" si="130"/>
        <v>--</v>
      </c>
      <c r="K326" s="32"/>
      <c r="L326" s="233"/>
      <c r="M326" s="278"/>
      <c r="N326" s="278"/>
      <c r="O326" s="278"/>
      <c r="P326" s="278"/>
      <c r="Q326" s="278"/>
      <c r="R326" s="278"/>
      <c r="S326" s="278"/>
      <c r="T326" s="278"/>
      <c r="U326" s="279"/>
      <c r="V326" s="103"/>
      <c r="W326" s="84">
        <f t="shared" si="135"/>
        <v>33</v>
      </c>
      <c r="X326" s="84"/>
      <c r="Y326" s="78">
        <f>SUM(E304:E326)</f>
        <v>32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8</v>
      </c>
    </row>
    <row r="327" spans="1:53" ht="15" thickBot="1" x14ac:dyDescent="0.35">
      <c r="A327" s="88"/>
      <c r="B327" s="66" t="s">
        <v>312</v>
      </c>
      <c r="C327" s="67"/>
      <c r="D327" s="102"/>
      <c r="E327" s="32"/>
      <c r="F327" s="32"/>
      <c r="G327" s="68" t="s">
        <v>285</v>
      </c>
      <c r="H327" s="69">
        <f t="shared" si="128"/>
        <v>0</v>
      </c>
      <c r="I327" s="70">
        <f t="shared" si="129"/>
        <v>0</v>
      </c>
      <c r="J327" s="73" t="str">
        <f t="shared" si="130"/>
        <v>--</v>
      </c>
      <c r="K327" s="32"/>
      <c r="L327" s="233"/>
      <c r="M327" s="278"/>
      <c r="N327" s="278"/>
      <c r="O327" s="278"/>
      <c r="P327" s="278"/>
      <c r="Q327" s="278"/>
      <c r="R327" s="278"/>
      <c r="S327" s="278"/>
      <c r="T327" s="278"/>
      <c r="U327" s="279"/>
      <c r="V327" s="103"/>
      <c r="W327" s="84">
        <f t="shared" si="135"/>
        <v>33</v>
      </c>
      <c r="X327" s="84"/>
      <c r="Y327" s="78">
        <f>SUM(E304:E327)</f>
        <v>32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8</v>
      </c>
    </row>
    <row r="328" spans="1:53" ht="15" thickBot="1" x14ac:dyDescent="0.35">
      <c r="A328" s="88"/>
      <c r="B328" s="66" t="s">
        <v>313</v>
      </c>
      <c r="C328" s="67"/>
      <c r="D328" s="102"/>
      <c r="E328" s="32"/>
      <c r="F328" s="32"/>
      <c r="G328" s="68" t="s">
        <v>285</v>
      </c>
      <c r="H328" s="69">
        <f t="shared" si="128"/>
        <v>0</v>
      </c>
      <c r="I328" s="70">
        <f t="shared" si="129"/>
        <v>0</v>
      </c>
      <c r="J328" s="73" t="str">
        <f t="shared" si="130"/>
        <v>--</v>
      </c>
      <c r="K328" s="32"/>
      <c r="L328" s="234"/>
      <c r="M328" s="278"/>
      <c r="N328" s="278"/>
      <c r="O328" s="278"/>
      <c r="P328" s="278"/>
      <c r="Q328" s="278"/>
      <c r="R328" s="278"/>
      <c r="S328" s="278"/>
      <c r="T328" s="278"/>
      <c r="U328" s="279"/>
      <c r="V328" s="103"/>
      <c r="W328" s="72"/>
      <c r="X328" s="72"/>
      <c r="Y328" s="78">
        <f>SUM(E304:E328)</f>
        <v>32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2" thickBot="1" x14ac:dyDescent="0.35">
      <c r="A329" s="88"/>
      <c r="B329" s="319" t="s">
        <v>350</v>
      </c>
      <c r="C329" s="320"/>
      <c r="D329" s="79"/>
      <c r="E329" s="80"/>
      <c r="F329" s="80"/>
      <c r="G329" s="81"/>
      <c r="H329" s="192"/>
      <c r="I329" s="192"/>
      <c r="J329" s="192"/>
      <c r="K329" s="82"/>
      <c r="L329" s="319" t="s">
        <v>319</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17</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2" thickBot="1" x14ac:dyDescent="0.35">
      <c r="A330" s="88"/>
      <c r="B330" s="319" t="s">
        <v>320</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 thickBot="1"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5">
      <c r="A333" s="88"/>
      <c r="B333" s="85" t="s">
        <v>351</v>
      </c>
      <c r="C333" s="25"/>
      <c r="D333" s="25"/>
      <c r="E333" s="25"/>
      <c r="F333" s="88"/>
      <c r="G333" s="25"/>
      <c r="H333" s="25"/>
      <c r="I333" s="87"/>
      <c r="J333" s="26"/>
      <c r="K333" s="25"/>
      <c r="L333" s="25"/>
      <c r="M333" s="196" t="s">
        <v>217</v>
      </c>
      <c r="N333" s="196" t="s">
        <v>218</v>
      </c>
      <c r="O333" s="196" t="s">
        <v>219</v>
      </c>
      <c r="P333" s="196" t="s">
        <v>220</v>
      </c>
      <c r="Q333" s="196" t="s">
        <v>221</v>
      </c>
      <c r="R333" s="196" t="s">
        <v>222</v>
      </c>
      <c r="S333" s="196" t="s">
        <v>223</v>
      </c>
      <c r="T333" s="196" t="s">
        <v>224</v>
      </c>
      <c r="U333" s="196" t="s">
        <v>225</v>
      </c>
      <c r="V333" s="196" t="s">
        <v>226</v>
      </c>
      <c r="W333" s="113" t="s">
        <v>227</v>
      </c>
      <c r="X333" s="196" t="s">
        <v>228</v>
      </c>
      <c r="Y333" s="25"/>
      <c r="Z333" s="25"/>
      <c r="AA333" s="25"/>
      <c r="AB333" s="25"/>
      <c r="AC333" s="25"/>
      <c r="AD333" s="25"/>
      <c r="BA333" s="226"/>
    </row>
    <row r="334" spans="1:53" ht="15.6" thickTop="1" thickBot="1" x14ac:dyDescent="0.35">
      <c r="A334" s="88"/>
      <c r="B334" s="312" t="s">
        <v>229</v>
      </c>
      <c r="C334" s="313"/>
      <c r="D334" s="314" t="s">
        <v>230</v>
      </c>
      <c r="E334" s="305"/>
      <c r="F334" s="88"/>
      <c r="G334" s="315" t="s">
        <v>231</v>
      </c>
      <c r="H334" s="316"/>
      <c r="I334" s="28">
        <f>SUM(E345:E369)</f>
        <v>36</v>
      </c>
      <c r="J334" s="317" t="s">
        <v>232</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233</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234</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5">
      <c r="A335" s="88"/>
      <c r="B335" s="29" t="s">
        <v>235</v>
      </c>
      <c r="C335" s="30">
        <v>0</v>
      </c>
      <c r="D335" s="31" t="s">
        <v>236</v>
      </c>
      <c r="E335" s="66" t="str">
        <f>TEXT(IF('Cable Calculator'!AR7="","",'Cable Calculator'!AR7),)</f>
        <v>EUC</v>
      </c>
      <c r="F335" s="88"/>
      <c r="G335" s="304" t="s">
        <v>237</v>
      </c>
      <c r="H335" s="305"/>
      <c r="I335" s="33">
        <f>E336-I334</f>
        <v>12</v>
      </c>
      <c r="J335" s="289" t="s">
        <v>238</v>
      </c>
      <c r="K335" s="290"/>
      <c r="L335" s="34">
        <f>I339</f>
        <v>325</v>
      </c>
      <c r="M335" s="196">
        <v>4</v>
      </c>
      <c r="N335" s="35">
        <f>SUM(AI335,AI346)</f>
        <v>0</v>
      </c>
      <c r="O335" s="35">
        <v>0</v>
      </c>
      <c r="P335" s="35">
        <f>SUM(AJ335,AJ346)</f>
        <v>0</v>
      </c>
      <c r="Q335" s="35">
        <v>0</v>
      </c>
      <c r="R335" s="35">
        <f>COUNTIFS($E345:$E369,"4",$F345:$F369,"Pole",$C345:$C369,"FST")</f>
        <v>2</v>
      </c>
      <c r="S335" s="35">
        <f>SUM(AL335,AK346)</f>
        <v>0</v>
      </c>
      <c r="T335" s="35">
        <v>0</v>
      </c>
      <c r="U335" s="35">
        <f>SUM(AK335,AL346)</f>
        <v>9</v>
      </c>
      <c r="V335" s="35">
        <v>0</v>
      </c>
      <c r="W335" s="34">
        <f>COUNTIFS($E345:$E369,"4",$F345:$F369,"HH",$C345:$C369,"FST")</f>
        <v>7</v>
      </c>
      <c r="X335" s="35">
        <f>COUNTIFS($E345:$E369,"4",$F345:$F369,"Ped",$C345:$C369,"FST")</f>
        <v>0</v>
      </c>
      <c r="Y335" s="25"/>
      <c r="Z335" s="298" t="s">
        <v>239</v>
      </c>
      <c r="AA335" s="300" t="s">
        <v>240</v>
      </c>
      <c r="AB335" s="301"/>
      <c r="AC335" s="25"/>
      <c r="AD335" s="25"/>
      <c r="AH335" s="109">
        <v>4</v>
      </c>
      <c r="AI335" s="109" t="str">
        <f>IF($E335="SS",COUNTIFS($C345:$C369,"FST",$E345:$E369,"4"),"0")</f>
        <v>0</v>
      </c>
      <c r="AJ335" s="109" t="str">
        <f>IF($E335="RPX",COUNTIFS($C345:$C369,"FST",$E345:$E369,"4"),"0")</f>
        <v>0</v>
      </c>
      <c r="AK335" s="109">
        <f>IF($E335="EUC",COUNTIFS($C345:$C369,"FST",$E345:$E369,"4"),"0")</f>
        <v>9</v>
      </c>
      <c r="AL335" s="109" t="str">
        <f>IF($E335="RPX-T",COUNTIFS($C345:$C369,"FST",$E345:$E369,"4"),"0")</f>
        <v>0</v>
      </c>
      <c r="AS335" s="109" t="str">
        <f>IF(AND(E340="Y",E336=24,E337=0),"Y","N")</f>
        <v>N</v>
      </c>
      <c r="AT335" s="110" t="s">
        <v>241</v>
      </c>
      <c r="AU335" s="109">
        <f>COUNTIFS($E335,"SS",$AS335,"Y")</f>
        <v>0</v>
      </c>
      <c r="AV335" s="111">
        <f>COUNTIFS($E335,"RPX",$AS335,"Y")</f>
        <v>0</v>
      </c>
      <c r="AW335" s="111">
        <f>COUNTIFS($E335,"EUC",$AS335,"Y")</f>
        <v>0</v>
      </c>
      <c r="AX335" s="109">
        <f>COUNTIFS($E335,"RPX-T",$AS335,"Y")</f>
        <v>0</v>
      </c>
      <c r="BA335" s="227"/>
    </row>
    <row r="336" spans="1:53" ht="15.6" thickTop="1" thickBot="1" x14ac:dyDescent="0.35">
      <c r="A336" s="88"/>
      <c r="B336" s="36" t="s">
        <v>242</v>
      </c>
      <c r="C336" s="37">
        <v>0</v>
      </c>
      <c r="D336" s="38" t="s">
        <v>243</v>
      </c>
      <c r="E336" s="32">
        <v>48</v>
      </c>
      <c r="F336" s="88"/>
      <c r="G336" s="291" t="s">
        <v>244</v>
      </c>
      <c r="H336" s="292"/>
      <c r="I336" s="35">
        <f>IF(E336=0,0,12-(MOD(I334,12)))</f>
        <v>12</v>
      </c>
      <c r="J336" s="289" t="s">
        <v>245</v>
      </c>
      <c r="K336" s="290"/>
      <c r="L336" s="39">
        <f>I340-I334</f>
        <v>324</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246</v>
      </c>
      <c r="AU336" s="109">
        <f>COUNTIFS($E335,"SS",$AS336,"Y")</f>
        <v>0</v>
      </c>
      <c r="AV336" s="108">
        <f>COUNTIFS($E335,"RPX",$AS336,"Y")</f>
        <v>0</v>
      </c>
      <c r="AW336" s="108">
        <f>COUNTIFS($E335,"EUC",$AS336,"Y")</f>
        <v>0</v>
      </c>
      <c r="AX336" s="109">
        <f>COUNTIFS($E335,"RPX-T",$AS336,"Y")</f>
        <v>0</v>
      </c>
      <c r="BA336" s="227"/>
    </row>
    <row r="337" spans="1:53" ht="16.5" customHeight="1" thickTop="1" thickBot="1" x14ac:dyDescent="0.35">
      <c r="A337" s="88"/>
      <c r="B337" s="40" t="s">
        <v>247</v>
      </c>
      <c r="C337" s="30">
        <v>0</v>
      </c>
      <c r="D337" s="41" t="s">
        <v>248</v>
      </c>
      <c r="E337" s="42">
        <v>12</v>
      </c>
      <c r="F337" s="88"/>
      <c r="G337" s="321" t="s">
        <v>249</v>
      </c>
      <c r="H337" s="43" t="s">
        <v>250</v>
      </c>
      <c r="I337" s="35">
        <f>IF(E337&lt;&gt;0,1,0)</f>
        <v>1</v>
      </c>
      <c r="J337" s="291" t="s">
        <v>251</v>
      </c>
      <c r="K337" s="292"/>
      <c r="L337" s="44">
        <f>'Cable Calculator'!AR3</f>
        <v>1673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252</v>
      </c>
      <c r="AU337" s="109">
        <f>COUNTIFS($E335,"SS",$AS337,"Y")</f>
        <v>0</v>
      </c>
      <c r="AV337" s="108">
        <f>COUNTIFS($E335,"RPX",$AS337,"Y")</f>
        <v>0</v>
      </c>
      <c r="AW337" s="108">
        <f>COUNTIFS($E335,"EUC",$AS337,"Y")</f>
        <v>0</v>
      </c>
      <c r="AX337" s="109">
        <f>COUNTIFS($E335,"RPX-T",$AS337,"Y")</f>
        <v>0</v>
      </c>
      <c r="BA337" s="227"/>
    </row>
    <row r="338" spans="1:53" ht="15.6" thickTop="1" thickBot="1" x14ac:dyDescent="0.35">
      <c r="A338" s="88"/>
      <c r="B338" s="29" t="s">
        <v>253</v>
      </c>
      <c r="C338" s="37">
        <v>0</v>
      </c>
      <c r="D338" s="41" t="s">
        <v>254</v>
      </c>
      <c r="E338" s="42">
        <v>325</v>
      </c>
      <c r="F338" s="88"/>
      <c r="G338" s="322"/>
      <c r="H338" s="47" t="s">
        <v>255</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5">
      <c r="A339" s="88"/>
      <c r="B339" s="36" t="s">
        <v>256</v>
      </c>
      <c r="C339" s="30">
        <v>0</v>
      </c>
      <c r="D339" s="49" t="s">
        <v>257</v>
      </c>
      <c r="E339" s="50">
        <f>E336/12</f>
        <v>4</v>
      </c>
      <c r="F339" s="88"/>
      <c r="G339" s="321" t="s">
        <v>258</v>
      </c>
      <c r="H339" s="51" t="s">
        <v>259</v>
      </c>
      <c r="I339" s="112">
        <f>E338</f>
        <v>325</v>
      </c>
      <c r="J339" s="323" t="s">
        <v>260</v>
      </c>
      <c r="K339" s="324"/>
      <c r="L339" s="325"/>
      <c r="M339" s="52" t="s">
        <v>261</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5.6" thickTop="1" thickBot="1" x14ac:dyDescent="0.35">
      <c r="A340" s="88"/>
      <c r="B340" s="36" t="s">
        <v>262</v>
      </c>
      <c r="C340" s="30">
        <v>0</v>
      </c>
      <c r="D340" s="31" t="s">
        <v>263</v>
      </c>
      <c r="E340" s="101" t="str">
        <f>IF('Cable Calculator'!AR5="","",'Cable Calculator'!AR5)</f>
        <v>N</v>
      </c>
      <c r="F340" s="88"/>
      <c r="G340" s="322"/>
      <c r="H340" s="47" t="s">
        <v>264</v>
      </c>
      <c r="I340" s="35">
        <f>IF(E338="","0",IF(AND(E335="EUC",E336=432), I339+(203-E337),IF(E338=0,0,(E338+(E336-E337)-1))))</f>
        <v>360</v>
      </c>
      <c r="J340" s="286" t="str">
        <f>IFERROR(IF(OR(E335="EUC",E335="SS"),"---",IF(OR(P334,S334),"NO 2F Tethers for RPX!",IF(OR(P336,S336),"NO 6F Tethers for RPX!","---"))),"---")</f>
        <v>---</v>
      </c>
      <c r="K340" s="287"/>
      <c r="L340" s="288"/>
      <c r="M340" s="286" t="str">
        <f>IF(E337&gt;60,"Dead Count &gt;60: Consider Downsize","---")</f>
        <v>---</v>
      </c>
      <c r="N340" s="287"/>
      <c r="O340" s="287"/>
      <c r="P340" s="287"/>
      <c r="Q340" s="287"/>
      <c r="R340" s="287"/>
      <c r="S340" s="287"/>
      <c r="T340" s="287"/>
      <c r="U340" s="288"/>
      <c r="V340" s="100"/>
      <c r="W340" s="54">
        <f>SUM(P340:U340)</f>
        <v>0</v>
      </c>
      <c r="X340" s="54"/>
      <c r="Y340" s="25"/>
      <c r="Z340" s="45">
        <v>4</v>
      </c>
      <c r="AA340" s="46">
        <v>37</v>
      </c>
      <c r="AB340" s="46">
        <v>48</v>
      </c>
      <c r="AC340" s="25"/>
      <c r="AD340" s="25"/>
      <c r="BA340" s="227"/>
    </row>
    <row r="341" spans="1:53" ht="15.6" thickTop="1" thickBot="1" x14ac:dyDescent="0.35">
      <c r="A341" s="88"/>
      <c r="B341" s="55" t="s">
        <v>265</v>
      </c>
      <c r="C341" s="56">
        <f>SUM(C335:C340)+I334</f>
        <v>36</v>
      </c>
      <c r="D341" s="31" t="s">
        <v>266</v>
      </c>
      <c r="E341" s="101" t="str">
        <f>IF(AS335="Y","DBL",IF(AS336="Y","TRPL",IF(AS337="Y","QUAD","")))</f>
        <v/>
      </c>
      <c r="F341" s="88"/>
      <c r="G341" s="192"/>
      <c r="H341" s="57"/>
      <c r="I341" s="192"/>
      <c r="J341" s="286"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7"/>
      <c r="L341" s="288"/>
      <c r="M341" s="286" t="str">
        <f>IF(AND(OR(E335="SS",E335="RPX",E335="EUC",E335="RPX-T"),(OR(C345="",C345="Field SPL"))),"Cannot have FlexNap cables without tethers","---")</f>
        <v>---</v>
      </c>
      <c r="N341" s="287"/>
      <c r="O341" s="287"/>
      <c r="P341" s="287"/>
      <c r="Q341" s="287"/>
      <c r="R341" s="287"/>
      <c r="S341" s="287"/>
      <c r="T341" s="287"/>
      <c r="U341" s="288"/>
      <c r="V341" s="25"/>
      <c r="W341" s="58"/>
      <c r="X341" s="58"/>
      <c r="Y341" s="25"/>
      <c r="Z341" s="45">
        <v>5</v>
      </c>
      <c r="AA341" s="46">
        <v>49</v>
      </c>
      <c r="AB341" s="46">
        <v>60</v>
      </c>
      <c r="AC341" s="25"/>
      <c r="AD341" s="25"/>
      <c r="BA341" s="227"/>
    </row>
    <row r="342" spans="1:53" ht="15.6" thickTop="1" thickBot="1" x14ac:dyDescent="0.35">
      <c r="A342" s="88"/>
      <c r="B342" s="59"/>
      <c r="C342" s="60"/>
      <c r="D342" s="61"/>
      <c r="E342" s="62"/>
      <c r="F342" s="88"/>
      <c r="G342" s="63"/>
      <c r="H342" s="64"/>
      <c r="I342" s="63"/>
      <c r="J342" s="286" t="str">
        <f>IF(AND(OR(E335="RPX", E335="RPX-T", E335="SS"),E336=216),"NO 216 For RPX, RPX-T, OR SS CABLE","---")</f>
        <v>---</v>
      </c>
      <c r="K342" s="287"/>
      <c r="L342" s="288"/>
      <c r="M342" s="286" t="str" cm="1">
        <f t="array" ref="M342">IF(AND(E335="",OR(C345:C369="FST",C345:C369="REV T",C345:C369="DBL REV",C345:C369="TPL REV", C345:C369="QD REV")),"Non-FlexNap cables cannot have tethers","---")</f>
        <v>---</v>
      </c>
      <c r="N342" s="287"/>
      <c r="O342" s="287"/>
      <c r="P342" s="287"/>
      <c r="Q342" s="287"/>
      <c r="R342" s="287"/>
      <c r="S342" s="287"/>
      <c r="T342" s="287"/>
      <c r="U342" s="288"/>
      <c r="V342" s="25"/>
      <c r="W342" s="58"/>
      <c r="X342" s="58"/>
      <c r="Y342" s="25"/>
      <c r="Z342" s="45">
        <v>6</v>
      </c>
      <c r="AA342" s="65">
        <v>61</v>
      </c>
      <c r="AB342" s="65">
        <v>72</v>
      </c>
      <c r="AC342" s="25"/>
      <c r="AD342" s="25"/>
      <c r="BA342" s="226"/>
    </row>
    <row r="343" spans="1:53" ht="15.75" customHeight="1" thickBot="1" x14ac:dyDescent="0.35">
      <c r="A343" s="88"/>
      <c r="B343" s="321" t="s">
        <v>267</v>
      </c>
      <c r="C343" s="293" t="s">
        <v>268</v>
      </c>
      <c r="D343" s="293" t="s">
        <v>269</v>
      </c>
      <c r="E343" s="306" t="s">
        <v>270</v>
      </c>
      <c r="F343" s="293" t="s">
        <v>271</v>
      </c>
      <c r="G343" s="308" t="s">
        <v>272</v>
      </c>
      <c r="H343" s="308" t="s">
        <v>273</v>
      </c>
      <c r="I343" s="308" t="s">
        <v>274</v>
      </c>
      <c r="J343" s="310" t="s">
        <v>275</v>
      </c>
      <c r="K343" s="293" t="s">
        <v>276</v>
      </c>
      <c r="L343" s="280" t="s">
        <v>277</v>
      </c>
      <c r="M343" s="282" t="s">
        <v>278</v>
      </c>
      <c r="N343" s="282"/>
      <c r="O343" s="282"/>
      <c r="P343" s="282"/>
      <c r="Q343" s="282"/>
      <c r="R343" s="282"/>
      <c r="S343" s="282"/>
      <c r="T343" s="282"/>
      <c r="U343" s="283"/>
      <c r="V343" s="107"/>
      <c r="W343" s="72"/>
      <c r="X343" s="72"/>
      <c r="Y343" s="72"/>
      <c r="Z343" s="45">
        <v>7</v>
      </c>
      <c r="AA343" s="65">
        <v>73</v>
      </c>
      <c r="AB343" s="65">
        <v>84</v>
      </c>
      <c r="AC343" s="25"/>
      <c r="AD343" s="25"/>
      <c r="BA343" s="228"/>
    </row>
    <row r="344" spans="1:53" ht="15" thickBot="1" x14ac:dyDescent="0.35">
      <c r="A344" s="88"/>
      <c r="B344" s="322"/>
      <c r="C344" s="294"/>
      <c r="D344" s="294"/>
      <c r="E344" s="307"/>
      <c r="F344" s="294"/>
      <c r="G344" s="309"/>
      <c r="H344" s="309"/>
      <c r="I344" s="309"/>
      <c r="J344" s="311"/>
      <c r="K344" s="294"/>
      <c r="L344" s="281"/>
      <c r="M344" s="284"/>
      <c r="N344" s="284"/>
      <c r="O344" s="284"/>
      <c r="P344" s="284"/>
      <c r="Q344" s="284"/>
      <c r="R344" s="284"/>
      <c r="S344" s="284"/>
      <c r="T344" s="284"/>
      <c r="U344" s="285"/>
      <c r="V344" s="107"/>
      <c r="W344" s="72"/>
      <c r="X344" s="72"/>
      <c r="Y344" s="72"/>
      <c r="Z344" s="45">
        <v>8</v>
      </c>
      <c r="AA344" s="46">
        <v>85</v>
      </c>
      <c r="AB344" s="46">
        <v>96</v>
      </c>
      <c r="AC344" s="25"/>
      <c r="AD344" s="25"/>
      <c r="AI344" s="109" t="s">
        <v>279</v>
      </c>
      <c r="AJ344" s="109" t="s">
        <v>280</v>
      </c>
      <c r="AK344" s="109" t="s">
        <v>281</v>
      </c>
      <c r="AL344" s="109" t="s">
        <v>282</v>
      </c>
      <c r="BA344" s="228"/>
    </row>
    <row r="345" spans="1:53" ht="15" thickBot="1" x14ac:dyDescent="0.35">
      <c r="A345" s="88"/>
      <c r="B345" s="66" t="s">
        <v>283</v>
      </c>
      <c r="C345" s="67" t="s">
        <v>322</v>
      </c>
      <c r="D345" s="102" t="s">
        <v>352</v>
      </c>
      <c r="E345" s="32">
        <v>4</v>
      </c>
      <c r="F345" s="32" t="s">
        <v>339</v>
      </c>
      <c r="G345" s="68" t="s">
        <v>285</v>
      </c>
      <c r="H345" s="69">
        <f>IF(I345=0,0,I345-(E345-1))</f>
        <v>357</v>
      </c>
      <c r="I345" s="70">
        <f>IF(E345=0,0,I340)</f>
        <v>360</v>
      </c>
      <c r="J345" s="71" t="s">
        <v>286</v>
      </c>
      <c r="K345" s="32"/>
      <c r="L345" s="233"/>
      <c r="M345" s="278"/>
      <c r="N345" s="278"/>
      <c r="O345" s="278"/>
      <c r="P345" s="278"/>
      <c r="Q345" s="278"/>
      <c r="R345" s="278"/>
      <c r="S345" s="278"/>
      <c r="T345" s="278"/>
      <c r="U345" s="279"/>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357-360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 thickBot="1" x14ac:dyDescent="0.35">
      <c r="A346" s="88"/>
      <c r="B346" s="66" t="s">
        <v>288</v>
      </c>
      <c r="C346" s="67" t="s">
        <v>322</v>
      </c>
      <c r="D346" s="102" t="s">
        <v>353</v>
      </c>
      <c r="E346" s="32">
        <v>4</v>
      </c>
      <c r="F346" s="32" t="s">
        <v>339</v>
      </c>
      <c r="G346" s="68" t="s">
        <v>285</v>
      </c>
      <c r="H346" s="69">
        <f t="shared" ref="H346:H369" si="145">IF(E346=0,0,I346-(E346-1))</f>
        <v>353</v>
      </c>
      <c r="I346" s="70">
        <f t="shared" ref="I346:I369" si="146">IF(E346=0,0,H345-1)</f>
        <v>356</v>
      </c>
      <c r="J346" s="73" t="str">
        <f>IF(C346="","--",IF(AND(C346&lt;&gt;"FST",C346&lt;&gt;"TCF",BA345&lt;&gt;0),BA345,"--"))</f>
        <v>--</v>
      </c>
      <c r="K346" s="32"/>
      <c r="L346" s="233"/>
      <c r="M346" s="278"/>
      <c r="N346" s="278"/>
      <c r="O346" s="278"/>
      <c r="P346" s="278"/>
      <c r="Q346" s="278"/>
      <c r="R346" s="278"/>
      <c r="S346" s="278"/>
      <c r="T346" s="278"/>
      <c r="U346" s="279"/>
      <c r="V346" s="103"/>
      <c r="W346" s="72"/>
      <c r="X346" s="72"/>
      <c r="Y346" s="72"/>
      <c r="Z346" s="45">
        <v>10</v>
      </c>
      <c r="AA346" s="46">
        <v>109</v>
      </c>
      <c r="AB346" s="46">
        <v>120</v>
      </c>
      <c r="AC346" s="72">
        <f t="shared" si="136"/>
        <v>1</v>
      </c>
      <c r="AD346" s="72">
        <f t="shared" si="137"/>
        <v>0</v>
      </c>
      <c r="AE346" s="109" t="str">
        <f t="shared" si="138"/>
        <v>353-356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 thickBot="1" x14ac:dyDescent="0.35">
      <c r="A347" s="88"/>
      <c r="B347" s="74" t="s">
        <v>290</v>
      </c>
      <c r="C347" s="67" t="s">
        <v>322</v>
      </c>
      <c r="D347" s="102" t="s">
        <v>354</v>
      </c>
      <c r="E347" s="32">
        <v>4</v>
      </c>
      <c r="F347" s="32" t="s">
        <v>324</v>
      </c>
      <c r="G347" s="75" t="s">
        <v>285</v>
      </c>
      <c r="H347" s="69">
        <f t="shared" si="145"/>
        <v>349</v>
      </c>
      <c r="I347" s="70">
        <f t="shared" si="146"/>
        <v>352</v>
      </c>
      <c r="J347" s="73" t="str">
        <f t="shared" ref="J347:J369" si="147">IF(C347="","--",IF(AND(C347&lt;&gt;"FST",C347&lt;&gt;"TCF",BA346&lt;&gt;0),BA346,"--"))</f>
        <v>--</v>
      </c>
      <c r="K347" s="32"/>
      <c r="L347" s="233"/>
      <c r="M347" s="278"/>
      <c r="N347" s="278"/>
      <c r="O347" s="278"/>
      <c r="P347" s="278"/>
      <c r="Q347" s="278"/>
      <c r="R347" s="278"/>
      <c r="S347" s="278"/>
      <c r="T347" s="278"/>
      <c r="U347" s="279"/>
      <c r="V347" s="103"/>
      <c r="W347" s="72"/>
      <c r="X347" s="72"/>
      <c r="Y347" s="72"/>
      <c r="Z347" s="45">
        <v>11</v>
      </c>
      <c r="AA347" s="46">
        <v>121</v>
      </c>
      <c r="AB347" s="46">
        <v>132</v>
      </c>
      <c r="AC347" s="72">
        <f t="shared" si="136"/>
        <v>1</v>
      </c>
      <c r="AD347" s="72">
        <f t="shared" si="137"/>
        <v>0</v>
      </c>
      <c r="AE347" s="109" t="str">
        <f t="shared" si="138"/>
        <v>349-352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4</v>
      </c>
    </row>
    <row r="348" spans="1:53" ht="15" thickBot="1" x14ac:dyDescent="0.35">
      <c r="A348" s="88"/>
      <c r="B348" s="66" t="s">
        <v>292</v>
      </c>
      <c r="C348" s="67" t="s">
        <v>322</v>
      </c>
      <c r="D348" s="102" t="s">
        <v>355</v>
      </c>
      <c r="E348" s="32">
        <v>4</v>
      </c>
      <c r="F348" s="32" t="s">
        <v>324</v>
      </c>
      <c r="G348" s="68" t="s">
        <v>285</v>
      </c>
      <c r="H348" s="69">
        <f t="shared" si="145"/>
        <v>345</v>
      </c>
      <c r="I348" s="70">
        <f t="shared" si="146"/>
        <v>348</v>
      </c>
      <c r="J348" s="73" t="str">
        <f t="shared" si="147"/>
        <v>--</v>
      </c>
      <c r="K348" s="32"/>
      <c r="L348" s="233"/>
      <c r="M348" s="278"/>
      <c r="N348" s="278"/>
      <c r="O348" s="278"/>
      <c r="P348" s="278"/>
      <c r="Q348" s="278"/>
      <c r="R348" s="278"/>
      <c r="S348" s="278"/>
      <c r="T348" s="278"/>
      <c r="U348" s="279"/>
      <c r="V348" s="103"/>
      <c r="W348" s="72"/>
      <c r="X348" s="72"/>
      <c r="Y348" s="72"/>
      <c r="Z348" s="45">
        <v>12</v>
      </c>
      <c r="AA348" s="76">
        <v>133</v>
      </c>
      <c r="AB348" s="76">
        <v>144</v>
      </c>
      <c r="AC348" s="72">
        <f t="shared" si="136"/>
        <v>1</v>
      </c>
      <c r="AD348" s="72">
        <f t="shared" si="137"/>
        <v>0</v>
      </c>
      <c r="AE348" s="109" t="str">
        <f t="shared" si="138"/>
        <v>345-348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8</v>
      </c>
    </row>
    <row r="349" spans="1:53" ht="15" thickBot="1" x14ac:dyDescent="0.35">
      <c r="A349" s="88"/>
      <c r="B349" s="66" t="s">
        <v>293</v>
      </c>
      <c r="C349" s="67" t="s">
        <v>322</v>
      </c>
      <c r="D349" s="102" t="s">
        <v>356</v>
      </c>
      <c r="E349" s="32">
        <v>4</v>
      </c>
      <c r="F349" s="32" t="s">
        <v>324</v>
      </c>
      <c r="G349" s="68" t="s">
        <v>285</v>
      </c>
      <c r="H349" s="69">
        <f t="shared" si="145"/>
        <v>341</v>
      </c>
      <c r="I349" s="70">
        <f t="shared" si="146"/>
        <v>344</v>
      </c>
      <c r="J349" s="73" t="str">
        <f t="shared" si="147"/>
        <v>--</v>
      </c>
      <c r="K349" s="32"/>
      <c r="L349" s="233"/>
      <c r="M349" s="278"/>
      <c r="N349" s="278"/>
      <c r="O349" s="278"/>
      <c r="P349" s="278"/>
      <c r="Q349" s="278"/>
      <c r="R349" s="278"/>
      <c r="S349" s="278"/>
      <c r="T349" s="278"/>
      <c r="U349" s="279"/>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341-344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 thickBot="1" x14ac:dyDescent="0.35">
      <c r="A350" s="88"/>
      <c r="B350" s="66" t="s">
        <v>294</v>
      </c>
      <c r="C350" s="67" t="s">
        <v>322</v>
      </c>
      <c r="D350" s="102" t="s">
        <v>357</v>
      </c>
      <c r="E350" s="32">
        <v>4</v>
      </c>
      <c r="F350" s="32" t="s">
        <v>324</v>
      </c>
      <c r="G350" s="68" t="s">
        <v>285</v>
      </c>
      <c r="H350" s="69">
        <f t="shared" si="145"/>
        <v>337</v>
      </c>
      <c r="I350" s="70">
        <f t="shared" si="146"/>
        <v>340</v>
      </c>
      <c r="J350" s="73" t="str">
        <f t="shared" si="147"/>
        <v>--</v>
      </c>
      <c r="K350" s="32"/>
      <c r="L350" s="233"/>
      <c r="M350" s="278"/>
      <c r="N350" s="278"/>
      <c r="O350" s="278"/>
      <c r="P350" s="278"/>
      <c r="Q350" s="278"/>
      <c r="R350" s="278"/>
      <c r="S350" s="278"/>
      <c r="T350" s="278"/>
      <c r="U350" s="279"/>
      <c r="V350" s="103"/>
      <c r="W350" s="72"/>
      <c r="X350" s="72"/>
      <c r="Y350" s="72"/>
      <c r="Z350" s="45">
        <v>14</v>
      </c>
      <c r="AA350" s="77">
        <f t="shared" si="148"/>
        <v>157</v>
      </c>
      <c r="AB350" s="77">
        <f t="shared" si="149"/>
        <v>168</v>
      </c>
      <c r="AC350" s="72">
        <f t="shared" si="136"/>
        <v>1</v>
      </c>
      <c r="AD350" s="72">
        <f t="shared" si="137"/>
        <v>0</v>
      </c>
      <c r="AE350" s="109" t="str">
        <f t="shared" si="138"/>
        <v>337-340</v>
      </c>
      <c r="AF350" s="109" t="str">
        <f t="shared" si="139"/>
        <v>Y</v>
      </c>
      <c r="AG350" s="109" t="str">
        <f t="shared" si="140"/>
        <v>B</v>
      </c>
      <c r="AM350" s="109">
        <f t="shared" si="141"/>
        <v>0</v>
      </c>
      <c r="AN350" s="109">
        <f t="shared" si="142"/>
        <v>0</v>
      </c>
      <c r="AO350" s="109" t="str">
        <f t="shared" si="143"/>
        <v/>
      </c>
      <c r="AQ350" s="109" t="str">
        <f t="shared" si="144"/>
        <v/>
      </c>
      <c r="BA350" s="229">
        <f>MOD(SUM(E345:E351),12)</f>
        <v>4</v>
      </c>
    </row>
    <row r="351" spans="1:53" ht="15" thickBot="1" x14ac:dyDescent="0.35">
      <c r="A351" s="88"/>
      <c r="B351" s="66" t="s">
        <v>295</v>
      </c>
      <c r="C351" s="67" t="s">
        <v>322</v>
      </c>
      <c r="D351" s="102" t="s">
        <v>358</v>
      </c>
      <c r="E351" s="32">
        <v>4</v>
      </c>
      <c r="F351" s="32" t="s">
        <v>324</v>
      </c>
      <c r="G351" s="68" t="s">
        <v>285</v>
      </c>
      <c r="H351" s="69">
        <f t="shared" si="145"/>
        <v>333</v>
      </c>
      <c r="I351" s="70">
        <f t="shared" si="146"/>
        <v>336</v>
      </c>
      <c r="J351" s="73" t="str">
        <f t="shared" si="147"/>
        <v>--</v>
      </c>
      <c r="K351" s="32"/>
      <c r="L351" s="233"/>
      <c r="M351" s="278"/>
      <c r="N351" s="278"/>
      <c r="O351" s="278"/>
      <c r="P351" s="278"/>
      <c r="Q351" s="278"/>
      <c r="R351" s="278"/>
      <c r="S351" s="278"/>
      <c r="T351" s="278"/>
      <c r="U351" s="279"/>
      <c r="V351" s="103"/>
      <c r="W351" s="72"/>
      <c r="X351" s="72"/>
      <c r="Y351" s="72"/>
      <c r="Z351" s="45">
        <v>15</v>
      </c>
      <c r="AA351" s="77">
        <f t="shared" si="148"/>
        <v>169</v>
      </c>
      <c r="AB351" s="77">
        <f t="shared" si="149"/>
        <v>180</v>
      </c>
      <c r="AC351" s="72">
        <f t="shared" si="136"/>
        <v>1</v>
      </c>
      <c r="AD351" s="72">
        <f t="shared" si="137"/>
        <v>0</v>
      </c>
      <c r="AE351" s="109" t="str">
        <f t="shared" si="138"/>
        <v>333-336</v>
      </c>
      <c r="AF351" s="109" t="str">
        <f t="shared" si="139"/>
        <v>Y</v>
      </c>
      <c r="AG351" s="109" t="str">
        <f t="shared" si="140"/>
        <v>B</v>
      </c>
      <c r="AM351" s="109">
        <f t="shared" si="141"/>
        <v>0</v>
      </c>
      <c r="AN351" s="109">
        <f t="shared" si="142"/>
        <v>0</v>
      </c>
      <c r="AO351" s="109" t="str">
        <f t="shared" si="143"/>
        <v/>
      </c>
      <c r="AQ351" s="109" t="str">
        <f t="shared" si="144"/>
        <v/>
      </c>
      <c r="BA351" s="229">
        <f>MOD(SUM(E345:E352),12)</f>
        <v>8</v>
      </c>
    </row>
    <row r="352" spans="1:53" ht="15" thickBot="1" x14ac:dyDescent="0.35">
      <c r="A352" s="88"/>
      <c r="B352" s="66" t="s">
        <v>296</v>
      </c>
      <c r="C352" s="67" t="s">
        <v>322</v>
      </c>
      <c r="D352" s="102" t="s">
        <v>359</v>
      </c>
      <c r="E352" s="32">
        <v>4</v>
      </c>
      <c r="F352" s="32" t="s">
        <v>324</v>
      </c>
      <c r="G352" s="68" t="s">
        <v>285</v>
      </c>
      <c r="H352" s="69">
        <f t="shared" si="145"/>
        <v>329</v>
      </c>
      <c r="I352" s="70">
        <f t="shared" si="146"/>
        <v>332</v>
      </c>
      <c r="J352" s="73" t="str">
        <f t="shared" si="147"/>
        <v>--</v>
      </c>
      <c r="K352" s="32"/>
      <c r="L352" s="233"/>
      <c r="M352" s="278"/>
      <c r="N352" s="278"/>
      <c r="O352" s="278"/>
      <c r="P352" s="278"/>
      <c r="Q352" s="278"/>
      <c r="R352" s="278"/>
      <c r="S352" s="278"/>
      <c r="T352" s="278"/>
      <c r="U352" s="279"/>
      <c r="V352" s="103"/>
      <c r="W352" s="72"/>
      <c r="X352" s="72"/>
      <c r="Y352" s="72"/>
      <c r="Z352" s="45">
        <f>Z351+1</f>
        <v>16</v>
      </c>
      <c r="AA352" s="77">
        <f t="shared" si="148"/>
        <v>181</v>
      </c>
      <c r="AB352" s="77">
        <f t="shared" si="149"/>
        <v>192</v>
      </c>
      <c r="AC352" s="72">
        <f t="shared" si="136"/>
        <v>1</v>
      </c>
      <c r="AD352" s="72">
        <f t="shared" si="137"/>
        <v>0</v>
      </c>
      <c r="AE352" s="109" t="str">
        <f t="shared" si="138"/>
        <v>329-332</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 thickBot="1" x14ac:dyDescent="0.35">
      <c r="A353" s="88"/>
      <c r="B353" s="66" t="s">
        <v>297</v>
      </c>
      <c r="C353" s="67" t="s">
        <v>322</v>
      </c>
      <c r="D353" s="102" t="s">
        <v>360</v>
      </c>
      <c r="E353" s="32">
        <v>4</v>
      </c>
      <c r="F353" s="32" t="s">
        <v>324</v>
      </c>
      <c r="G353" s="68" t="s">
        <v>285</v>
      </c>
      <c r="H353" s="69">
        <f t="shared" si="145"/>
        <v>325</v>
      </c>
      <c r="I353" s="70">
        <f t="shared" si="146"/>
        <v>328</v>
      </c>
      <c r="J353" s="73" t="str">
        <f t="shared" si="147"/>
        <v>--</v>
      </c>
      <c r="K353" s="32"/>
      <c r="L353" s="233"/>
      <c r="M353" s="278"/>
      <c r="N353" s="278"/>
      <c r="O353" s="278"/>
      <c r="P353" s="278"/>
      <c r="Q353" s="278"/>
      <c r="R353" s="278"/>
      <c r="S353" s="278"/>
      <c r="T353" s="278"/>
      <c r="U353" s="279"/>
      <c r="V353" s="103"/>
      <c r="W353" s="72"/>
      <c r="X353" s="72"/>
      <c r="Y353" s="72"/>
      <c r="Z353" s="45">
        <f>Z352+1</f>
        <v>17</v>
      </c>
      <c r="AA353" s="77">
        <f t="shared" si="148"/>
        <v>193</v>
      </c>
      <c r="AB353" s="77">
        <f t="shared" si="149"/>
        <v>204</v>
      </c>
      <c r="AC353" s="72">
        <f t="shared" si="136"/>
        <v>1</v>
      </c>
      <c r="AD353" s="72">
        <f t="shared" si="137"/>
        <v>0</v>
      </c>
      <c r="AE353" s="109" t="str">
        <f t="shared" si="138"/>
        <v>325-328</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 thickBot="1" x14ac:dyDescent="0.35">
      <c r="A354" s="88"/>
      <c r="B354" s="66" t="s">
        <v>298</v>
      </c>
      <c r="C354" s="67"/>
      <c r="D354" s="102"/>
      <c r="E354" s="32"/>
      <c r="F354" s="32"/>
      <c r="G354" s="68" t="s">
        <v>285</v>
      </c>
      <c r="H354" s="69">
        <f t="shared" si="145"/>
        <v>0</v>
      </c>
      <c r="I354" s="70">
        <f t="shared" si="146"/>
        <v>0</v>
      </c>
      <c r="J354" s="73" t="str">
        <f t="shared" si="147"/>
        <v>--</v>
      </c>
      <c r="K354" s="32"/>
      <c r="L354" s="233"/>
      <c r="M354" s="278"/>
      <c r="N354" s="278"/>
      <c r="O354" s="278"/>
      <c r="P354" s="278"/>
      <c r="Q354" s="278"/>
      <c r="R354" s="278"/>
      <c r="S354" s="278"/>
      <c r="T354" s="278"/>
      <c r="U354" s="279"/>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 thickBot="1" x14ac:dyDescent="0.35">
      <c r="A355" s="88"/>
      <c r="B355" s="66" t="s">
        <v>299</v>
      </c>
      <c r="C355" s="67"/>
      <c r="D355" s="102"/>
      <c r="E355" s="32"/>
      <c r="F355" s="32"/>
      <c r="G355" s="68" t="s">
        <v>285</v>
      </c>
      <c r="H355" s="69">
        <f t="shared" si="145"/>
        <v>0</v>
      </c>
      <c r="I355" s="70">
        <f t="shared" si="146"/>
        <v>0</v>
      </c>
      <c r="J355" s="73" t="str">
        <f t="shared" si="147"/>
        <v>--</v>
      </c>
      <c r="K355" s="32"/>
      <c r="L355" s="233"/>
      <c r="M355" s="278"/>
      <c r="N355" s="278"/>
      <c r="O355" s="278"/>
      <c r="P355" s="278"/>
      <c r="Q355" s="278"/>
      <c r="R355" s="278"/>
      <c r="S355" s="278"/>
      <c r="T355" s="278"/>
      <c r="U355" s="279"/>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 thickBot="1" x14ac:dyDescent="0.35">
      <c r="A356" s="88"/>
      <c r="B356" s="66" t="s">
        <v>300</v>
      </c>
      <c r="C356" s="67"/>
      <c r="D356" s="102"/>
      <c r="E356" s="32"/>
      <c r="F356" s="32"/>
      <c r="G356" s="68" t="s">
        <v>285</v>
      </c>
      <c r="H356" s="69">
        <f t="shared" si="145"/>
        <v>0</v>
      </c>
      <c r="I356" s="70">
        <f t="shared" si="146"/>
        <v>0</v>
      </c>
      <c r="J356" s="73" t="str">
        <f t="shared" si="147"/>
        <v>--</v>
      </c>
      <c r="K356" s="32"/>
      <c r="L356" s="233"/>
      <c r="M356" s="278"/>
      <c r="N356" s="278"/>
      <c r="O356" s="278"/>
      <c r="P356" s="278"/>
      <c r="Q356" s="278"/>
      <c r="R356" s="278"/>
      <c r="S356" s="278"/>
      <c r="T356" s="278"/>
      <c r="U356" s="279"/>
      <c r="V356" s="103"/>
      <c r="W356" s="84">
        <f>Y356+1</f>
        <v>37</v>
      </c>
      <c r="X356" s="84"/>
      <c r="Y356" s="78">
        <f>SUM(E345:E356)</f>
        <v>36</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 thickBot="1" x14ac:dyDescent="0.35">
      <c r="A357" s="88"/>
      <c r="B357" s="66" t="s">
        <v>301</v>
      </c>
      <c r="C357" s="67"/>
      <c r="D357" s="102"/>
      <c r="E357" s="32"/>
      <c r="F357" s="32"/>
      <c r="G357" s="68" t="s">
        <v>285</v>
      </c>
      <c r="H357" s="69">
        <f t="shared" si="145"/>
        <v>0</v>
      </c>
      <c r="I357" s="70">
        <f t="shared" si="146"/>
        <v>0</v>
      </c>
      <c r="J357" s="73" t="str">
        <f t="shared" si="147"/>
        <v>--</v>
      </c>
      <c r="K357" s="32"/>
      <c r="L357" s="233"/>
      <c r="M357" s="278"/>
      <c r="N357" s="278"/>
      <c r="O357" s="278"/>
      <c r="P357" s="278"/>
      <c r="Q357" s="278"/>
      <c r="R357" s="278"/>
      <c r="S357" s="278"/>
      <c r="T357" s="278"/>
      <c r="U357" s="279"/>
      <c r="V357" s="103"/>
      <c r="W357" s="84">
        <f>Y357+1</f>
        <v>37</v>
      </c>
      <c r="X357" s="84"/>
      <c r="Y357" s="78">
        <f>SUM(E345:E357)</f>
        <v>36</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 thickBot="1" x14ac:dyDescent="0.35">
      <c r="A358" s="88"/>
      <c r="B358" s="66" t="s">
        <v>302</v>
      </c>
      <c r="C358" s="67"/>
      <c r="D358" s="102"/>
      <c r="E358" s="32"/>
      <c r="F358" s="32"/>
      <c r="G358" s="68" t="s">
        <v>285</v>
      </c>
      <c r="H358" s="69">
        <f t="shared" si="145"/>
        <v>0</v>
      </c>
      <c r="I358" s="70">
        <f t="shared" si="146"/>
        <v>0</v>
      </c>
      <c r="J358" s="73" t="str">
        <f t="shared" si="147"/>
        <v>--</v>
      </c>
      <c r="K358" s="32"/>
      <c r="L358" s="233"/>
      <c r="M358" s="278"/>
      <c r="N358" s="278"/>
      <c r="O358" s="278"/>
      <c r="P358" s="278"/>
      <c r="Q358" s="278"/>
      <c r="R358" s="278"/>
      <c r="S358" s="278"/>
      <c r="T358" s="278"/>
      <c r="U358" s="279"/>
      <c r="V358" s="103"/>
      <c r="W358" s="84">
        <f>Y358+1</f>
        <v>37</v>
      </c>
      <c r="X358" s="84"/>
      <c r="Y358" s="78">
        <f>SUM(E345:E358)</f>
        <v>36</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 thickBot="1" x14ac:dyDescent="0.35">
      <c r="A359" s="88"/>
      <c r="B359" s="66" t="s">
        <v>303</v>
      </c>
      <c r="C359" s="67"/>
      <c r="D359" s="102"/>
      <c r="E359" s="32"/>
      <c r="F359" s="32"/>
      <c r="G359" s="68" t="s">
        <v>285</v>
      </c>
      <c r="H359" s="69">
        <f t="shared" si="145"/>
        <v>0</v>
      </c>
      <c r="I359" s="70">
        <f t="shared" si="146"/>
        <v>0</v>
      </c>
      <c r="J359" s="73" t="str">
        <f t="shared" si="147"/>
        <v>--</v>
      </c>
      <c r="K359" s="32"/>
      <c r="L359" s="233"/>
      <c r="M359" s="278"/>
      <c r="N359" s="278"/>
      <c r="O359" s="278"/>
      <c r="P359" s="278"/>
      <c r="Q359" s="278"/>
      <c r="R359" s="278"/>
      <c r="S359" s="278"/>
      <c r="T359" s="278"/>
      <c r="U359" s="279"/>
      <c r="V359" s="103"/>
      <c r="W359" s="84">
        <f>Y359+1</f>
        <v>37</v>
      </c>
      <c r="X359" s="84"/>
      <c r="Y359" s="78">
        <f>SUM(E345:E359)</f>
        <v>36</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 thickBot="1" x14ac:dyDescent="0.35">
      <c r="A360" s="88"/>
      <c r="B360" s="66" t="s">
        <v>304</v>
      </c>
      <c r="C360" s="67"/>
      <c r="D360" s="102"/>
      <c r="E360" s="32"/>
      <c r="F360" s="32"/>
      <c r="G360" s="68" t="s">
        <v>285</v>
      </c>
      <c r="H360" s="69">
        <f t="shared" si="145"/>
        <v>0</v>
      </c>
      <c r="I360" s="70">
        <f t="shared" si="146"/>
        <v>0</v>
      </c>
      <c r="J360" s="73" t="str">
        <f t="shared" si="147"/>
        <v>--</v>
      </c>
      <c r="K360" s="32"/>
      <c r="L360" s="233"/>
      <c r="M360" s="278"/>
      <c r="N360" s="278"/>
      <c r="O360" s="278"/>
      <c r="P360" s="278"/>
      <c r="Q360" s="278"/>
      <c r="R360" s="278"/>
      <c r="S360" s="278"/>
      <c r="T360" s="278"/>
      <c r="U360" s="279"/>
      <c r="V360" s="103"/>
      <c r="W360" s="84">
        <f t="shared" ref="W360:W368" si="152">Y360+1</f>
        <v>37</v>
      </c>
      <c r="X360" s="84"/>
      <c r="Y360" s="78">
        <f>SUM(E345:E360)</f>
        <v>36</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 thickBot="1" x14ac:dyDescent="0.35">
      <c r="A361" s="88"/>
      <c r="B361" s="66" t="s">
        <v>305</v>
      </c>
      <c r="C361" s="67"/>
      <c r="D361" s="102"/>
      <c r="E361" s="32"/>
      <c r="F361" s="32"/>
      <c r="G361" s="68" t="s">
        <v>285</v>
      </c>
      <c r="H361" s="69">
        <f t="shared" si="145"/>
        <v>0</v>
      </c>
      <c r="I361" s="70">
        <f t="shared" si="146"/>
        <v>0</v>
      </c>
      <c r="J361" s="73" t="str">
        <f t="shared" si="147"/>
        <v>--</v>
      </c>
      <c r="K361" s="32"/>
      <c r="L361" s="233"/>
      <c r="M361" s="278"/>
      <c r="N361" s="278"/>
      <c r="O361" s="278"/>
      <c r="P361" s="278"/>
      <c r="Q361" s="278"/>
      <c r="R361" s="278"/>
      <c r="S361" s="278"/>
      <c r="T361" s="278"/>
      <c r="U361" s="279"/>
      <c r="V361" s="103"/>
      <c r="W361" s="84">
        <f t="shared" si="152"/>
        <v>37</v>
      </c>
      <c r="X361" s="84"/>
      <c r="Y361" s="78">
        <f>SUM(E345:E361)</f>
        <v>36</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 thickBot="1" x14ac:dyDescent="0.35">
      <c r="A362" s="88"/>
      <c r="B362" s="66" t="s">
        <v>306</v>
      </c>
      <c r="C362" s="67"/>
      <c r="D362" s="102"/>
      <c r="E362" s="32"/>
      <c r="F362" s="32"/>
      <c r="G362" s="68" t="s">
        <v>285</v>
      </c>
      <c r="H362" s="69">
        <f t="shared" si="145"/>
        <v>0</v>
      </c>
      <c r="I362" s="70">
        <f t="shared" si="146"/>
        <v>0</v>
      </c>
      <c r="J362" s="73" t="str">
        <f t="shared" si="147"/>
        <v>--</v>
      </c>
      <c r="K362" s="32"/>
      <c r="L362" s="233"/>
      <c r="M362" s="278"/>
      <c r="N362" s="278"/>
      <c r="O362" s="278"/>
      <c r="P362" s="278"/>
      <c r="Q362" s="278"/>
      <c r="R362" s="278"/>
      <c r="S362" s="278"/>
      <c r="T362" s="278"/>
      <c r="U362" s="279"/>
      <c r="V362" s="103"/>
      <c r="W362" s="84">
        <f t="shared" si="152"/>
        <v>37</v>
      </c>
      <c r="X362" s="84"/>
      <c r="Y362" s="78">
        <f>SUM(E345:E362)</f>
        <v>36</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 thickBot="1" x14ac:dyDescent="0.35">
      <c r="A363" s="88"/>
      <c r="B363" s="66" t="s">
        <v>307</v>
      </c>
      <c r="C363" s="67"/>
      <c r="D363" s="102"/>
      <c r="E363" s="32"/>
      <c r="F363" s="32"/>
      <c r="G363" s="68" t="s">
        <v>285</v>
      </c>
      <c r="H363" s="69">
        <f t="shared" si="145"/>
        <v>0</v>
      </c>
      <c r="I363" s="70">
        <f t="shared" si="146"/>
        <v>0</v>
      </c>
      <c r="J363" s="73" t="str">
        <f t="shared" si="147"/>
        <v>--</v>
      </c>
      <c r="K363" s="32"/>
      <c r="L363" s="233"/>
      <c r="M363" s="278"/>
      <c r="N363" s="278"/>
      <c r="O363" s="278"/>
      <c r="P363" s="278"/>
      <c r="Q363" s="278"/>
      <c r="R363" s="278"/>
      <c r="S363" s="278"/>
      <c r="T363" s="278"/>
      <c r="U363" s="279"/>
      <c r="V363" s="103"/>
      <c r="W363" s="84">
        <f t="shared" si="152"/>
        <v>37</v>
      </c>
      <c r="X363" s="84"/>
      <c r="Y363" s="78">
        <f>SUM(E345:E363)</f>
        <v>36</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 thickBot="1" x14ac:dyDescent="0.35">
      <c r="A364" s="88"/>
      <c r="B364" s="66" t="s">
        <v>308</v>
      </c>
      <c r="C364" s="67"/>
      <c r="D364" s="102"/>
      <c r="E364" s="32"/>
      <c r="F364" s="32"/>
      <c r="G364" s="68" t="s">
        <v>285</v>
      </c>
      <c r="H364" s="69">
        <f t="shared" si="145"/>
        <v>0</v>
      </c>
      <c r="I364" s="70">
        <f t="shared" si="146"/>
        <v>0</v>
      </c>
      <c r="J364" s="73" t="str">
        <f t="shared" si="147"/>
        <v>--</v>
      </c>
      <c r="K364" s="32"/>
      <c r="L364" s="233"/>
      <c r="M364" s="278"/>
      <c r="N364" s="278"/>
      <c r="O364" s="278"/>
      <c r="P364" s="278"/>
      <c r="Q364" s="278"/>
      <c r="R364" s="278"/>
      <c r="S364" s="278"/>
      <c r="T364" s="278"/>
      <c r="U364" s="279"/>
      <c r="V364" s="103"/>
      <c r="W364" s="84">
        <f t="shared" si="152"/>
        <v>37</v>
      </c>
      <c r="X364" s="84"/>
      <c r="Y364" s="78">
        <f>SUM(E345:E364)</f>
        <v>36</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 thickBot="1" x14ac:dyDescent="0.35">
      <c r="A365" s="88"/>
      <c r="B365" s="66" t="s">
        <v>309</v>
      </c>
      <c r="C365" s="67"/>
      <c r="D365" s="102"/>
      <c r="E365" s="32"/>
      <c r="F365" s="32"/>
      <c r="G365" s="68" t="s">
        <v>285</v>
      </c>
      <c r="H365" s="69">
        <f t="shared" si="145"/>
        <v>0</v>
      </c>
      <c r="I365" s="70">
        <f t="shared" si="146"/>
        <v>0</v>
      </c>
      <c r="J365" s="73" t="str">
        <f t="shared" si="147"/>
        <v>--</v>
      </c>
      <c r="K365" s="32"/>
      <c r="L365" s="233"/>
      <c r="M365" s="278"/>
      <c r="N365" s="278"/>
      <c r="O365" s="278"/>
      <c r="P365" s="278"/>
      <c r="Q365" s="278"/>
      <c r="R365" s="278"/>
      <c r="S365" s="278"/>
      <c r="T365" s="278"/>
      <c r="U365" s="279"/>
      <c r="V365" s="103"/>
      <c r="W365" s="84">
        <f t="shared" si="152"/>
        <v>37</v>
      </c>
      <c r="X365" s="84"/>
      <c r="Y365" s="78">
        <f>SUM(E345:E365)</f>
        <v>36</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 thickBot="1" x14ac:dyDescent="0.35">
      <c r="A366" s="88"/>
      <c r="B366" s="66" t="s">
        <v>310</v>
      </c>
      <c r="C366" s="67"/>
      <c r="D366" s="102"/>
      <c r="E366" s="32"/>
      <c r="F366" s="32"/>
      <c r="G366" s="68" t="s">
        <v>285</v>
      </c>
      <c r="H366" s="69">
        <f t="shared" si="145"/>
        <v>0</v>
      </c>
      <c r="I366" s="70">
        <f t="shared" si="146"/>
        <v>0</v>
      </c>
      <c r="J366" s="73" t="str">
        <f t="shared" si="147"/>
        <v>--</v>
      </c>
      <c r="K366" s="32"/>
      <c r="L366" s="233"/>
      <c r="M366" s="278"/>
      <c r="N366" s="278"/>
      <c r="O366" s="278"/>
      <c r="P366" s="278"/>
      <c r="Q366" s="278"/>
      <c r="R366" s="278"/>
      <c r="S366" s="278"/>
      <c r="T366" s="278"/>
      <c r="U366" s="279"/>
      <c r="V366" s="103"/>
      <c r="W366" s="84">
        <f t="shared" si="152"/>
        <v>37</v>
      </c>
      <c r="X366" s="84"/>
      <c r="Y366" s="78">
        <f>SUM(E345:E366)</f>
        <v>36</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 thickBot="1" x14ac:dyDescent="0.35">
      <c r="A367" s="88"/>
      <c r="B367" s="66" t="s">
        <v>311</v>
      </c>
      <c r="C367" s="67"/>
      <c r="D367" s="102"/>
      <c r="E367" s="32"/>
      <c r="F367" s="32"/>
      <c r="G367" s="68" t="s">
        <v>285</v>
      </c>
      <c r="H367" s="69">
        <f t="shared" si="145"/>
        <v>0</v>
      </c>
      <c r="I367" s="70">
        <f t="shared" si="146"/>
        <v>0</v>
      </c>
      <c r="J367" s="73" t="str">
        <f t="shared" si="147"/>
        <v>--</v>
      </c>
      <c r="K367" s="32"/>
      <c r="L367" s="233"/>
      <c r="M367" s="278"/>
      <c r="N367" s="278"/>
      <c r="O367" s="278"/>
      <c r="P367" s="278"/>
      <c r="Q367" s="278"/>
      <c r="R367" s="278"/>
      <c r="S367" s="278"/>
      <c r="T367" s="278"/>
      <c r="U367" s="279"/>
      <c r="V367" s="103"/>
      <c r="W367" s="84">
        <f t="shared" si="152"/>
        <v>37</v>
      </c>
      <c r="X367" s="84"/>
      <c r="Y367" s="78">
        <f>SUM(E345:E367)</f>
        <v>36</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 thickBot="1" x14ac:dyDescent="0.35">
      <c r="A368" s="88"/>
      <c r="B368" s="66" t="s">
        <v>312</v>
      </c>
      <c r="C368" s="67"/>
      <c r="D368" s="102"/>
      <c r="E368" s="32"/>
      <c r="F368" s="32"/>
      <c r="G368" s="68" t="s">
        <v>285</v>
      </c>
      <c r="H368" s="69">
        <f t="shared" si="145"/>
        <v>0</v>
      </c>
      <c r="I368" s="70">
        <f t="shared" si="146"/>
        <v>0</v>
      </c>
      <c r="J368" s="73" t="str">
        <f t="shared" si="147"/>
        <v>--</v>
      </c>
      <c r="K368" s="32"/>
      <c r="L368" s="233"/>
      <c r="M368" s="278"/>
      <c r="N368" s="278"/>
      <c r="O368" s="278"/>
      <c r="P368" s="278"/>
      <c r="Q368" s="278"/>
      <c r="R368" s="278"/>
      <c r="S368" s="278"/>
      <c r="T368" s="278"/>
      <c r="U368" s="279"/>
      <c r="V368" s="103"/>
      <c r="W368" s="84">
        <f t="shared" si="152"/>
        <v>37</v>
      </c>
      <c r="X368" s="84"/>
      <c r="Y368" s="78">
        <f>SUM(E345:E368)</f>
        <v>36</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 thickBot="1" x14ac:dyDescent="0.35">
      <c r="A369" s="88"/>
      <c r="B369" s="66" t="s">
        <v>313</v>
      </c>
      <c r="C369" s="67"/>
      <c r="D369" s="102"/>
      <c r="E369" s="32"/>
      <c r="F369" s="32"/>
      <c r="G369" s="68" t="s">
        <v>285</v>
      </c>
      <c r="H369" s="69">
        <f t="shared" si="145"/>
        <v>0</v>
      </c>
      <c r="I369" s="70">
        <f t="shared" si="146"/>
        <v>0</v>
      </c>
      <c r="J369" s="73" t="str">
        <f t="shared" si="147"/>
        <v>--</v>
      </c>
      <c r="K369" s="32"/>
      <c r="L369" s="234"/>
      <c r="M369" s="278"/>
      <c r="N369" s="278"/>
      <c r="O369" s="278"/>
      <c r="P369" s="278"/>
      <c r="Q369" s="278"/>
      <c r="R369" s="278"/>
      <c r="S369" s="278"/>
      <c r="T369" s="278"/>
      <c r="U369" s="279"/>
      <c r="V369" s="103"/>
      <c r="W369" s="72"/>
      <c r="X369" s="72"/>
      <c r="Y369" s="78">
        <f>SUM(E345:E369)</f>
        <v>36</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2" thickBot="1" x14ac:dyDescent="0.35">
      <c r="A370" s="88"/>
      <c r="B370" s="319" t="s">
        <v>361</v>
      </c>
      <c r="C370" s="320"/>
      <c r="D370" s="79"/>
      <c r="E370" s="80"/>
      <c r="F370" s="80"/>
      <c r="G370" s="81"/>
      <c r="H370" s="192"/>
      <c r="I370" s="192"/>
      <c r="J370" s="192"/>
      <c r="K370" s="82"/>
      <c r="L370" s="319" t="s">
        <v>319</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16</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2" thickBot="1" x14ac:dyDescent="0.35">
      <c r="A371" s="88"/>
      <c r="B371" s="319" t="s">
        <v>320</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 thickBot="1"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5">
      <c r="A374" s="88"/>
      <c r="B374" s="85" t="s">
        <v>362</v>
      </c>
      <c r="C374" s="25"/>
      <c r="D374" s="25"/>
      <c r="E374" s="25"/>
      <c r="F374" s="88"/>
      <c r="G374" s="25"/>
      <c r="H374" s="25"/>
      <c r="I374" s="87"/>
      <c r="J374" s="26"/>
      <c r="K374" s="25"/>
      <c r="L374" s="25"/>
      <c r="M374" s="196" t="s">
        <v>217</v>
      </c>
      <c r="N374" s="196" t="s">
        <v>218</v>
      </c>
      <c r="O374" s="196" t="s">
        <v>219</v>
      </c>
      <c r="P374" s="196" t="s">
        <v>220</v>
      </c>
      <c r="Q374" s="196" t="s">
        <v>221</v>
      </c>
      <c r="R374" s="196" t="s">
        <v>222</v>
      </c>
      <c r="S374" s="196" t="s">
        <v>223</v>
      </c>
      <c r="T374" s="196" t="s">
        <v>224</v>
      </c>
      <c r="U374" s="196" t="s">
        <v>225</v>
      </c>
      <c r="V374" s="196" t="s">
        <v>226</v>
      </c>
      <c r="W374" s="113" t="s">
        <v>227</v>
      </c>
      <c r="X374" s="196" t="s">
        <v>228</v>
      </c>
      <c r="Y374" s="25"/>
      <c r="Z374" s="25"/>
      <c r="AA374" s="25"/>
      <c r="AB374" s="25"/>
      <c r="AC374" s="25"/>
      <c r="AD374" s="25"/>
      <c r="BA374" s="226"/>
    </row>
    <row r="375" spans="1:53" ht="15.6" thickTop="1" thickBot="1" x14ac:dyDescent="0.35">
      <c r="A375" s="88"/>
      <c r="B375" s="312" t="s">
        <v>229</v>
      </c>
      <c r="C375" s="313"/>
      <c r="D375" s="314" t="s">
        <v>230</v>
      </c>
      <c r="E375" s="305"/>
      <c r="F375" s="88"/>
      <c r="G375" s="315" t="s">
        <v>231</v>
      </c>
      <c r="H375" s="316"/>
      <c r="I375" s="28">
        <f>SUM(E386:E410)</f>
        <v>32</v>
      </c>
      <c r="J375" s="317" t="s">
        <v>232</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233</v>
      </c>
      <c r="AA375" s="296"/>
      <c r="AB375" s="297"/>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234</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5">
      <c r="A376" s="88"/>
      <c r="B376" s="29" t="s">
        <v>235</v>
      </c>
      <c r="C376" s="30">
        <v>0</v>
      </c>
      <c r="D376" s="31" t="s">
        <v>236</v>
      </c>
      <c r="E376" s="66" t="str">
        <f>TEXT(IF('Cable Calculator'!AW7="","",'Cable Calculator'!AW7),)</f>
        <v>RPX</v>
      </c>
      <c r="F376" s="88"/>
      <c r="G376" s="304" t="s">
        <v>237</v>
      </c>
      <c r="H376" s="305"/>
      <c r="I376" s="33">
        <f>E377-I375</f>
        <v>16</v>
      </c>
      <c r="J376" s="289" t="s">
        <v>238</v>
      </c>
      <c r="K376" s="290"/>
      <c r="L376" s="34">
        <f>I380</f>
        <v>289</v>
      </c>
      <c r="M376" s="196">
        <v>4</v>
      </c>
      <c r="N376" s="35">
        <f>SUM(AI376,AI387)</f>
        <v>0</v>
      </c>
      <c r="O376" s="35">
        <v>0</v>
      </c>
      <c r="P376" s="35">
        <f>SUM(AJ376,AJ387)</f>
        <v>8</v>
      </c>
      <c r="Q376" s="35">
        <v>0</v>
      </c>
      <c r="R376" s="35">
        <f>COUNTIFS($E386:$E410,"4",$F386:$F410,"Pole",$C386:$C410,"FST")</f>
        <v>8</v>
      </c>
      <c r="S376" s="35">
        <f>SUM(AL376,AK387)</f>
        <v>0</v>
      </c>
      <c r="T376" s="35">
        <v>0</v>
      </c>
      <c r="U376" s="35">
        <f>SUM(AK376,AL387)</f>
        <v>0</v>
      </c>
      <c r="V376" s="35">
        <v>0</v>
      </c>
      <c r="W376" s="34">
        <f>COUNTIFS($E386:$E410,"4",$F386:$F410,"HH",$C386:$C410,"FST")</f>
        <v>0</v>
      </c>
      <c r="X376" s="35">
        <f>COUNTIFS($E386:$E410,"4",$F386:$F410,"Ped",$C386:$C410,"FST")</f>
        <v>0</v>
      </c>
      <c r="Y376" s="25"/>
      <c r="Z376" s="298" t="s">
        <v>239</v>
      </c>
      <c r="AA376" s="300" t="s">
        <v>240</v>
      </c>
      <c r="AB376" s="301"/>
      <c r="AC376" s="25"/>
      <c r="AD376" s="25"/>
      <c r="AH376" s="109">
        <v>4</v>
      </c>
      <c r="AI376" s="109" t="str">
        <f>IF($E376="SS",COUNTIFS($C386:$C410,"FST",$E386:$E410,"4"),"0")</f>
        <v>0</v>
      </c>
      <c r="AJ376" s="109">
        <f>IF($E376="RPX",COUNTIFS($C386:$C410,"FST",$E386:$E410,"4"),"0")</f>
        <v>8</v>
      </c>
      <c r="AK376" s="109" t="str">
        <f>IF($E376="EUC",COUNTIFS($C386:$C410,"FST",$E386:$E410,"4"),"0")</f>
        <v>0</v>
      </c>
      <c r="AL376" s="109" t="str">
        <f>IF($E376="RPX-T",COUNTIFS($C386:$C410,"FST",$E386:$E410,"4"),"0")</f>
        <v>0</v>
      </c>
      <c r="AS376" s="109" t="str">
        <f>IF(AND(E381="Y",E377=24,E378=0),"Y","N")</f>
        <v>N</v>
      </c>
      <c r="AT376" s="110" t="s">
        <v>241</v>
      </c>
      <c r="AU376" s="109">
        <f>COUNTIFS($E376,"SS",$AS376,"Y")</f>
        <v>0</v>
      </c>
      <c r="AV376" s="111">
        <f>COUNTIFS($E376,"RPX",$AS376,"Y")</f>
        <v>0</v>
      </c>
      <c r="AW376" s="111">
        <f>COUNTIFS($E376,"EUC",$AS376,"Y")</f>
        <v>0</v>
      </c>
      <c r="AX376" s="109">
        <f>COUNTIFS($E376,"RPX-T",$AS376,"Y")</f>
        <v>0</v>
      </c>
      <c r="BA376" s="227"/>
    </row>
    <row r="377" spans="1:53" ht="15.6" thickTop="1" thickBot="1" x14ac:dyDescent="0.35">
      <c r="A377" s="88"/>
      <c r="B377" s="36" t="s">
        <v>242</v>
      </c>
      <c r="C377" s="37">
        <v>0</v>
      </c>
      <c r="D377" s="38" t="s">
        <v>243</v>
      </c>
      <c r="E377" s="32">
        <v>48</v>
      </c>
      <c r="F377" s="88"/>
      <c r="G377" s="291" t="s">
        <v>244</v>
      </c>
      <c r="H377" s="292"/>
      <c r="I377" s="35">
        <f>IF(E377=0,0,12-(MOD(I375,12)))</f>
        <v>4</v>
      </c>
      <c r="J377" s="289" t="s">
        <v>245</v>
      </c>
      <c r="K377" s="290"/>
      <c r="L377" s="39">
        <f>I381-I375</f>
        <v>292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246</v>
      </c>
      <c r="AU377" s="109">
        <f>COUNTIFS($E376,"SS",$AS377,"Y")</f>
        <v>0</v>
      </c>
      <c r="AV377" s="108">
        <f>COUNTIFS($E376,"RPX",$AS377,"Y")</f>
        <v>0</v>
      </c>
      <c r="AW377" s="108">
        <f>COUNTIFS($E376,"EUC",$AS377,"Y")</f>
        <v>0</v>
      </c>
      <c r="AX377" s="109">
        <f>COUNTIFS($E376,"RPX-T",$AS377,"Y")</f>
        <v>0</v>
      </c>
      <c r="BA377" s="227"/>
    </row>
    <row r="378" spans="1:53" ht="16.5" customHeight="1" thickTop="1" thickBot="1" x14ac:dyDescent="0.35">
      <c r="A378" s="88"/>
      <c r="B378" s="40" t="s">
        <v>247</v>
      </c>
      <c r="C378" s="30">
        <v>0</v>
      </c>
      <c r="D378" s="41" t="s">
        <v>248</v>
      </c>
      <c r="E378" s="42">
        <v>12</v>
      </c>
      <c r="F378" s="88"/>
      <c r="G378" s="321" t="s">
        <v>249</v>
      </c>
      <c r="H378" s="43" t="s">
        <v>250</v>
      </c>
      <c r="I378" s="35">
        <f>IF(E378&lt;&gt;0,1,0)</f>
        <v>1</v>
      </c>
      <c r="J378" s="291" t="s">
        <v>251</v>
      </c>
      <c r="K378" s="292"/>
      <c r="L378" s="44">
        <f>'Cable Calculator'!AW3</f>
        <v>1796</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0</v>
      </c>
      <c r="AK378" s="109" t="str">
        <f>IF($E376="EUC",COUNTIFS($C386:$C410,"FST",$E386:$E410,"8"),"0")</f>
        <v>0</v>
      </c>
      <c r="AL378" s="109" t="str">
        <f>IF($E376="RPX-T",COUNTIFS($C386:$C410,"FST",$E386:$E410,"8"),"0")</f>
        <v>0</v>
      </c>
      <c r="AS378" s="109" t="str">
        <f>IF(AND(E381="Y",E377=48,E378=0),"Y","N")</f>
        <v>N</v>
      </c>
      <c r="AT378" s="110" t="s">
        <v>252</v>
      </c>
      <c r="AU378" s="109">
        <f>COUNTIFS($E376,"SS",$AS378,"Y")</f>
        <v>0</v>
      </c>
      <c r="AV378" s="108">
        <f>COUNTIFS($E376,"RPX",$AS378,"Y")</f>
        <v>0</v>
      </c>
      <c r="AW378" s="108">
        <f>COUNTIFS($E376,"EUC",$AS378,"Y")</f>
        <v>0</v>
      </c>
      <c r="AX378" s="109">
        <f>COUNTIFS($E376,"RPX-T",$AS378,"Y")</f>
        <v>0</v>
      </c>
      <c r="BA378" s="227"/>
    </row>
    <row r="379" spans="1:53" ht="15.6" thickTop="1" thickBot="1" x14ac:dyDescent="0.35">
      <c r="A379" s="88"/>
      <c r="B379" s="29" t="s">
        <v>253</v>
      </c>
      <c r="C379" s="37">
        <v>0</v>
      </c>
      <c r="D379" s="41" t="s">
        <v>254</v>
      </c>
      <c r="E379" s="42">
        <v>289</v>
      </c>
      <c r="F379" s="88"/>
      <c r="G379" s="322"/>
      <c r="H379" s="47" t="s">
        <v>255</v>
      </c>
      <c r="I379" s="35">
        <f>IF(E378&lt;&gt;0,E378,0)</f>
        <v>12</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5">
      <c r="A380" s="88"/>
      <c r="B380" s="36" t="s">
        <v>256</v>
      </c>
      <c r="C380" s="30">
        <v>0</v>
      </c>
      <c r="D380" s="49" t="s">
        <v>257</v>
      </c>
      <c r="E380" s="50">
        <f>E377/12</f>
        <v>4</v>
      </c>
      <c r="F380" s="88"/>
      <c r="G380" s="321" t="s">
        <v>258</v>
      </c>
      <c r="H380" s="51" t="s">
        <v>259</v>
      </c>
      <c r="I380" s="112">
        <f>E379</f>
        <v>289</v>
      </c>
      <c r="J380" s="323" t="s">
        <v>260</v>
      </c>
      <c r="K380" s="324"/>
      <c r="L380" s="325"/>
      <c r="M380" s="52" t="s">
        <v>261</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5.6" thickTop="1" thickBot="1" x14ac:dyDescent="0.35">
      <c r="A381" s="88"/>
      <c r="B381" s="36" t="s">
        <v>262</v>
      </c>
      <c r="C381" s="30">
        <v>0</v>
      </c>
      <c r="D381" s="31" t="s">
        <v>263</v>
      </c>
      <c r="E381" s="101" t="str">
        <f>IF('Cable Calculator'!AW5="","",'Cable Calculator'!AW5)</f>
        <v>N</v>
      </c>
      <c r="F381" s="88"/>
      <c r="G381" s="322"/>
      <c r="H381" s="47" t="s">
        <v>264</v>
      </c>
      <c r="I381" s="35">
        <f>IF(E379="","0",IF(AND(E376="EUC",E377=432), I380+(203-E378),IF(E379=0,0,(E379+(E377-E378)-1))))</f>
        <v>324</v>
      </c>
      <c r="J381" s="286" t="str">
        <f>IFERROR(IF(OR(E376="EUC",E376="SS"),"---",IF(OR(P375,S375),"NO 2F Tethers for RPX!",IF(OR(P377,S377),"NO 6F Tethers for RPX!","---"))),"---")</f>
        <v>---</v>
      </c>
      <c r="K381" s="287"/>
      <c r="L381" s="288"/>
      <c r="M381" s="286" t="str">
        <f>IF(E378&gt;60,"Dead Count &gt;60: Consider Downsize","---")</f>
        <v>---</v>
      </c>
      <c r="N381" s="287"/>
      <c r="O381" s="287"/>
      <c r="P381" s="287"/>
      <c r="Q381" s="287"/>
      <c r="R381" s="287"/>
      <c r="S381" s="287"/>
      <c r="T381" s="287"/>
      <c r="U381" s="288"/>
      <c r="V381" s="100"/>
      <c r="W381" s="54">
        <f>SUM(P381:U381)</f>
        <v>0</v>
      </c>
      <c r="X381" s="54"/>
      <c r="Y381" s="25"/>
      <c r="Z381" s="45">
        <v>4</v>
      </c>
      <c r="AA381" s="46">
        <v>37</v>
      </c>
      <c r="AB381" s="46">
        <v>48</v>
      </c>
      <c r="AC381" s="25"/>
      <c r="AD381" s="25"/>
      <c r="BA381" s="227"/>
    </row>
    <row r="382" spans="1:53" ht="15.6" thickTop="1" thickBot="1" x14ac:dyDescent="0.35">
      <c r="A382" s="88"/>
      <c r="B382" s="55" t="s">
        <v>265</v>
      </c>
      <c r="C382" s="56">
        <f>SUM(C376:C381)+I375</f>
        <v>32</v>
      </c>
      <c r="D382" s="31" t="s">
        <v>266</v>
      </c>
      <c r="E382" s="101" t="str">
        <f>IF(AS376="Y","DBL",IF(AS377="Y","TRPL",IF(AS378="Y","QUAD","")))</f>
        <v/>
      </c>
      <c r="F382" s="88"/>
      <c r="G382" s="192"/>
      <c r="H382" s="57"/>
      <c r="I382" s="192"/>
      <c r="J382" s="286"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7"/>
      <c r="L382" s="288"/>
      <c r="M382" s="286" t="str">
        <f>IF(AND(OR(E376="SS",E376="RPX",E376="EUC",E376="RPX-T"),(OR(C386="",C386="Field SPL"))),"Cannot have FlexNap cables without tethers","---")</f>
        <v>---</v>
      </c>
      <c r="N382" s="287"/>
      <c r="O382" s="287"/>
      <c r="P382" s="287"/>
      <c r="Q382" s="287"/>
      <c r="R382" s="287"/>
      <c r="S382" s="287"/>
      <c r="T382" s="287"/>
      <c r="U382" s="288"/>
      <c r="V382" s="25"/>
      <c r="W382" s="58"/>
      <c r="X382" s="58"/>
      <c r="Y382" s="25"/>
      <c r="Z382" s="45">
        <v>5</v>
      </c>
      <c r="AA382" s="46">
        <v>49</v>
      </c>
      <c r="AB382" s="46">
        <v>60</v>
      </c>
      <c r="AC382" s="25"/>
      <c r="AD382" s="25"/>
      <c r="BA382" s="227"/>
    </row>
    <row r="383" spans="1:53" ht="15.6" thickTop="1" thickBot="1" x14ac:dyDescent="0.35">
      <c r="A383" s="88"/>
      <c r="B383" s="59"/>
      <c r="C383" s="60"/>
      <c r="D383" s="61"/>
      <c r="E383" s="62"/>
      <c r="F383" s="88"/>
      <c r="G383" s="63"/>
      <c r="H383" s="64"/>
      <c r="I383" s="63"/>
      <c r="J383" s="286" t="str">
        <f>IF(AND(OR(E376="RPX", E376="RPX-T", E376="SS"),E377=216),"NO 216 For RPX, RPX-T, OR SS CABLE","---")</f>
        <v>---</v>
      </c>
      <c r="K383" s="287"/>
      <c r="L383" s="288"/>
      <c r="M383" s="286" t="str" cm="1">
        <f t="array" ref="M383">IF(AND(E376="",OR(C386:C410="FST",C386:C410="REV T",C386:C410="DBL REV",C386:C410="TPL REV", C386:C410="QD REV")),"Non-FlexNap cables cannot have tethers","---")</f>
        <v>---</v>
      </c>
      <c r="N383" s="287"/>
      <c r="O383" s="287"/>
      <c r="P383" s="287"/>
      <c r="Q383" s="287"/>
      <c r="R383" s="287"/>
      <c r="S383" s="287"/>
      <c r="T383" s="287"/>
      <c r="U383" s="288"/>
      <c r="V383" s="25"/>
      <c r="W383" s="58"/>
      <c r="X383" s="58"/>
      <c r="Y383" s="25"/>
      <c r="Z383" s="45">
        <v>6</v>
      </c>
      <c r="AA383" s="65">
        <v>61</v>
      </c>
      <c r="AB383" s="65">
        <v>72</v>
      </c>
      <c r="AC383" s="25"/>
      <c r="AD383" s="25"/>
      <c r="BA383" s="226"/>
    </row>
    <row r="384" spans="1:53" ht="15.75" customHeight="1" thickBot="1" x14ac:dyDescent="0.35">
      <c r="A384" s="88"/>
      <c r="B384" s="321" t="s">
        <v>267</v>
      </c>
      <c r="C384" s="293" t="s">
        <v>268</v>
      </c>
      <c r="D384" s="293" t="s">
        <v>269</v>
      </c>
      <c r="E384" s="306" t="s">
        <v>270</v>
      </c>
      <c r="F384" s="293" t="s">
        <v>271</v>
      </c>
      <c r="G384" s="308" t="s">
        <v>272</v>
      </c>
      <c r="H384" s="308" t="s">
        <v>273</v>
      </c>
      <c r="I384" s="308" t="s">
        <v>274</v>
      </c>
      <c r="J384" s="310" t="s">
        <v>275</v>
      </c>
      <c r="K384" s="293" t="s">
        <v>276</v>
      </c>
      <c r="L384" s="280" t="s">
        <v>277</v>
      </c>
      <c r="M384" s="282" t="s">
        <v>278</v>
      </c>
      <c r="N384" s="282"/>
      <c r="O384" s="282"/>
      <c r="P384" s="282"/>
      <c r="Q384" s="282"/>
      <c r="R384" s="282"/>
      <c r="S384" s="282"/>
      <c r="T384" s="282"/>
      <c r="U384" s="283"/>
      <c r="V384" s="107"/>
      <c r="W384" s="72"/>
      <c r="X384" s="72"/>
      <c r="Y384" s="72"/>
      <c r="Z384" s="45">
        <v>7</v>
      </c>
      <c r="AA384" s="65">
        <v>73</v>
      </c>
      <c r="AB384" s="65">
        <v>84</v>
      </c>
      <c r="AC384" s="25"/>
      <c r="AD384" s="25"/>
      <c r="BA384" s="228"/>
    </row>
    <row r="385" spans="1:53" ht="15" thickBot="1" x14ac:dyDescent="0.35">
      <c r="A385" s="88"/>
      <c r="B385" s="322"/>
      <c r="C385" s="294"/>
      <c r="D385" s="294"/>
      <c r="E385" s="307"/>
      <c r="F385" s="294"/>
      <c r="G385" s="309"/>
      <c r="H385" s="309"/>
      <c r="I385" s="309"/>
      <c r="J385" s="311"/>
      <c r="K385" s="294"/>
      <c r="L385" s="281"/>
      <c r="M385" s="284"/>
      <c r="N385" s="284"/>
      <c r="O385" s="284"/>
      <c r="P385" s="284"/>
      <c r="Q385" s="284"/>
      <c r="R385" s="284"/>
      <c r="S385" s="284"/>
      <c r="T385" s="284"/>
      <c r="U385" s="285"/>
      <c r="V385" s="107"/>
      <c r="W385" s="72"/>
      <c r="X385" s="72"/>
      <c r="Y385" s="72"/>
      <c r="Z385" s="45">
        <v>8</v>
      </c>
      <c r="AA385" s="46">
        <v>85</v>
      </c>
      <c r="AB385" s="46">
        <v>96</v>
      </c>
      <c r="AC385" s="25"/>
      <c r="AD385" s="25"/>
      <c r="AI385" s="109" t="s">
        <v>279</v>
      </c>
      <c r="AJ385" s="109" t="s">
        <v>280</v>
      </c>
      <c r="AK385" s="109" t="s">
        <v>281</v>
      </c>
      <c r="AL385" s="109" t="s">
        <v>282</v>
      </c>
      <c r="BA385" s="228"/>
    </row>
    <row r="386" spans="1:53" ht="15" thickBot="1" x14ac:dyDescent="0.35">
      <c r="A386" s="88"/>
      <c r="B386" s="66" t="s">
        <v>283</v>
      </c>
      <c r="C386" s="67" t="s">
        <v>322</v>
      </c>
      <c r="D386" s="102" t="s">
        <v>363</v>
      </c>
      <c r="E386" s="32">
        <v>4</v>
      </c>
      <c r="F386" s="32" t="s">
        <v>339</v>
      </c>
      <c r="G386" s="68" t="s">
        <v>285</v>
      </c>
      <c r="H386" s="69">
        <f>IF(I386=0,0,I386-(E386-1))</f>
        <v>321</v>
      </c>
      <c r="I386" s="70">
        <f>IF(E386=0,0,I381)</f>
        <v>324</v>
      </c>
      <c r="J386" s="71" t="s">
        <v>286</v>
      </c>
      <c r="K386" s="32"/>
      <c r="L386" s="233"/>
      <c r="M386" s="278"/>
      <c r="N386" s="278"/>
      <c r="O386" s="278"/>
      <c r="P386" s="278"/>
      <c r="Q386" s="278"/>
      <c r="R386" s="278"/>
      <c r="S386" s="278"/>
      <c r="T386" s="278"/>
      <c r="U386" s="27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321-324</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 thickBot="1" x14ac:dyDescent="0.35">
      <c r="A387" s="88"/>
      <c r="B387" s="66" t="s">
        <v>288</v>
      </c>
      <c r="C387" s="67" t="s">
        <v>322</v>
      </c>
      <c r="D387" s="102" t="s">
        <v>364</v>
      </c>
      <c r="E387" s="32">
        <v>4</v>
      </c>
      <c r="F387" s="32" t="s">
        <v>339</v>
      </c>
      <c r="G387" s="68" t="s">
        <v>285</v>
      </c>
      <c r="H387" s="69">
        <f t="shared" ref="H387:H410" si="162">IF(E387=0,0,I387-(E387-1))</f>
        <v>317</v>
      </c>
      <c r="I387" s="70">
        <f t="shared" ref="I387:I410" si="163">IF(E387=0,0,H386-1)</f>
        <v>320</v>
      </c>
      <c r="J387" s="73" t="str">
        <f>IF(C387="","--",IF(AND(C387&lt;&gt;"FST",C387&lt;&gt;"TCF",BA386&lt;&gt;0),BA386,"--"))</f>
        <v>--</v>
      </c>
      <c r="K387" s="32"/>
      <c r="L387" s="233"/>
      <c r="M387" s="278"/>
      <c r="N387" s="278"/>
      <c r="O387" s="278"/>
      <c r="P387" s="278"/>
      <c r="Q387" s="278"/>
      <c r="R387" s="278"/>
      <c r="S387" s="278"/>
      <c r="T387" s="278"/>
      <c r="U387" s="279"/>
      <c r="V387" s="103"/>
      <c r="W387" s="72"/>
      <c r="X387" s="72"/>
      <c r="Y387" s="72"/>
      <c r="Z387" s="45">
        <v>10</v>
      </c>
      <c r="AA387" s="46">
        <v>109</v>
      </c>
      <c r="AB387" s="46">
        <v>120</v>
      </c>
      <c r="AC387" s="72">
        <f t="shared" si="153"/>
        <v>1</v>
      </c>
      <c r="AD387" s="72">
        <f t="shared" si="154"/>
        <v>0</v>
      </c>
      <c r="AE387" s="109" t="str">
        <f t="shared" si="155"/>
        <v>317-320</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8</v>
      </c>
    </row>
    <row r="388" spans="1:53" ht="15" thickBot="1" x14ac:dyDescent="0.35">
      <c r="A388" s="88"/>
      <c r="B388" s="74" t="s">
        <v>290</v>
      </c>
      <c r="C388" s="67" t="s">
        <v>322</v>
      </c>
      <c r="D388" s="102" t="s">
        <v>365</v>
      </c>
      <c r="E388" s="32">
        <v>4</v>
      </c>
      <c r="F388" s="32" t="s">
        <v>339</v>
      </c>
      <c r="G388" s="75" t="s">
        <v>285</v>
      </c>
      <c r="H388" s="69">
        <f t="shared" si="162"/>
        <v>313</v>
      </c>
      <c r="I388" s="70">
        <f t="shared" si="163"/>
        <v>316</v>
      </c>
      <c r="J388" s="73" t="str">
        <f t="shared" ref="J388:J410" si="164">IF(C388="","--",IF(AND(C388&lt;&gt;"FST",C388&lt;&gt;"TCF",BA387&lt;&gt;0),BA387,"--"))</f>
        <v>--</v>
      </c>
      <c r="K388" s="32"/>
      <c r="L388" s="233"/>
      <c r="M388" s="278"/>
      <c r="N388" s="278"/>
      <c r="O388" s="278"/>
      <c r="P388" s="278"/>
      <c r="Q388" s="278"/>
      <c r="R388" s="278"/>
      <c r="S388" s="278"/>
      <c r="T388" s="278"/>
      <c r="U388" s="279"/>
      <c r="V388" s="103"/>
      <c r="W388" s="72"/>
      <c r="X388" s="72"/>
      <c r="Y388" s="72"/>
      <c r="Z388" s="45">
        <v>11</v>
      </c>
      <c r="AA388" s="46">
        <v>121</v>
      </c>
      <c r="AB388" s="46">
        <v>132</v>
      </c>
      <c r="AC388" s="72">
        <f t="shared" si="153"/>
        <v>1</v>
      </c>
      <c r="AD388" s="72">
        <f t="shared" si="154"/>
        <v>0</v>
      </c>
      <c r="AE388" s="109" t="str">
        <f t="shared" si="155"/>
        <v>313-316</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4</v>
      </c>
    </row>
    <row r="389" spans="1:53" ht="15" thickBot="1" x14ac:dyDescent="0.35">
      <c r="A389" s="88"/>
      <c r="B389" s="66" t="s">
        <v>292</v>
      </c>
      <c r="C389" s="67" t="s">
        <v>322</v>
      </c>
      <c r="D389" s="102" t="s">
        <v>366</v>
      </c>
      <c r="E389" s="32">
        <v>4</v>
      </c>
      <c r="F389" s="32" t="s">
        <v>339</v>
      </c>
      <c r="G389" s="68" t="s">
        <v>285</v>
      </c>
      <c r="H389" s="69">
        <f t="shared" si="162"/>
        <v>309</v>
      </c>
      <c r="I389" s="70">
        <f t="shared" si="163"/>
        <v>312</v>
      </c>
      <c r="J389" s="73" t="str">
        <f t="shared" si="164"/>
        <v>--</v>
      </c>
      <c r="K389" s="32"/>
      <c r="L389" s="233"/>
      <c r="M389" s="278"/>
      <c r="N389" s="278"/>
      <c r="O389" s="278"/>
      <c r="P389" s="278"/>
      <c r="Q389" s="278"/>
      <c r="R389" s="278"/>
      <c r="S389" s="278"/>
      <c r="T389" s="278"/>
      <c r="U389" s="279"/>
      <c r="V389" s="103"/>
      <c r="W389" s="72"/>
      <c r="X389" s="72"/>
      <c r="Y389" s="72"/>
      <c r="Z389" s="45">
        <v>12</v>
      </c>
      <c r="AA389" s="76">
        <v>133</v>
      </c>
      <c r="AB389" s="76">
        <v>144</v>
      </c>
      <c r="AC389" s="72">
        <f t="shared" si="153"/>
        <v>1</v>
      </c>
      <c r="AD389" s="72">
        <f t="shared" si="154"/>
        <v>0</v>
      </c>
      <c r="AE389" s="109" t="str">
        <f t="shared" si="155"/>
        <v>309-312</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8</v>
      </c>
    </row>
    <row r="390" spans="1:53" ht="15" thickBot="1" x14ac:dyDescent="0.35">
      <c r="A390" s="88"/>
      <c r="B390" s="66" t="s">
        <v>293</v>
      </c>
      <c r="C390" s="67" t="s">
        <v>322</v>
      </c>
      <c r="D390" s="102" t="s">
        <v>367</v>
      </c>
      <c r="E390" s="32">
        <v>4</v>
      </c>
      <c r="F390" s="32" t="s">
        <v>339</v>
      </c>
      <c r="G390" s="68" t="s">
        <v>285</v>
      </c>
      <c r="H390" s="69">
        <f t="shared" si="162"/>
        <v>305</v>
      </c>
      <c r="I390" s="70">
        <f t="shared" si="163"/>
        <v>308</v>
      </c>
      <c r="J390" s="73" t="str">
        <f t="shared" si="164"/>
        <v>--</v>
      </c>
      <c r="K390" s="32"/>
      <c r="L390" s="233"/>
      <c r="M390" s="278"/>
      <c r="N390" s="278"/>
      <c r="O390" s="278"/>
      <c r="P390" s="278"/>
      <c r="Q390" s="278"/>
      <c r="R390" s="278"/>
      <c r="S390" s="278"/>
      <c r="T390" s="278"/>
      <c r="U390" s="279"/>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305-308</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 thickBot="1" x14ac:dyDescent="0.35">
      <c r="A391" s="88"/>
      <c r="B391" s="66" t="s">
        <v>294</v>
      </c>
      <c r="C391" s="67" t="s">
        <v>322</v>
      </c>
      <c r="D391" s="102" t="s">
        <v>368</v>
      </c>
      <c r="E391" s="32">
        <v>4</v>
      </c>
      <c r="F391" s="32" t="s">
        <v>339</v>
      </c>
      <c r="G391" s="68" t="s">
        <v>285</v>
      </c>
      <c r="H391" s="69">
        <f t="shared" si="162"/>
        <v>301</v>
      </c>
      <c r="I391" s="70">
        <f t="shared" si="163"/>
        <v>304</v>
      </c>
      <c r="J391" s="73" t="str">
        <f t="shared" si="164"/>
        <v>--</v>
      </c>
      <c r="K391" s="32"/>
      <c r="L391" s="233"/>
      <c r="M391" s="278"/>
      <c r="N391" s="278"/>
      <c r="O391" s="278"/>
      <c r="P391" s="278"/>
      <c r="Q391" s="278"/>
      <c r="R391" s="278"/>
      <c r="S391" s="278"/>
      <c r="T391" s="278"/>
      <c r="U391" s="279"/>
      <c r="V391" s="103"/>
      <c r="W391" s="72"/>
      <c r="X391" s="72"/>
      <c r="Y391" s="72"/>
      <c r="Z391" s="45">
        <v>14</v>
      </c>
      <c r="AA391" s="77">
        <f t="shared" si="165"/>
        <v>157</v>
      </c>
      <c r="AB391" s="77">
        <f t="shared" si="166"/>
        <v>168</v>
      </c>
      <c r="AC391" s="72">
        <f t="shared" si="153"/>
        <v>1</v>
      </c>
      <c r="AD391" s="72">
        <f t="shared" si="154"/>
        <v>0</v>
      </c>
      <c r="AE391" s="109" t="str">
        <f t="shared" si="155"/>
        <v>301-304</v>
      </c>
      <c r="AF391" s="109" t="str">
        <f t="shared" si="156"/>
        <v>Y</v>
      </c>
      <c r="AG391" s="109" t="str">
        <f t="shared" si="157"/>
        <v>A</v>
      </c>
      <c r="AM391" s="109">
        <f t="shared" si="158"/>
        <v>0</v>
      </c>
      <c r="AN391" s="109">
        <f t="shared" si="159"/>
        <v>0</v>
      </c>
      <c r="AO391" s="109" t="str">
        <f t="shared" si="160"/>
        <v/>
      </c>
      <c r="AQ391" s="109" t="str">
        <f t="shared" si="161"/>
        <v/>
      </c>
      <c r="BA391" s="229">
        <f>MOD(SUM(E386:E392),12)</f>
        <v>4</v>
      </c>
    </row>
    <row r="392" spans="1:53" ht="15" thickBot="1" x14ac:dyDescent="0.35">
      <c r="A392" s="88"/>
      <c r="B392" s="66" t="s">
        <v>295</v>
      </c>
      <c r="C392" s="67" t="s">
        <v>322</v>
      </c>
      <c r="D392" s="102" t="s">
        <v>369</v>
      </c>
      <c r="E392" s="32">
        <v>4</v>
      </c>
      <c r="F392" s="32" t="s">
        <v>339</v>
      </c>
      <c r="G392" s="68" t="s">
        <v>285</v>
      </c>
      <c r="H392" s="69">
        <f t="shared" si="162"/>
        <v>297</v>
      </c>
      <c r="I392" s="70">
        <f t="shared" si="163"/>
        <v>300</v>
      </c>
      <c r="J392" s="73" t="str">
        <f t="shared" si="164"/>
        <v>--</v>
      </c>
      <c r="K392" s="32"/>
      <c r="L392" s="233"/>
      <c r="M392" s="278"/>
      <c r="N392" s="278"/>
      <c r="O392" s="278"/>
      <c r="P392" s="278"/>
      <c r="Q392" s="278"/>
      <c r="R392" s="278"/>
      <c r="S392" s="278"/>
      <c r="T392" s="278"/>
      <c r="U392" s="279"/>
      <c r="V392" s="103"/>
      <c r="W392" s="72"/>
      <c r="X392" s="72"/>
      <c r="Y392" s="72"/>
      <c r="Z392" s="45">
        <v>15</v>
      </c>
      <c r="AA392" s="77">
        <f t="shared" si="165"/>
        <v>169</v>
      </c>
      <c r="AB392" s="77">
        <f t="shared" si="166"/>
        <v>180</v>
      </c>
      <c r="AC392" s="72">
        <f t="shared" si="153"/>
        <v>1</v>
      </c>
      <c r="AD392" s="72">
        <f t="shared" si="154"/>
        <v>0</v>
      </c>
      <c r="AE392" s="109" t="str">
        <f t="shared" si="155"/>
        <v>297-300</v>
      </c>
      <c r="AF392" s="109" t="str">
        <f t="shared" si="156"/>
        <v>Y</v>
      </c>
      <c r="AG392" s="109" t="str">
        <f t="shared" si="157"/>
        <v>A</v>
      </c>
      <c r="AM392" s="109">
        <f t="shared" si="158"/>
        <v>0</v>
      </c>
      <c r="AN392" s="109">
        <f t="shared" si="159"/>
        <v>0</v>
      </c>
      <c r="AO392" s="109" t="str">
        <f t="shared" si="160"/>
        <v/>
      </c>
      <c r="AQ392" s="109" t="str">
        <f t="shared" si="161"/>
        <v/>
      </c>
      <c r="BA392" s="229">
        <f>MOD(SUM(E386:E393),12)</f>
        <v>8</v>
      </c>
    </row>
    <row r="393" spans="1:53" ht="15" thickBot="1" x14ac:dyDescent="0.35">
      <c r="A393" s="88"/>
      <c r="B393" s="66" t="s">
        <v>296</v>
      </c>
      <c r="C393" s="67" t="s">
        <v>322</v>
      </c>
      <c r="D393" s="102" t="s">
        <v>370</v>
      </c>
      <c r="E393" s="32">
        <v>4</v>
      </c>
      <c r="F393" s="32" t="s">
        <v>339</v>
      </c>
      <c r="G393" s="68" t="s">
        <v>285</v>
      </c>
      <c r="H393" s="69">
        <f t="shared" si="162"/>
        <v>293</v>
      </c>
      <c r="I393" s="70">
        <f t="shared" si="163"/>
        <v>296</v>
      </c>
      <c r="J393" s="73" t="str">
        <f t="shared" si="164"/>
        <v>--</v>
      </c>
      <c r="K393" s="32"/>
      <c r="L393" s="233"/>
      <c r="M393" s="278"/>
      <c r="N393" s="278"/>
      <c r="O393" s="278"/>
      <c r="P393" s="278"/>
      <c r="Q393" s="278"/>
      <c r="R393" s="278"/>
      <c r="S393" s="278"/>
      <c r="T393" s="278"/>
      <c r="U393" s="279"/>
      <c r="V393" s="103"/>
      <c r="W393" s="72"/>
      <c r="X393" s="72"/>
      <c r="Y393" s="72"/>
      <c r="Z393" s="45">
        <f>Z392+1</f>
        <v>16</v>
      </c>
      <c r="AA393" s="77">
        <f t="shared" si="165"/>
        <v>181</v>
      </c>
      <c r="AB393" s="77">
        <f t="shared" si="166"/>
        <v>192</v>
      </c>
      <c r="AC393" s="72">
        <f t="shared" si="153"/>
        <v>1</v>
      </c>
      <c r="AD393" s="72">
        <f t="shared" si="154"/>
        <v>0</v>
      </c>
      <c r="AE393" s="109" t="str">
        <f t="shared" si="155"/>
        <v>293-296</v>
      </c>
      <c r="AF393" s="109" t="str">
        <f t="shared" si="156"/>
        <v>Y</v>
      </c>
      <c r="AG393" s="109" t="str">
        <f t="shared" si="157"/>
        <v>A</v>
      </c>
      <c r="AM393" s="109">
        <f t="shared" si="158"/>
        <v>0</v>
      </c>
      <c r="AN393" s="109">
        <f t="shared" si="159"/>
        <v>0</v>
      </c>
      <c r="AO393" s="109" t="str">
        <f t="shared" si="160"/>
        <v/>
      </c>
      <c r="AQ393" s="109" t="str">
        <f t="shared" si="161"/>
        <v/>
      </c>
      <c r="BA393" s="229">
        <f>MOD(SUM(E386:E394),12)</f>
        <v>8</v>
      </c>
    </row>
    <row r="394" spans="1:53" ht="15" thickBot="1" x14ac:dyDescent="0.35">
      <c r="A394" s="88"/>
      <c r="B394" s="66" t="s">
        <v>297</v>
      </c>
      <c r="C394" s="67"/>
      <c r="D394" s="102"/>
      <c r="E394" s="32"/>
      <c r="F394" s="32"/>
      <c r="G394" s="68" t="s">
        <v>285</v>
      </c>
      <c r="H394" s="69">
        <f t="shared" si="162"/>
        <v>0</v>
      </c>
      <c r="I394" s="70">
        <f t="shared" si="163"/>
        <v>0</v>
      </c>
      <c r="J394" s="73" t="str">
        <f t="shared" si="164"/>
        <v>--</v>
      </c>
      <c r="K394" s="32"/>
      <c r="L394" s="233"/>
      <c r="M394" s="278"/>
      <c r="N394" s="278"/>
      <c r="O394" s="278"/>
      <c r="P394" s="278"/>
      <c r="Q394" s="278"/>
      <c r="R394" s="278"/>
      <c r="S394" s="278"/>
      <c r="T394" s="278"/>
      <c r="U394" s="27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8</v>
      </c>
    </row>
    <row r="395" spans="1:53" ht="15" thickBot="1" x14ac:dyDescent="0.35">
      <c r="A395" s="88"/>
      <c r="B395" s="66" t="s">
        <v>298</v>
      </c>
      <c r="C395" s="67"/>
      <c r="D395" s="102"/>
      <c r="E395" s="32"/>
      <c r="F395" s="32"/>
      <c r="G395" s="68" t="s">
        <v>285</v>
      </c>
      <c r="H395" s="69">
        <f t="shared" si="162"/>
        <v>0</v>
      </c>
      <c r="I395" s="70">
        <f t="shared" si="163"/>
        <v>0</v>
      </c>
      <c r="J395" s="73" t="str">
        <f t="shared" si="164"/>
        <v>--</v>
      </c>
      <c r="K395" s="32"/>
      <c r="L395" s="233"/>
      <c r="M395" s="278"/>
      <c r="N395" s="278"/>
      <c r="O395" s="278"/>
      <c r="P395" s="278"/>
      <c r="Q395" s="278"/>
      <c r="R395" s="278"/>
      <c r="S395" s="278"/>
      <c r="T395" s="278"/>
      <c r="U395" s="27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8</v>
      </c>
    </row>
    <row r="396" spans="1:53" ht="15" thickBot="1" x14ac:dyDescent="0.35">
      <c r="A396" s="88"/>
      <c r="B396" s="66" t="s">
        <v>299</v>
      </c>
      <c r="C396" s="67"/>
      <c r="D396" s="102" t="s">
        <v>261</v>
      </c>
      <c r="E396" s="32"/>
      <c r="F396" s="32"/>
      <c r="G396" s="68" t="s">
        <v>285</v>
      </c>
      <c r="H396" s="69">
        <f t="shared" si="162"/>
        <v>0</v>
      </c>
      <c r="I396" s="70">
        <f t="shared" si="163"/>
        <v>0</v>
      </c>
      <c r="J396" s="73" t="str">
        <f t="shared" si="164"/>
        <v>--</v>
      </c>
      <c r="K396" s="32"/>
      <c r="L396" s="233"/>
      <c r="M396" s="278"/>
      <c r="N396" s="278"/>
      <c r="O396" s="278"/>
      <c r="P396" s="278"/>
      <c r="Q396" s="278"/>
      <c r="R396" s="278"/>
      <c r="S396" s="278"/>
      <c r="T396" s="278"/>
      <c r="U396" s="279"/>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8</v>
      </c>
    </row>
    <row r="397" spans="1:53" ht="15" thickBot="1" x14ac:dyDescent="0.35">
      <c r="A397" s="88"/>
      <c r="B397" s="66" t="s">
        <v>300</v>
      </c>
      <c r="C397" s="67"/>
      <c r="D397" s="102"/>
      <c r="E397" s="32"/>
      <c r="F397" s="32"/>
      <c r="G397" s="68" t="s">
        <v>285</v>
      </c>
      <c r="H397" s="69">
        <f t="shared" si="162"/>
        <v>0</v>
      </c>
      <c r="I397" s="70">
        <f t="shared" si="163"/>
        <v>0</v>
      </c>
      <c r="J397" s="73" t="str">
        <f t="shared" si="164"/>
        <v>--</v>
      </c>
      <c r="K397" s="32"/>
      <c r="L397" s="233"/>
      <c r="M397" s="278"/>
      <c r="N397" s="278"/>
      <c r="O397" s="278"/>
      <c r="P397" s="278"/>
      <c r="Q397" s="278"/>
      <c r="R397" s="278"/>
      <c r="S397" s="278"/>
      <c r="T397" s="278"/>
      <c r="U397" s="279"/>
      <c r="V397" s="103"/>
      <c r="W397" s="84">
        <f>Y397+1</f>
        <v>33</v>
      </c>
      <c r="X397" s="84"/>
      <c r="Y397" s="78">
        <f>SUM(E386:E397)</f>
        <v>32</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8</v>
      </c>
    </row>
    <row r="398" spans="1:53" ht="15" thickBot="1" x14ac:dyDescent="0.35">
      <c r="A398" s="88"/>
      <c r="B398" s="66" t="s">
        <v>301</v>
      </c>
      <c r="C398" s="67"/>
      <c r="D398" s="102"/>
      <c r="E398" s="32"/>
      <c r="F398" s="32"/>
      <c r="G398" s="68" t="s">
        <v>285</v>
      </c>
      <c r="H398" s="69">
        <f t="shared" si="162"/>
        <v>0</v>
      </c>
      <c r="I398" s="70">
        <f t="shared" si="163"/>
        <v>0</v>
      </c>
      <c r="J398" s="73" t="str">
        <f t="shared" si="164"/>
        <v>--</v>
      </c>
      <c r="K398" s="32"/>
      <c r="L398" s="233"/>
      <c r="M398" s="278"/>
      <c r="N398" s="278"/>
      <c r="O398" s="278"/>
      <c r="P398" s="278"/>
      <c r="Q398" s="278"/>
      <c r="R398" s="278"/>
      <c r="S398" s="278"/>
      <c r="T398" s="278"/>
      <c r="U398" s="279"/>
      <c r="V398" s="103"/>
      <c r="W398" s="84">
        <f>Y398+1</f>
        <v>33</v>
      </c>
      <c r="X398" s="84"/>
      <c r="Y398" s="78">
        <f>SUM(E386:E398)</f>
        <v>32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8</v>
      </c>
    </row>
    <row r="399" spans="1:53" ht="15" thickBot="1" x14ac:dyDescent="0.35">
      <c r="A399" s="88"/>
      <c r="B399" s="66" t="s">
        <v>302</v>
      </c>
      <c r="C399" s="67"/>
      <c r="D399" s="102"/>
      <c r="E399" s="32"/>
      <c r="F399" s="32"/>
      <c r="G399" s="68" t="s">
        <v>285</v>
      </c>
      <c r="H399" s="69">
        <f t="shared" si="162"/>
        <v>0</v>
      </c>
      <c r="I399" s="70">
        <f t="shared" si="163"/>
        <v>0</v>
      </c>
      <c r="J399" s="73" t="str">
        <f t="shared" si="164"/>
        <v>--</v>
      </c>
      <c r="K399" s="32"/>
      <c r="L399" s="233"/>
      <c r="M399" s="278"/>
      <c r="N399" s="278"/>
      <c r="O399" s="278"/>
      <c r="P399" s="278"/>
      <c r="Q399" s="278"/>
      <c r="R399" s="278"/>
      <c r="S399" s="278"/>
      <c r="T399" s="278"/>
      <c r="U399" s="279"/>
      <c r="V399" s="103"/>
      <c r="W399" s="84">
        <f>Y399+1</f>
        <v>33</v>
      </c>
      <c r="X399" s="84"/>
      <c r="Y399" s="78">
        <f>SUM(E386:E399)</f>
        <v>32</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8</v>
      </c>
    </row>
    <row r="400" spans="1:53" ht="15" thickBot="1" x14ac:dyDescent="0.35">
      <c r="A400" s="88"/>
      <c r="B400" s="66" t="s">
        <v>303</v>
      </c>
      <c r="C400" s="67"/>
      <c r="D400" s="102"/>
      <c r="E400" s="32"/>
      <c r="F400" s="32"/>
      <c r="G400" s="68" t="s">
        <v>285</v>
      </c>
      <c r="H400" s="69">
        <f t="shared" si="162"/>
        <v>0</v>
      </c>
      <c r="I400" s="70">
        <f t="shared" si="163"/>
        <v>0</v>
      </c>
      <c r="J400" s="73" t="str">
        <f t="shared" si="164"/>
        <v>--</v>
      </c>
      <c r="K400" s="32"/>
      <c r="L400" s="233"/>
      <c r="M400" s="278"/>
      <c r="N400" s="278"/>
      <c r="O400" s="278"/>
      <c r="P400" s="278"/>
      <c r="Q400" s="278"/>
      <c r="R400" s="278"/>
      <c r="S400" s="278"/>
      <c r="T400" s="278"/>
      <c r="U400" s="279"/>
      <c r="V400" s="103"/>
      <c r="W400" s="84">
        <f>Y400+1</f>
        <v>33</v>
      </c>
      <c r="X400" s="84"/>
      <c r="Y400" s="78">
        <f>SUM(E386:E400)</f>
        <v>32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8</v>
      </c>
    </row>
    <row r="401" spans="1:53" ht="15" thickBot="1" x14ac:dyDescent="0.35">
      <c r="A401" s="88"/>
      <c r="B401" s="66" t="s">
        <v>304</v>
      </c>
      <c r="C401" s="67"/>
      <c r="D401" s="102"/>
      <c r="E401" s="32"/>
      <c r="F401" s="32"/>
      <c r="G401" s="68" t="s">
        <v>285</v>
      </c>
      <c r="H401" s="69">
        <f t="shared" si="162"/>
        <v>0</v>
      </c>
      <c r="I401" s="70">
        <f t="shared" si="163"/>
        <v>0</v>
      </c>
      <c r="J401" s="73" t="str">
        <f t="shared" si="164"/>
        <v>--</v>
      </c>
      <c r="K401" s="32"/>
      <c r="L401" s="233"/>
      <c r="M401" s="278"/>
      <c r="N401" s="278"/>
      <c r="O401" s="278"/>
      <c r="P401" s="278"/>
      <c r="Q401" s="278"/>
      <c r="R401" s="278"/>
      <c r="S401" s="278"/>
      <c r="T401" s="278"/>
      <c r="U401" s="279"/>
      <c r="V401" s="103"/>
      <c r="W401" s="84">
        <f t="shared" ref="W401:W409" si="169">Y401+1</f>
        <v>33</v>
      </c>
      <c r="X401" s="84"/>
      <c r="Y401" s="78">
        <f>SUM(E386:E401)</f>
        <v>32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8</v>
      </c>
    </row>
    <row r="402" spans="1:53" ht="15" thickBot="1" x14ac:dyDescent="0.35">
      <c r="A402" s="88"/>
      <c r="B402" s="66" t="s">
        <v>305</v>
      </c>
      <c r="C402" s="67"/>
      <c r="D402" s="102"/>
      <c r="E402" s="32"/>
      <c r="F402" s="32"/>
      <c r="G402" s="68" t="s">
        <v>285</v>
      </c>
      <c r="H402" s="69">
        <f t="shared" si="162"/>
        <v>0</v>
      </c>
      <c r="I402" s="70">
        <f t="shared" si="163"/>
        <v>0</v>
      </c>
      <c r="J402" s="73" t="str">
        <f t="shared" si="164"/>
        <v>--</v>
      </c>
      <c r="K402" s="32"/>
      <c r="L402" s="233"/>
      <c r="M402" s="278"/>
      <c r="N402" s="278"/>
      <c r="O402" s="278"/>
      <c r="P402" s="278"/>
      <c r="Q402" s="278"/>
      <c r="R402" s="278"/>
      <c r="S402" s="278"/>
      <c r="T402" s="278"/>
      <c r="U402" s="279"/>
      <c r="V402" s="103"/>
      <c r="W402" s="84">
        <f t="shared" si="169"/>
        <v>33</v>
      </c>
      <c r="X402" s="84"/>
      <c r="Y402" s="78">
        <f>SUM(E386:E402)</f>
        <v>32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8</v>
      </c>
    </row>
    <row r="403" spans="1:53" ht="15" thickBot="1" x14ac:dyDescent="0.35">
      <c r="A403" s="88"/>
      <c r="B403" s="66" t="s">
        <v>306</v>
      </c>
      <c r="C403" s="67"/>
      <c r="D403" s="102"/>
      <c r="E403" s="32"/>
      <c r="F403" s="32"/>
      <c r="G403" s="68" t="s">
        <v>285</v>
      </c>
      <c r="H403" s="69">
        <f t="shared" si="162"/>
        <v>0</v>
      </c>
      <c r="I403" s="70">
        <f t="shared" si="163"/>
        <v>0</v>
      </c>
      <c r="J403" s="73" t="str">
        <f t="shared" si="164"/>
        <v>--</v>
      </c>
      <c r="K403" s="32"/>
      <c r="L403" s="233"/>
      <c r="M403" s="278"/>
      <c r="N403" s="278"/>
      <c r="O403" s="278"/>
      <c r="P403" s="278"/>
      <c r="Q403" s="278"/>
      <c r="R403" s="278"/>
      <c r="S403" s="278"/>
      <c r="T403" s="278"/>
      <c r="U403" s="279"/>
      <c r="V403" s="103"/>
      <c r="W403" s="84">
        <f t="shared" si="169"/>
        <v>33</v>
      </c>
      <c r="X403" s="84"/>
      <c r="Y403" s="78">
        <f>SUM(E386:E403)</f>
        <v>32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8</v>
      </c>
    </row>
    <row r="404" spans="1:53" ht="15" thickBot="1" x14ac:dyDescent="0.35">
      <c r="A404" s="88"/>
      <c r="B404" s="66" t="s">
        <v>307</v>
      </c>
      <c r="C404" s="67"/>
      <c r="D404" s="102"/>
      <c r="E404" s="32"/>
      <c r="F404" s="32"/>
      <c r="G404" s="68" t="s">
        <v>285</v>
      </c>
      <c r="H404" s="69">
        <f t="shared" si="162"/>
        <v>0</v>
      </c>
      <c r="I404" s="70">
        <f t="shared" si="163"/>
        <v>0</v>
      </c>
      <c r="J404" s="73" t="str">
        <f t="shared" si="164"/>
        <v>--</v>
      </c>
      <c r="K404" s="32"/>
      <c r="L404" s="233"/>
      <c r="M404" s="278"/>
      <c r="N404" s="278"/>
      <c r="O404" s="278"/>
      <c r="P404" s="278"/>
      <c r="Q404" s="278"/>
      <c r="R404" s="278"/>
      <c r="S404" s="278"/>
      <c r="T404" s="278"/>
      <c r="U404" s="279"/>
      <c r="V404" s="103"/>
      <c r="W404" s="84">
        <f t="shared" si="169"/>
        <v>33</v>
      </c>
      <c r="X404" s="84"/>
      <c r="Y404" s="78">
        <f>SUM(E386:E404)</f>
        <v>32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8</v>
      </c>
    </row>
    <row r="405" spans="1:53" ht="15" thickBot="1" x14ac:dyDescent="0.35">
      <c r="A405" s="88"/>
      <c r="B405" s="66" t="s">
        <v>308</v>
      </c>
      <c r="C405" s="67"/>
      <c r="D405" s="102"/>
      <c r="E405" s="32"/>
      <c r="F405" s="32"/>
      <c r="G405" s="68" t="s">
        <v>285</v>
      </c>
      <c r="H405" s="69">
        <f t="shared" si="162"/>
        <v>0</v>
      </c>
      <c r="I405" s="70">
        <f t="shared" si="163"/>
        <v>0</v>
      </c>
      <c r="J405" s="73" t="str">
        <f t="shared" si="164"/>
        <v>--</v>
      </c>
      <c r="K405" s="32"/>
      <c r="L405" s="233"/>
      <c r="M405" s="278"/>
      <c r="N405" s="278"/>
      <c r="O405" s="278"/>
      <c r="P405" s="278"/>
      <c r="Q405" s="278"/>
      <c r="R405" s="278"/>
      <c r="S405" s="278"/>
      <c r="T405" s="278"/>
      <c r="U405" s="279"/>
      <c r="V405" s="103"/>
      <c r="W405" s="84">
        <f t="shared" si="169"/>
        <v>33</v>
      </c>
      <c r="X405" s="84"/>
      <c r="Y405" s="78">
        <f>SUM(E386:E405)</f>
        <v>32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8</v>
      </c>
    </row>
    <row r="406" spans="1:53" ht="15" thickBot="1" x14ac:dyDescent="0.35">
      <c r="A406" s="88"/>
      <c r="B406" s="66" t="s">
        <v>309</v>
      </c>
      <c r="C406" s="67"/>
      <c r="D406" s="102"/>
      <c r="E406" s="32"/>
      <c r="F406" s="32"/>
      <c r="G406" s="68" t="s">
        <v>285</v>
      </c>
      <c r="H406" s="69">
        <f t="shared" si="162"/>
        <v>0</v>
      </c>
      <c r="I406" s="70">
        <f t="shared" si="163"/>
        <v>0</v>
      </c>
      <c r="J406" s="73" t="str">
        <f t="shared" si="164"/>
        <v>--</v>
      </c>
      <c r="K406" s="32"/>
      <c r="L406" s="233"/>
      <c r="M406" s="278"/>
      <c r="N406" s="278"/>
      <c r="O406" s="278"/>
      <c r="P406" s="278"/>
      <c r="Q406" s="278"/>
      <c r="R406" s="278"/>
      <c r="S406" s="278"/>
      <c r="T406" s="278"/>
      <c r="U406" s="279"/>
      <c r="V406" s="103"/>
      <c r="W406" s="84">
        <f t="shared" si="169"/>
        <v>33</v>
      </c>
      <c r="X406" s="84"/>
      <c r="Y406" s="78">
        <f>SUM(E386:E406)</f>
        <v>32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8</v>
      </c>
    </row>
    <row r="407" spans="1:53" ht="15" thickBot="1" x14ac:dyDescent="0.35">
      <c r="A407" s="88"/>
      <c r="B407" s="66" t="s">
        <v>310</v>
      </c>
      <c r="C407" s="67"/>
      <c r="D407" s="102"/>
      <c r="E407" s="32"/>
      <c r="F407" s="32"/>
      <c r="G407" s="68" t="s">
        <v>285</v>
      </c>
      <c r="H407" s="69">
        <f t="shared" si="162"/>
        <v>0</v>
      </c>
      <c r="I407" s="70">
        <f t="shared" si="163"/>
        <v>0</v>
      </c>
      <c r="J407" s="73" t="str">
        <f t="shared" si="164"/>
        <v>--</v>
      </c>
      <c r="K407" s="32"/>
      <c r="L407" s="233"/>
      <c r="M407" s="278"/>
      <c r="N407" s="278"/>
      <c r="O407" s="278"/>
      <c r="P407" s="278"/>
      <c r="Q407" s="278"/>
      <c r="R407" s="278"/>
      <c r="S407" s="278"/>
      <c r="T407" s="278"/>
      <c r="U407" s="279"/>
      <c r="V407" s="103"/>
      <c r="W407" s="84">
        <f t="shared" si="169"/>
        <v>33</v>
      </c>
      <c r="X407" s="84"/>
      <c r="Y407" s="78">
        <f>SUM(E386:E407)</f>
        <v>32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8</v>
      </c>
    </row>
    <row r="408" spans="1:53" ht="15" thickBot="1" x14ac:dyDescent="0.35">
      <c r="A408" s="88"/>
      <c r="B408" s="66" t="s">
        <v>311</v>
      </c>
      <c r="C408" s="67"/>
      <c r="D408" s="102"/>
      <c r="E408" s="32"/>
      <c r="F408" s="32"/>
      <c r="G408" s="68" t="s">
        <v>285</v>
      </c>
      <c r="H408" s="69">
        <f t="shared" si="162"/>
        <v>0</v>
      </c>
      <c r="I408" s="70">
        <f t="shared" si="163"/>
        <v>0</v>
      </c>
      <c r="J408" s="73" t="str">
        <f t="shared" si="164"/>
        <v>--</v>
      </c>
      <c r="K408" s="32"/>
      <c r="L408" s="233"/>
      <c r="M408" s="278"/>
      <c r="N408" s="278"/>
      <c r="O408" s="278"/>
      <c r="P408" s="278"/>
      <c r="Q408" s="278"/>
      <c r="R408" s="278"/>
      <c r="S408" s="278"/>
      <c r="T408" s="278"/>
      <c r="U408" s="279"/>
      <c r="V408" s="103"/>
      <c r="W408" s="84">
        <f t="shared" si="169"/>
        <v>33</v>
      </c>
      <c r="X408" s="84"/>
      <c r="Y408" s="78">
        <f>SUM(E386:E408)</f>
        <v>32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8</v>
      </c>
    </row>
    <row r="409" spans="1:53" ht="15" thickBot="1" x14ac:dyDescent="0.35">
      <c r="A409" s="88"/>
      <c r="B409" s="66" t="s">
        <v>312</v>
      </c>
      <c r="C409" s="67"/>
      <c r="D409" s="102"/>
      <c r="E409" s="32"/>
      <c r="F409" s="32"/>
      <c r="G409" s="68" t="s">
        <v>285</v>
      </c>
      <c r="H409" s="69">
        <f t="shared" si="162"/>
        <v>0</v>
      </c>
      <c r="I409" s="70">
        <f t="shared" si="163"/>
        <v>0</v>
      </c>
      <c r="J409" s="73" t="str">
        <f t="shared" si="164"/>
        <v>--</v>
      </c>
      <c r="K409" s="32"/>
      <c r="L409" s="233"/>
      <c r="M409" s="278"/>
      <c r="N409" s="278"/>
      <c r="O409" s="278"/>
      <c r="P409" s="278"/>
      <c r="Q409" s="278"/>
      <c r="R409" s="278"/>
      <c r="S409" s="278"/>
      <c r="T409" s="278"/>
      <c r="U409" s="279"/>
      <c r="V409" s="103"/>
      <c r="W409" s="84">
        <f t="shared" si="169"/>
        <v>33</v>
      </c>
      <c r="X409" s="84"/>
      <c r="Y409" s="78">
        <f>SUM(E386:E409)</f>
        <v>32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8</v>
      </c>
    </row>
    <row r="410" spans="1:53" ht="15" thickBot="1" x14ac:dyDescent="0.35">
      <c r="A410" s="88"/>
      <c r="B410" s="66" t="s">
        <v>313</v>
      </c>
      <c r="C410" s="67"/>
      <c r="D410" s="102"/>
      <c r="E410" s="32"/>
      <c r="F410" s="32"/>
      <c r="G410" s="68" t="s">
        <v>285</v>
      </c>
      <c r="H410" s="69">
        <f t="shared" si="162"/>
        <v>0</v>
      </c>
      <c r="I410" s="70">
        <f t="shared" si="163"/>
        <v>0</v>
      </c>
      <c r="J410" s="73" t="str">
        <f t="shared" si="164"/>
        <v>--</v>
      </c>
      <c r="K410" s="32"/>
      <c r="L410" s="234"/>
      <c r="M410" s="278"/>
      <c r="N410" s="278"/>
      <c r="O410" s="278"/>
      <c r="P410" s="278"/>
      <c r="Q410" s="278"/>
      <c r="R410" s="278"/>
      <c r="S410" s="278"/>
      <c r="T410" s="278"/>
      <c r="U410" s="279"/>
      <c r="V410" s="103"/>
      <c r="W410" s="72"/>
      <c r="X410" s="72"/>
      <c r="Y410" s="78">
        <f>SUM(E386:E410)</f>
        <v>32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2" thickBot="1" x14ac:dyDescent="0.35">
      <c r="A411" s="88"/>
      <c r="B411" s="319" t="s">
        <v>371</v>
      </c>
      <c r="C411" s="320"/>
      <c r="D411" s="79"/>
      <c r="E411" s="80"/>
      <c r="F411" s="80"/>
      <c r="G411" s="81"/>
      <c r="H411" s="192"/>
      <c r="I411" s="192"/>
      <c r="J411" s="192"/>
      <c r="K411" s="82"/>
      <c r="L411" s="319" t="s">
        <v>319</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17</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2" thickBot="1" x14ac:dyDescent="0.35">
      <c r="A412" s="88"/>
      <c r="B412" s="319" t="s">
        <v>320</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 thickBot="1"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5">
      <c r="A415" s="88"/>
      <c r="B415" s="85" t="s">
        <v>372</v>
      </c>
      <c r="C415" s="25"/>
      <c r="D415" s="25"/>
      <c r="E415" s="25"/>
      <c r="F415" s="88"/>
      <c r="G415" s="25"/>
      <c r="H415" s="25"/>
      <c r="I415" s="87"/>
      <c r="J415" s="26"/>
      <c r="K415" s="25"/>
      <c r="L415" s="25"/>
      <c r="M415" s="196" t="s">
        <v>217</v>
      </c>
      <c r="N415" s="196" t="s">
        <v>218</v>
      </c>
      <c r="O415" s="196" t="s">
        <v>219</v>
      </c>
      <c r="P415" s="196" t="s">
        <v>220</v>
      </c>
      <c r="Q415" s="196" t="s">
        <v>221</v>
      </c>
      <c r="R415" s="196" t="s">
        <v>222</v>
      </c>
      <c r="S415" s="196" t="s">
        <v>223</v>
      </c>
      <c r="T415" s="196" t="s">
        <v>224</v>
      </c>
      <c r="U415" s="196" t="s">
        <v>225</v>
      </c>
      <c r="V415" s="196" t="s">
        <v>226</v>
      </c>
      <c r="W415" s="113" t="s">
        <v>227</v>
      </c>
      <c r="X415" s="196" t="s">
        <v>228</v>
      </c>
      <c r="Y415" s="25"/>
      <c r="Z415" s="25"/>
      <c r="AA415" s="25"/>
      <c r="AB415" s="25"/>
      <c r="AC415" s="25"/>
      <c r="AD415" s="25"/>
      <c r="BA415" s="226"/>
    </row>
    <row r="416" spans="1:53" ht="15.6" thickTop="1" thickBot="1" x14ac:dyDescent="0.35">
      <c r="A416" s="88"/>
      <c r="B416" s="312" t="s">
        <v>229</v>
      </c>
      <c r="C416" s="313"/>
      <c r="D416" s="314" t="s">
        <v>230</v>
      </c>
      <c r="E416" s="305"/>
      <c r="F416" s="88"/>
      <c r="G416" s="315" t="s">
        <v>231</v>
      </c>
      <c r="H416" s="316"/>
      <c r="I416" s="28">
        <f>SUM(E427:E451)</f>
        <v>36</v>
      </c>
      <c r="J416" s="317" t="s">
        <v>232</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233</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234</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5">
      <c r="A417" s="88"/>
      <c r="B417" s="29" t="s">
        <v>235</v>
      </c>
      <c r="C417" s="30">
        <v>0</v>
      </c>
      <c r="D417" s="31" t="s">
        <v>236</v>
      </c>
      <c r="E417" s="66" t="str">
        <f>TEXT(IF('Cable Calculator'!BB7="","",'Cable Calculator'!BB7),)</f>
        <v>EUC</v>
      </c>
      <c r="F417" s="88"/>
      <c r="G417" s="304" t="s">
        <v>237</v>
      </c>
      <c r="H417" s="305"/>
      <c r="I417" s="33">
        <f>E418-I416</f>
        <v>12</v>
      </c>
      <c r="J417" s="289" t="s">
        <v>238</v>
      </c>
      <c r="K417" s="290"/>
      <c r="L417" s="34">
        <f>I421</f>
        <v>361</v>
      </c>
      <c r="M417" s="196">
        <v>4</v>
      </c>
      <c r="N417" s="35">
        <f>SUM(AI417,AI428)</f>
        <v>0</v>
      </c>
      <c r="O417" s="35">
        <v>0</v>
      </c>
      <c r="P417" s="35">
        <f>SUM(AJ417,AJ428)</f>
        <v>0</v>
      </c>
      <c r="Q417" s="35">
        <v>0</v>
      </c>
      <c r="R417" s="35">
        <f>COUNTIFS($E427:$E451,"4",$F427:$F451,"Pole",$C427:$C451,"FST")</f>
        <v>9</v>
      </c>
      <c r="S417" s="35">
        <f>SUM(AL417,AK428)</f>
        <v>0</v>
      </c>
      <c r="T417" s="35">
        <v>0</v>
      </c>
      <c r="U417" s="35">
        <f>SUM(AK417,AL428)</f>
        <v>9</v>
      </c>
      <c r="V417" s="35">
        <v>0</v>
      </c>
      <c r="W417" s="34">
        <f>COUNTIFS($E427:$E451,"4",$F427:$F451,"HH",$C427:$C451,"FST")</f>
        <v>0</v>
      </c>
      <c r="X417" s="35">
        <f>COUNTIFS($E427:$E451,"4",$F427:$F451,"Ped",$C427:$C451,"FST")</f>
        <v>0</v>
      </c>
      <c r="Y417" s="25"/>
      <c r="Z417" s="298" t="s">
        <v>239</v>
      </c>
      <c r="AA417" s="300" t="s">
        <v>240</v>
      </c>
      <c r="AB417" s="301"/>
      <c r="AC417" s="25"/>
      <c r="AD417" s="25"/>
      <c r="AH417" s="109">
        <v>4</v>
      </c>
      <c r="AI417" s="109" t="str">
        <f>IF($E417="SS",COUNTIFS($C427:$C451,"FST",$E427:$E451,"4"),"0")</f>
        <v>0</v>
      </c>
      <c r="AJ417" s="109" t="str">
        <f>IF($E417="RPX",COUNTIFS($C427:$C451,"FST",$E427:$E451,"4"),"0")</f>
        <v>0</v>
      </c>
      <c r="AK417" s="109">
        <f>IF($E417="EUC",COUNTIFS($C427:$C451,"FST",$E427:$E451,"4"),"0")</f>
        <v>9</v>
      </c>
      <c r="AL417" s="109" t="str">
        <f>IF($E417="RPX-T",COUNTIFS($C427:$C451,"FST",$E427:$E451,"4"),"0")</f>
        <v>0</v>
      </c>
      <c r="AS417" s="109" t="str">
        <f>IF(AND(E422="Y",E418=24,E419=0),"Y","N")</f>
        <v>N</v>
      </c>
      <c r="AT417" s="110" t="s">
        <v>241</v>
      </c>
      <c r="AU417" s="109">
        <f>COUNTIFS($E417,"SS",$AS417,"Y")</f>
        <v>0</v>
      </c>
      <c r="AV417" s="111">
        <f>COUNTIFS($E417,"RPX",$AS417,"Y")</f>
        <v>0</v>
      </c>
      <c r="AW417" s="111">
        <f>COUNTIFS($E417,"EUC",$AS417,"Y")</f>
        <v>0</v>
      </c>
      <c r="AX417" s="109">
        <f>COUNTIFS($E417,"RPX-T",$AS417,"Y")</f>
        <v>0</v>
      </c>
      <c r="BA417" s="227"/>
    </row>
    <row r="418" spans="1:53" ht="15.6" thickTop="1" thickBot="1" x14ac:dyDescent="0.35">
      <c r="A418" s="88"/>
      <c r="B418" s="36" t="s">
        <v>242</v>
      </c>
      <c r="C418" s="37">
        <v>0</v>
      </c>
      <c r="D418" s="38" t="s">
        <v>243</v>
      </c>
      <c r="E418" s="32">
        <v>48</v>
      </c>
      <c r="F418" s="88"/>
      <c r="G418" s="291" t="s">
        <v>244</v>
      </c>
      <c r="H418" s="292"/>
      <c r="I418" s="35">
        <f>IF(E418=0,0,12-(MOD(I416,12)))</f>
        <v>12</v>
      </c>
      <c r="J418" s="289" t="s">
        <v>245</v>
      </c>
      <c r="K418" s="290"/>
      <c r="L418" s="39">
        <f>I422-I416</f>
        <v>360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246</v>
      </c>
      <c r="AU418" s="109">
        <f>COUNTIFS($E417,"SS",$AS418,"Y")</f>
        <v>0</v>
      </c>
      <c r="AV418" s="108">
        <f>COUNTIFS($E417,"RPX",$AS418,"Y")</f>
        <v>0</v>
      </c>
      <c r="AW418" s="108">
        <f>COUNTIFS($E417,"EUC",$AS418,"Y")</f>
        <v>0</v>
      </c>
      <c r="AX418" s="109">
        <f>COUNTIFS($E417,"RPX-T",$AS418,"Y")</f>
        <v>0</v>
      </c>
      <c r="BA418" s="227"/>
    </row>
    <row r="419" spans="1:53" ht="16.5" customHeight="1" thickTop="1" thickBot="1" x14ac:dyDescent="0.35">
      <c r="A419" s="88"/>
      <c r="B419" s="40" t="s">
        <v>247</v>
      </c>
      <c r="C419" s="30">
        <v>0</v>
      </c>
      <c r="D419" s="41" t="s">
        <v>248</v>
      </c>
      <c r="E419" s="42">
        <v>12</v>
      </c>
      <c r="F419" s="88"/>
      <c r="G419" s="321" t="s">
        <v>249</v>
      </c>
      <c r="H419" s="43" t="s">
        <v>250</v>
      </c>
      <c r="I419" s="35">
        <f>IF(E419&lt;&gt;0,1,0)</f>
        <v>1</v>
      </c>
      <c r="J419" s="291" t="s">
        <v>251</v>
      </c>
      <c r="K419" s="292"/>
      <c r="L419" s="44">
        <f>'Cable Calculator'!BB3</f>
        <v>1290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252</v>
      </c>
      <c r="AU419" s="109">
        <f>COUNTIFS($E417,"SS",$AS419,"Y")</f>
        <v>0</v>
      </c>
      <c r="AV419" s="108">
        <f>COUNTIFS($E417,"RPX",$AS419,"Y")</f>
        <v>0</v>
      </c>
      <c r="AW419" s="108">
        <f>COUNTIFS($E417,"EUC",$AS419,"Y")</f>
        <v>0</v>
      </c>
      <c r="AX419" s="109">
        <f>COUNTIFS($E417,"RPX-T",$AS419,"Y")</f>
        <v>0</v>
      </c>
      <c r="BA419" s="227"/>
    </row>
    <row r="420" spans="1:53" ht="15.6" thickTop="1" thickBot="1" x14ac:dyDescent="0.35">
      <c r="A420" s="88"/>
      <c r="B420" s="29" t="s">
        <v>253</v>
      </c>
      <c r="C420" s="37">
        <v>0</v>
      </c>
      <c r="D420" s="41" t="s">
        <v>254</v>
      </c>
      <c r="E420" s="42">
        <v>361</v>
      </c>
      <c r="F420" s="88"/>
      <c r="G420" s="322"/>
      <c r="H420" s="47" t="s">
        <v>255</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5">
      <c r="A421" s="88"/>
      <c r="B421" s="36" t="s">
        <v>256</v>
      </c>
      <c r="C421" s="30">
        <v>0</v>
      </c>
      <c r="D421" s="49" t="s">
        <v>257</v>
      </c>
      <c r="E421" s="50">
        <f>E418/12</f>
        <v>4</v>
      </c>
      <c r="F421" s="88"/>
      <c r="G421" s="321" t="s">
        <v>258</v>
      </c>
      <c r="H421" s="51" t="s">
        <v>259</v>
      </c>
      <c r="I421" s="112">
        <f>E420</f>
        <v>361</v>
      </c>
      <c r="J421" s="323" t="s">
        <v>260</v>
      </c>
      <c r="K421" s="324"/>
      <c r="L421" s="325"/>
      <c r="M421" s="52" t="s">
        <v>261</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5.6" thickTop="1" thickBot="1" x14ac:dyDescent="0.35">
      <c r="A422" s="88"/>
      <c r="B422" s="36" t="s">
        <v>262</v>
      </c>
      <c r="C422" s="30">
        <v>0</v>
      </c>
      <c r="D422" s="31" t="s">
        <v>263</v>
      </c>
      <c r="E422" s="101" t="str">
        <f>IF('Cable Calculator'!BB5="","",'Cable Calculator'!BB5)</f>
        <v>N</v>
      </c>
      <c r="F422" s="88"/>
      <c r="G422" s="322"/>
      <c r="H422" s="47" t="s">
        <v>264</v>
      </c>
      <c r="I422" s="35">
        <f>IF(E420="","0",IF(AND(E417="EUC",E418=432), I421+(203-E419),IF(E420=0,0,(E420+(E418-E419)-1))))</f>
        <v>396</v>
      </c>
      <c r="J422" s="286" t="str">
        <f>IFERROR(IF(OR(E417="EUC",E417="SS"),"---",IF(OR(P416,S416),"NO 2F Tethers for RPX!",IF(OR(P418,S418),"NO 6F Tethers for RPX!","---"))),"---")</f>
        <v>---</v>
      </c>
      <c r="K422" s="287"/>
      <c r="L422" s="288"/>
      <c r="M422" s="286" t="str">
        <f>IF(E419&gt;60,"Dead Count &gt;60: Consider Downsize","---")</f>
        <v>---</v>
      </c>
      <c r="N422" s="287"/>
      <c r="O422" s="287"/>
      <c r="P422" s="287"/>
      <c r="Q422" s="287"/>
      <c r="R422" s="287"/>
      <c r="S422" s="287"/>
      <c r="T422" s="287"/>
      <c r="U422" s="288"/>
      <c r="V422" s="100"/>
      <c r="W422" s="54">
        <f>SUM(P422:U422)</f>
        <v>0</v>
      </c>
      <c r="X422" s="54"/>
      <c r="Y422" s="25"/>
      <c r="Z422" s="45">
        <v>4</v>
      </c>
      <c r="AA422" s="46">
        <v>37</v>
      </c>
      <c r="AB422" s="46">
        <v>48</v>
      </c>
      <c r="AC422" s="25"/>
      <c r="AD422" s="25"/>
      <c r="BA422" s="227"/>
    </row>
    <row r="423" spans="1:53" ht="15.6" thickTop="1" thickBot="1" x14ac:dyDescent="0.35">
      <c r="A423" s="88"/>
      <c r="B423" s="55" t="s">
        <v>265</v>
      </c>
      <c r="C423" s="56">
        <f>SUM(C417:C422)+I416</f>
        <v>36</v>
      </c>
      <c r="D423" s="31" t="s">
        <v>266</v>
      </c>
      <c r="E423" s="101" t="str">
        <f>IF(AS417="Y","DBL",IF(AS418="Y","TRPL",IF(AS419="Y","QUAD","")))</f>
        <v/>
      </c>
      <c r="F423" s="88"/>
      <c r="G423" s="192"/>
      <c r="H423" s="57"/>
      <c r="I423" s="192"/>
      <c r="J423" s="286"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7"/>
      <c r="L423" s="288"/>
      <c r="M423" s="286" t="str">
        <f>IF(AND(OR(E417="SS",E417="RPX",E417="EUC",E417="RPX-T"),(OR(C427="",C427="Field SPL"))),"Cannot have FlexNap cables without tethers","---")</f>
        <v>---</v>
      </c>
      <c r="N423" s="287"/>
      <c r="O423" s="287"/>
      <c r="P423" s="287"/>
      <c r="Q423" s="287"/>
      <c r="R423" s="287"/>
      <c r="S423" s="287"/>
      <c r="T423" s="287"/>
      <c r="U423" s="288"/>
      <c r="V423" s="25"/>
      <c r="W423" s="58"/>
      <c r="X423" s="58"/>
      <c r="Y423" s="25"/>
      <c r="Z423" s="45">
        <v>5</v>
      </c>
      <c r="AA423" s="46">
        <v>49</v>
      </c>
      <c r="AB423" s="46">
        <v>60</v>
      </c>
      <c r="AC423" s="25"/>
      <c r="AD423" s="25"/>
      <c r="BA423" s="227"/>
    </row>
    <row r="424" spans="1:53" ht="15.6" thickTop="1" thickBot="1" x14ac:dyDescent="0.35">
      <c r="A424" s="88"/>
      <c r="B424" s="59"/>
      <c r="C424" s="60"/>
      <c r="D424" s="61"/>
      <c r="E424" s="62"/>
      <c r="F424" s="88"/>
      <c r="G424" s="63"/>
      <c r="H424" s="64"/>
      <c r="I424" s="63"/>
      <c r="J424" s="286" t="str">
        <f>IF(AND(OR(E417="RPX", E417="RPX-T", E417="SS"),E418=216),"NO 216 For RPX, RPX-T, OR SS CABLE","---")</f>
        <v>---</v>
      </c>
      <c r="K424" s="287"/>
      <c r="L424" s="288"/>
      <c r="M424" s="286" t="str" cm="1">
        <f t="array" ref="M424">IF(AND(E417="",OR(C427:C451="FST",C427:C451="REV T",C427:C451="DBL REV",C427:C451="TPL REV", C427:C451="QD REV")),"Non-FlexNap cables cannot have tethers","---")</f>
        <v>---</v>
      </c>
      <c r="N424" s="287"/>
      <c r="O424" s="287"/>
      <c r="P424" s="287"/>
      <c r="Q424" s="287"/>
      <c r="R424" s="287"/>
      <c r="S424" s="287"/>
      <c r="T424" s="287"/>
      <c r="U424" s="288"/>
      <c r="V424" s="25"/>
      <c r="W424" s="58"/>
      <c r="X424" s="58"/>
      <c r="Y424" s="25"/>
      <c r="Z424" s="45">
        <v>6</v>
      </c>
      <c r="AA424" s="65">
        <v>61</v>
      </c>
      <c r="AB424" s="65">
        <v>72</v>
      </c>
      <c r="AC424" s="25"/>
      <c r="AD424" s="25"/>
      <c r="BA424" s="226"/>
    </row>
    <row r="425" spans="1:53" ht="15.75" customHeight="1" thickBot="1" x14ac:dyDescent="0.35">
      <c r="A425" s="88"/>
      <c r="B425" s="321" t="s">
        <v>267</v>
      </c>
      <c r="C425" s="293" t="s">
        <v>268</v>
      </c>
      <c r="D425" s="293" t="s">
        <v>269</v>
      </c>
      <c r="E425" s="306" t="s">
        <v>270</v>
      </c>
      <c r="F425" s="293" t="s">
        <v>271</v>
      </c>
      <c r="G425" s="308" t="s">
        <v>272</v>
      </c>
      <c r="H425" s="308" t="s">
        <v>273</v>
      </c>
      <c r="I425" s="308" t="s">
        <v>274</v>
      </c>
      <c r="J425" s="310" t="s">
        <v>275</v>
      </c>
      <c r="K425" s="293" t="s">
        <v>276</v>
      </c>
      <c r="L425" s="280" t="s">
        <v>277</v>
      </c>
      <c r="M425" s="282" t="s">
        <v>278</v>
      </c>
      <c r="N425" s="282"/>
      <c r="O425" s="282"/>
      <c r="P425" s="282"/>
      <c r="Q425" s="282"/>
      <c r="R425" s="282"/>
      <c r="S425" s="282"/>
      <c r="T425" s="282"/>
      <c r="U425" s="283"/>
      <c r="V425" s="107"/>
      <c r="W425" s="72"/>
      <c r="X425" s="72"/>
      <c r="Y425" s="72"/>
      <c r="Z425" s="45">
        <v>7</v>
      </c>
      <c r="AA425" s="65">
        <v>73</v>
      </c>
      <c r="AB425" s="65">
        <v>84</v>
      </c>
      <c r="AC425" s="25"/>
      <c r="AD425" s="25"/>
      <c r="BA425" s="228"/>
    </row>
    <row r="426" spans="1:53" ht="15" thickBot="1" x14ac:dyDescent="0.35">
      <c r="A426" s="88"/>
      <c r="B426" s="322"/>
      <c r="C426" s="294"/>
      <c r="D426" s="294"/>
      <c r="E426" s="307"/>
      <c r="F426" s="294"/>
      <c r="G426" s="309"/>
      <c r="H426" s="309"/>
      <c r="I426" s="309"/>
      <c r="J426" s="311"/>
      <c r="K426" s="294"/>
      <c r="L426" s="281"/>
      <c r="M426" s="284"/>
      <c r="N426" s="284"/>
      <c r="O426" s="284"/>
      <c r="P426" s="284"/>
      <c r="Q426" s="284"/>
      <c r="R426" s="284"/>
      <c r="S426" s="284"/>
      <c r="T426" s="284"/>
      <c r="U426" s="285"/>
      <c r="V426" s="107"/>
      <c r="W426" s="72"/>
      <c r="X426" s="72"/>
      <c r="Y426" s="72"/>
      <c r="Z426" s="45">
        <v>8</v>
      </c>
      <c r="AA426" s="46">
        <v>85</v>
      </c>
      <c r="AB426" s="46">
        <v>96</v>
      </c>
      <c r="AC426" s="25"/>
      <c r="AD426" s="25"/>
      <c r="AI426" s="109" t="s">
        <v>279</v>
      </c>
      <c r="AJ426" s="109" t="s">
        <v>280</v>
      </c>
      <c r="AK426" s="109" t="s">
        <v>281</v>
      </c>
      <c r="AL426" s="109" t="s">
        <v>282</v>
      </c>
      <c r="BA426" s="228"/>
    </row>
    <row r="427" spans="1:53" ht="15" thickBot="1" x14ac:dyDescent="0.35">
      <c r="A427" s="88"/>
      <c r="B427" s="66" t="s">
        <v>283</v>
      </c>
      <c r="C427" s="67" t="s">
        <v>322</v>
      </c>
      <c r="D427" s="102" t="s">
        <v>373</v>
      </c>
      <c r="E427" s="32">
        <v>4</v>
      </c>
      <c r="F427" s="32" t="s">
        <v>339</v>
      </c>
      <c r="G427" s="68" t="s">
        <v>285</v>
      </c>
      <c r="H427" s="69">
        <f>IF(I427=0,0,I427-(E427-1))</f>
        <v>393</v>
      </c>
      <c r="I427" s="70">
        <f>IF(E427=0,0,I422)</f>
        <v>396</v>
      </c>
      <c r="J427" s="71" t="s">
        <v>286</v>
      </c>
      <c r="K427" s="32"/>
      <c r="L427" s="233"/>
      <c r="M427" s="278"/>
      <c r="N427" s="278"/>
      <c r="O427" s="278"/>
      <c r="P427" s="278"/>
      <c r="Q427" s="278"/>
      <c r="R427" s="278"/>
      <c r="S427" s="278"/>
      <c r="T427" s="278"/>
      <c r="U427" s="27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393-396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 thickBot="1" x14ac:dyDescent="0.35">
      <c r="A428" s="88"/>
      <c r="B428" s="66" t="s">
        <v>288</v>
      </c>
      <c r="C428" s="67" t="s">
        <v>322</v>
      </c>
      <c r="D428" s="102" t="s">
        <v>374</v>
      </c>
      <c r="E428" s="32">
        <v>4</v>
      </c>
      <c r="F428" s="32" t="s">
        <v>339</v>
      </c>
      <c r="G428" s="68" t="s">
        <v>285</v>
      </c>
      <c r="H428" s="69">
        <f t="shared" ref="H428:H451" si="179">IF(E428=0,0,I428-(E428-1))</f>
        <v>389</v>
      </c>
      <c r="I428" s="70">
        <f t="shared" ref="I428:I451" si="180">IF(E428=0,0,H427-1)</f>
        <v>392</v>
      </c>
      <c r="J428" s="73" t="str">
        <f>IF(C428="","--",IF(AND(C428&lt;&gt;"FST",C428&lt;&gt;"TCF",BA427&lt;&gt;0),BA427,"--"))</f>
        <v>--</v>
      </c>
      <c r="K428" s="32"/>
      <c r="L428" s="233"/>
      <c r="M428" s="278"/>
      <c r="N428" s="278"/>
      <c r="O428" s="278"/>
      <c r="P428" s="278"/>
      <c r="Q428" s="278"/>
      <c r="R428" s="278"/>
      <c r="S428" s="278"/>
      <c r="T428" s="278"/>
      <c r="U428" s="279"/>
      <c r="V428" s="103"/>
      <c r="W428" s="72"/>
      <c r="X428" s="72"/>
      <c r="Y428" s="72"/>
      <c r="Z428" s="45">
        <v>10</v>
      </c>
      <c r="AA428" s="46">
        <v>109</v>
      </c>
      <c r="AB428" s="46">
        <v>120</v>
      </c>
      <c r="AC428" s="72">
        <f t="shared" si="170"/>
        <v>1</v>
      </c>
      <c r="AD428" s="72">
        <f t="shared" si="171"/>
        <v>0</v>
      </c>
      <c r="AE428" s="109" t="str">
        <f t="shared" si="172"/>
        <v>389-392</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 thickBot="1" x14ac:dyDescent="0.35">
      <c r="A429" s="88"/>
      <c r="B429" s="74" t="s">
        <v>290</v>
      </c>
      <c r="C429" s="67" t="s">
        <v>322</v>
      </c>
      <c r="D429" s="102" t="s">
        <v>375</v>
      </c>
      <c r="E429" s="32">
        <v>4</v>
      </c>
      <c r="F429" s="32" t="s">
        <v>339</v>
      </c>
      <c r="G429" s="75" t="s">
        <v>285</v>
      </c>
      <c r="H429" s="69">
        <f t="shared" si="179"/>
        <v>385</v>
      </c>
      <c r="I429" s="70">
        <f t="shared" si="180"/>
        <v>388</v>
      </c>
      <c r="J429" s="73" t="str">
        <f t="shared" ref="J429:J451" si="181">IF(C429="","--",IF(AND(C429&lt;&gt;"FST",C429&lt;&gt;"TCF",BA428&lt;&gt;0),BA428,"--"))</f>
        <v>--</v>
      </c>
      <c r="K429" s="32"/>
      <c r="L429" s="233"/>
      <c r="M429" s="278"/>
      <c r="N429" s="278"/>
      <c r="O429" s="278"/>
      <c r="P429" s="278"/>
      <c r="Q429" s="278"/>
      <c r="R429" s="278"/>
      <c r="S429" s="278"/>
      <c r="T429" s="278"/>
      <c r="U429" s="279"/>
      <c r="V429" s="103"/>
      <c r="W429" s="72"/>
      <c r="X429" s="72"/>
      <c r="Y429" s="72"/>
      <c r="Z429" s="45">
        <v>11</v>
      </c>
      <c r="AA429" s="46">
        <v>121</v>
      </c>
      <c r="AB429" s="46">
        <v>132</v>
      </c>
      <c r="AC429" s="72">
        <f t="shared" si="170"/>
        <v>1</v>
      </c>
      <c r="AD429" s="72">
        <f t="shared" si="171"/>
        <v>0</v>
      </c>
      <c r="AE429" s="109" t="str">
        <f t="shared" si="172"/>
        <v>385-388</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4</v>
      </c>
    </row>
    <row r="430" spans="1:53" ht="15" thickBot="1" x14ac:dyDescent="0.35">
      <c r="A430" s="88"/>
      <c r="B430" s="66" t="s">
        <v>292</v>
      </c>
      <c r="C430" s="67" t="s">
        <v>322</v>
      </c>
      <c r="D430" s="102" t="s">
        <v>376</v>
      </c>
      <c r="E430" s="32">
        <v>4</v>
      </c>
      <c r="F430" s="32" t="s">
        <v>339</v>
      </c>
      <c r="G430" s="68" t="s">
        <v>285</v>
      </c>
      <c r="H430" s="69">
        <f t="shared" si="179"/>
        <v>381</v>
      </c>
      <c r="I430" s="70">
        <f t="shared" si="180"/>
        <v>384</v>
      </c>
      <c r="J430" s="73" t="str">
        <f t="shared" si="181"/>
        <v>--</v>
      </c>
      <c r="K430" s="32"/>
      <c r="L430" s="233"/>
      <c r="M430" s="278"/>
      <c r="N430" s="278"/>
      <c r="O430" s="278"/>
      <c r="P430" s="278"/>
      <c r="Q430" s="278"/>
      <c r="R430" s="278"/>
      <c r="S430" s="278"/>
      <c r="T430" s="278"/>
      <c r="U430" s="279"/>
      <c r="V430" s="103"/>
      <c r="W430" s="72"/>
      <c r="X430" s="72"/>
      <c r="Y430" s="72"/>
      <c r="Z430" s="45">
        <v>12</v>
      </c>
      <c r="AA430" s="76">
        <v>133</v>
      </c>
      <c r="AB430" s="76">
        <v>144</v>
      </c>
      <c r="AC430" s="72">
        <f t="shared" si="170"/>
        <v>1</v>
      </c>
      <c r="AD430" s="72">
        <f t="shared" si="171"/>
        <v>0</v>
      </c>
      <c r="AE430" s="109" t="str">
        <f t="shared" si="172"/>
        <v>381-384</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8</v>
      </c>
    </row>
    <row r="431" spans="1:53" ht="15" thickBot="1" x14ac:dyDescent="0.35">
      <c r="A431" s="88"/>
      <c r="B431" s="66" t="s">
        <v>293</v>
      </c>
      <c r="C431" s="67" t="s">
        <v>322</v>
      </c>
      <c r="D431" s="102" t="s">
        <v>377</v>
      </c>
      <c r="E431" s="32">
        <v>4</v>
      </c>
      <c r="F431" s="32" t="s">
        <v>339</v>
      </c>
      <c r="G431" s="68" t="s">
        <v>285</v>
      </c>
      <c r="H431" s="69">
        <f t="shared" si="179"/>
        <v>377</v>
      </c>
      <c r="I431" s="70">
        <f t="shared" si="180"/>
        <v>380</v>
      </c>
      <c r="J431" s="73" t="str">
        <f t="shared" si="181"/>
        <v>--</v>
      </c>
      <c r="K431" s="32"/>
      <c r="L431" s="233"/>
      <c r="M431" s="278"/>
      <c r="N431" s="278"/>
      <c r="O431" s="278"/>
      <c r="P431" s="278"/>
      <c r="Q431" s="278"/>
      <c r="R431" s="278"/>
      <c r="S431" s="278"/>
      <c r="T431" s="278"/>
      <c r="U431" s="279"/>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377-380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 thickBot="1" x14ac:dyDescent="0.35">
      <c r="A432" s="88"/>
      <c r="B432" s="66" t="s">
        <v>294</v>
      </c>
      <c r="C432" s="67" t="s">
        <v>322</v>
      </c>
      <c r="D432" s="102" t="s">
        <v>378</v>
      </c>
      <c r="E432" s="32">
        <v>4</v>
      </c>
      <c r="F432" s="32" t="s">
        <v>339</v>
      </c>
      <c r="G432" s="68" t="s">
        <v>285</v>
      </c>
      <c r="H432" s="69">
        <f t="shared" si="179"/>
        <v>373</v>
      </c>
      <c r="I432" s="70">
        <f t="shared" si="180"/>
        <v>376</v>
      </c>
      <c r="J432" s="73" t="str">
        <f t="shared" si="181"/>
        <v>--</v>
      </c>
      <c r="K432" s="32"/>
      <c r="L432" s="233"/>
      <c r="M432" s="278"/>
      <c r="N432" s="278"/>
      <c r="O432" s="278"/>
      <c r="P432" s="278"/>
      <c r="Q432" s="278"/>
      <c r="R432" s="278"/>
      <c r="S432" s="278"/>
      <c r="T432" s="278"/>
      <c r="U432" s="279"/>
      <c r="V432" s="103"/>
      <c r="W432" s="72"/>
      <c r="X432" s="72"/>
      <c r="Y432" s="72"/>
      <c r="Z432" s="45">
        <v>14</v>
      </c>
      <c r="AA432" s="77">
        <f t="shared" si="182"/>
        <v>157</v>
      </c>
      <c r="AB432" s="77">
        <f t="shared" si="183"/>
        <v>168</v>
      </c>
      <c r="AC432" s="72">
        <f t="shared" si="170"/>
        <v>1</v>
      </c>
      <c r="AD432" s="72">
        <f t="shared" si="171"/>
        <v>0</v>
      </c>
      <c r="AE432" s="109" t="str">
        <f t="shared" si="172"/>
        <v>373-376</v>
      </c>
      <c r="AF432" s="109" t="str">
        <f t="shared" si="173"/>
        <v>Y</v>
      </c>
      <c r="AG432" s="109" t="str">
        <f t="shared" si="174"/>
        <v>B</v>
      </c>
      <c r="AM432" s="109">
        <f t="shared" si="175"/>
        <v>0</v>
      </c>
      <c r="AN432" s="109">
        <f t="shared" si="176"/>
        <v>0</v>
      </c>
      <c r="AO432" s="109" t="str">
        <f t="shared" si="177"/>
        <v/>
      </c>
      <c r="AQ432" s="109" t="str">
        <f t="shared" si="178"/>
        <v/>
      </c>
      <c r="BA432" s="229">
        <f>MOD(SUM(E427:E433),12)</f>
        <v>4</v>
      </c>
    </row>
    <row r="433" spans="1:53" ht="15" thickBot="1" x14ac:dyDescent="0.35">
      <c r="A433" s="88"/>
      <c r="B433" s="66" t="s">
        <v>295</v>
      </c>
      <c r="C433" s="67" t="s">
        <v>322</v>
      </c>
      <c r="D433" s="102" t="s">
        <v>379</v>
      </c>
      <c r="E433" s="32">
        <v>4</v>
      </c>
      <c r="F433" s="32" t="s">
        <v>339</v>
      </c>
      <c r="G433" s="68" t="s">
        <v>285</v>
      </c>
      <c r="H433" s="69">
        <f t="shared" si="179"/>
        <v>369</v>
      </c>
      <c r="I433" s="70">
        <f t="shared" si="180"/>
        <v>372</v>
      </c>
      <c r="J433" s="73" t="str">
        <f t="shared" si="181"/>
        <v>--</v>
      </c>
      <c r="K433" s="32"/>
      <c r="L433" s="233"/>
      <c r="M433" s="278"/>
      <c r="N433" s="278"/>
      <c r="O433" s="278"/>
      <c r="P433" s="278"/>
      <c r="Q433" s="278"/>
      <c r="R433" s="278"/>
      <c r="S433" s="278"/>
      <c r="T433" s="278"/>
      <c r="U433" s="279"/>
      <c r="V433" s="103"/>
      <c r="W433" s="72"/>
      <c r="X433" s="72"/>
      <c r="Y433" s="72"/>
      <c r="Z433" s="45">
        <v>15</v>
      </c>
      <c r="AA433" s="77">
        <f t="shared" si="182"/>
        <v>169</v>
      </c>
      <c r="AB433" s="77">
        <f t="shared" si="183"/>
        <v>180</v>
      </c>
      <c r="AC433" s="72">
        <f t="shared" si="170"/>
        <v>1</v>
      </c>
      <c r="AD433" s="72">
        <f t="shared" si="171"/>
        <v>0</v>
      </c>
      <c r="AE433" s="109" t="str">
        <f t="shared" si="172"/>
        <v>369-372</v>
      </c>
      <c r="AF433" s="109" t="str">
        <f t="shared" si="173"/>
        <v>Y</v>
      </c>
      <c r="AG433" s="109" t="str">
        <f t="shared" si="174"/>
        <v>B</v>
      </c>
      <c r="AM433" s="109">
        <f t="shared" si="175"/>
        <v>0</v>
      </c>
      <c r="AN433" s="109">
        <f t="shared" si="176"/>
        <v>0</v>
      </c>
      <c r="AO433" s="109" t="str">
        <f t="shared" si="177"/>
        <v/>
      </c>
      <c r="AQ433" s="109" t="str">
        <f t="shared" si="178"/>
        <v/>
      </c>
      <c r="BA433" s="229">
        <f>MOD(SUM(E427:E434),12)</f>
        <v>8</v>
      </c>
    </row>
    <row r="434" spans="1:53" ht="15" thickBot="1" x14ac:dyDescent="0.35">
      <c r="A434" s="88"/>
      <c r="B434" s="66" t="s">
        <v>296</v>
      </c>
      <c r="C434" s="67" t="s">
        <v>322</v>
      </c>
      <c r="D434" s="102" t="s">
        <v>380</v>
      </c>
      <c r="E434" s="32">
        <v>4</v>
      </c>
      <c r="F434" s="32" t="s">
        <v>339</v>
      </c>
      <c r="G434" s="68" t="s">
        <v>285</v>
      </c>
      <c r="H434" s="69">
        <f t="shared" si="179"/>
        <v>365</v>
      </c>
      <c r="I434" s="70">
        <f t="shared" si="180"/>
        <v>368</v>
      </c>
      <c r="J434" s="73" t="str">
        <f t="shared" si="181"/>
        <v>--</v>
      </c>
      <c r="K434" s="32"/>
      <c r="L434" s="233"/>
      <c r="M434" s="278"/>
      <c r="N434" s="278"/>
      <c r="O434" s="278"/>
      <c r="P434" s="278"/>
      <c r="Q434" s="278"/>
      <c r="R434" s="278"/>
      <c r="S434" s="278"/>
      <c r="T434" s="278"/>
      <c r="U434" s="279"/>
      <c r="V434" s="103"/>
      <c r="W434" s="72"/>
      <c r="X434" s="72"/>
      <c r="Y434" s="72"/>
      <c r="Z434" s="45">
        <f>Z433+1</f>
        <v>16</v>
      </c>
      <c r="AA434" s="77">
        <f t="shared" si="182"/>
        <v>181</v>
      </c>
      <c r="AB434" s="77">
        <f t="shared" si="183"/>
        <v>192</v>
      </c>
      <c r="AC434" s="72">
        <f t="shared" si="170"/>
        <v>1</v>
      </c>
      <c r="AD434" s="72">
        <f t="shared" si="171"/>
        <v>0</v>
      </c>
      <c r="AE434" s="109" t="str">
        <f t="shared" si="172"/>
        <v>365-368</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 thickBot="1" x14ac:dyDescent="0.35">
      <c r="A435" s="88"/>
      <c r="B435" s="66" t="s">
        <v>297</v>
      </c>
      <c r="C435" s="67" t="s">
        <v>322</v>
      </c>
      <c r="D435" s="102" t="s">
        <v>381</v>
      </c>
      <c r="E435" s="32">
        <v>4</v>
      </c>
      <c r="F435" s="32" t="s">
        <v>339</v>
      </c>
      <c r="G435" s="68" t="s">
        <v>285</v>
      </c>
      <c r="H435" s="69">
        <f t="shared" si="179"/>
        <v>361</v>
      </c>
      <c r="I435" s="70">
        <f t="shared" si="180"/>
        <v>364</v>
      </c>
      <c r="J435" s="73" t="str">
        <f t="shared" si="181"/>
        <v>--</v>
      </c>
      <c r="K435" s="32"/>
      <c r="L435" s="233"/>
      <c r="M435" s="278"/>
      <c r="N435" s="278"/>
      <c r="O435" s="278"/>
      <c r="P435" s="278"/>
      <c r="Q435" s="278"/>
      <c r="R435" s="278"/>
      <c r="S435" s="278"/>
      <c r="T435" s="278"/>
      <c r="U435" s="279"/>
      <c r="V435" s="103"/>
      <c r="W435" s="72"/>
      <c r="X435" s="72"/>
      <c r="Y435" s="72"/>
      <c r="Z435" s="45">
        <f>Z434+1</f>
        <v>17</v>
      </c>
      <c r="AA435" s="77">
        <f t="shared" si="182"/>
        <v>193</v>
      </c>
      <c r="AB435" s="77">
        <f t="shared" si="183"/>
        <v>204</v>
      </c>
      <c r="AC435" s="72">
        <f t="shared" si="170"/>
        <v>1</v>
      </c>
      <c r="AD435" s="72">
        <f t="shared" si="171"/>
        <v>0</v>
      </c>
      <c r="AE435" s="109" t="str">
        <f t="shared" si="172"/>
        <v>361-364</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 thickBot="1" x14ac:dyDescent="0.35">
      <c r="A436" s="88"/>
      <c r="B436" s="66" t="s">
        <v>298</v>
      </c>
      <c r="C436" s="67"/>
      <c r="D436" s="102"/>
      <c r="E436" s="32"/>
      <c r="F436" s="32"/>
      <c r="G436" s="68" t="s">
        <v>285</v>
      </c>
      <c r="H436" s="69">
        <f t="shared" si="179"/>
        <v>0</v>
      </c>
      <c r="I436" s="70">
        <f t="shared" si="180"/>
        <v>0</v>
      </c>
      <c r="J436" s="73" t="str">
        <f t="shared" si="181"/>
        <v>--</v>
      </c>
      <c r="K436" s="32"/>
      <c r="L436" s="233"/>
      <c r="M436" s="278"/>
      <c r="N436" s="278"/>
      <c r="O436" s="278"/>
      <c r="P436" s="278"/>
      <c r="Q436" s="278"/>
      <c r="R436" s="278"/>
      <c r="S436" s="278"/>
      <c r="T436" s="278"/>
      <c r="U436" s="27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 thickBot="1" x14ac:dyDescent="0.35">
      <c r="A437" s="88"/>
      <c r="B437" s="66" t="s">
        <v>299</v>
      </c>
      <c r="C437" s="67"/>
      <c r="D437" s="102"/>
      <c r="E437" s="32"/>
      <c r="F437" s="32"/>
      <c r="G437" s="68" t="s">
        <v>285</v>
      </c>
      <c r="H437" s="69">
        <f t="shared" si="179"/>
        <v>0</v>
      </c>
      <c r="I437" s="70">
        <f t="shared" si="180"/>
        <v>0</v>
      </c>
      <c r="J437" s="73" t="str">
        <f t="shared" si="181"/>
        <v>--</v>
      </c>
      <c r="K437" s="32"/>
      <c r="L437" s="233"/>
      <c r="M437" s="278"/>
      <c r="N437" s="278"/>
      <c r="O437" s="278"/>
      <c r="P437" s="278"/>
      <c r="Q437" s="278"/>
      <c r="R437" s="278"/>
      <c r="S437" s="278"/>
      <c r="T437" s="278"/>
      <c r="U437" s="27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 thickBot="1" x14ac:dyDescent="0.35">
      <c r="A438" s="88"/>
      <c r="B438" s="66" t="s">
        <v>300</v>
      </c>
      <c r="C438" s="67"/>
      <c r="D438" s="102"/>
      <c r="E438" s="32"/>
      <c r="F438" s="32"/>
      <c r="G438" s="68" t="s">
        <v>285</v>
      </c>
      <c r="H438" s="69">
        <f t="shared" si="179"/>
        <v>0</v>
      </c>
      <c r="I438" s="70">
        <f t="shared" si="180"/>
        <v>0</v>
      </c>
      <c r="J438" s="73" t="str">
        <f t="shared" si="181"/>
        <v>--</v>
      </c>
      <c r="K438" s="32"/>
      <c r="L438" s="233"/>
      <c r="M438" s="278"/>
      <c r="N438" s="278"/>
      <c r="O438" s="278"/>
      <c r="P438" s="278"/>
      <c r="Q438" s="278"/>
      <c r="R438" s="278"/>
      <c r="S438" s="278"/>
      <c r="T438" s="278"/>
      <c r="U438" s="279"/>
      <c r="V438" s="103"/>
      <c r="W438" s="84">
        <f>Y438+1</f>
        <v>37</v>
      </c>
      <c r="X438" s="84"/>
      <c r="Y438" s="78">
        <f>SUM(E427:E438)</f>
        <v>36</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 thickBot="1" x14ac:dyDescent="0.35">
      <c r="A439" s="88"/>
      <c r="B439" s="66" t="s">
        <v>301</v>
      </c>
      <c r="C439" s="67"/>
      <c r="D439" s="102"/>
      <c r="E439" s="32"/>
      <c r="F439" s="32"/>
      <c r="G439" s="68" t="s">
        <v>285</v>
      </c>
      <c r="H439" s="69">
        <f t="shared" si="179"/>
        <v>0</v>
      </c>
      <c r="I439" s="70">
        <f t="shared" si="180"/>
        <v>0</v>
      </c>
      <c r="J439" s="73" t="str">
        <f t="shared" si="181"/>
        <v>--</v>
      </c>
      <c r="K439" s="32"/>
      <c r="L439" s="233"/>
      <c r="M439" s="278"/>
      <c r="N439" s="278"/>
      <c r="O439" s="278"/>
      <c r="P439" s="278"/>
      <c r="Q439" s="278"/>
      <c r="R439" s="278"/>
      <c r="S439" s="278"/>
      <c r="T439" s="278"/>
      <c r="U439" s="279"/>
      <c r="V439" s="103"/>
      <c r="W439" s="84">
        <f>Y439+1</f>
        <v>37</v>
      </c>
      <c r="X439" s="84"/>
      <c r="Y439" s="78">
        <f>SUM(E427:E439)</f>
        <v>36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 thickBot="1" x14ac:dyDescent="0.35">
      <c r="A440" s="88"/>
      <c r="B440" s="66" t="s">
        <v>302</v>
      </c>
      <c r="C440" s="67"/>
      <c r="D440" s="102"/>
      <c r="E440" s="32"/>
      <c r="F440" s="32"/>
      <c r="G440" s="68" t="s">
        <v>285</v>
      </c>
      <c r="H440" s="69">
        <f t="shared" si="179"/>
        <v>0</v>
      </c>
      <c r="I440" s="70">
        <f t="shared" si="180"/>
        <v>0</v>
      </c>
      <c r="J440" s="73" t="str">
        <f t="shared" si="181"/>
        <v>--</v>
      </c>
      <c r="K440" s="32"/>
      <c r="L440" s="233"/>
      <c r="M440" s="278"/>
      <c r="N440" s="278"/>
      <c r="O440" s="278"/>
      <c r="P440" s="278"/>
      <c r="Q440" s="278"/>
      <c r="R440" s="278"/>
      <c r="S440" s="278"/>
      <c r="T440" s="278"/>
      <c r="U440" s="279"/>
      <c r="V440" s="103"/>
      <c r="W440" s="84">
        <f>Y440+1</f>
        <v>37</v>
      </c>
      <c r="X440" s="84"/>
      <c r="Y440" s="78">
        <f>SUM(E427:E440)</f>
        <v>36</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 thickBot="1" x14ac:dyDescent="0.35">
      <c r="A441" s="88"/>
      <c r="B441" s="66" t="s">
        <v>303</v>
      </c>
      <c r="C441" s="67"/>
      <c r="D441" s="102"/>
      <c r="E441" s="32"/>
      <c r="F441" s="32"/>
      <c r="G441" s="68" t="s">
        <v>285</v>
      </c>
      <c r="H441" s="69">
        <f t="shared" si="179"/>
        <v>0</v>
      </c>
      <c r="I441" s="70">
        <f t="shared" si="180"/>
        <v>0</v>
      </c>
      <c r="J441" s="73" t="str">
        <f t="shared" si="181"/>
        <v>--</v>
      </c>
      <c r="K441" s="32"/>
      <c r="L441" s="233"/>
      <c r="M441" s="278"/>
      <c r="N441" s="278"/>
      <c r="O441" s="278"/>
      <c r="P441" s="278"/>
      <c r="Q441" s="278"/>
      <c r="R441" s="278"/>
      <c r="S441" s="278"/>
      <c r="T441" s="278"/>
      <c r="U441" s="279"/>
      <c r="V441" s="103"/>
      <c r="W441" s="84">
        <f>Y441+1</f>
        <v>37</v>
      </c>
      <c r="X441" s="84"/>
      <c r="Y441" s="78">
        <f>SUM(E427:E441)</f>
        <v>36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 thickBot="1" x14ac:dyDescent="0.35">
      <c r="A442" s="88"/>
      <c r="B442" s="66" t="s">
        <v>304</v>
      </c>
      <c r="C442" s="67"/>
      <c r="D442" s="102"/>
      <c r="E442" s="32"/>
      <c r="F442" s="32"/>
      <c r="G442" s="68" t="s">
        <v>285</v>
      </c>
      <c r="H442" s="69">
        <f t="shared" si="179"/>
        <v>0</v>
      </c>
      <c r="I442" s="70">
        <f t="shared" si="180"/>
        <v>0</v>
      </c>
      <c r="J442" s="73" t="str">
        <f t="shared" si="181"/>
        <v>--</v>
      </c>
      <c r="K442" s="32"/>
      <c r="L442" s="233"/>
      <c r="M442" s="278"/>
      <c r="N442" s="278"/>
      <c r="O442" s="278"/>
      <c r="P442" s="278"/>
      <c r="Q442" s="278"/>
      <c r="R442" s="278"/>
      <c r="S442" s="278"/>
      <c r="T442" s="278"/>
      <c r="U442" s="279"/>
      <c r="V442" s="103"/>
      <c r="W442" s="84">
        <f t="shared" ref="W442:W450" si="186">Y442+1</f>
        <v>37</v>
      </c>
      <c r="X442" s="84"/>
      <c r="Y442" s="78">
        <f>SUM(E427:E442)</f>
        <v>36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 thickBot="1" x14ac:dyDescent="0.35">
      <c r="A443" s="88"/>
      <c r="B443" s="66" t="s">
        <v>305</v>
      </c>
      <c r="C443" s="67"/>
      <c r="D443" s="102"/>
      <c r="E443" s="32"/>
      <c r="F443" s="32"/>
      <c r="G443" s="68" t="s">
        <v>285</v>
      </c>
      <c r="H443" s="69">
        <f t="shared" si="179"/>
        <v>0</v>
      </c>
      <c r="I443" s="70">
        <f t="shared" si="180"/>
        <v>0</v>
      </c>
      <c r="J443" s="73" t="str">
        <f t="shared" si="181"/>
        <v>--</v>
      </c>
      <c r="K443" s="32"/>
      <c r="L443" s="233"/>
      <c r="M443" s="278"/>
      <c r="N443" s="278"/>
      <c r="O443" s="278"/>
      <c r="P443" s="278"/>
      <c r="Q443" s="278"/>
      <c r="R443" s="278"/>
      <c r="S443" s="278"/>
      <c r="T443" s="278"/>
      <c r="U443" s="279"/>
      <c r="V443" s="103"/>
      <c r="W443" s="84">
        <f t="shared" si="186"/>
        <v>37</v>
      </c>
      <c r="X443" s="84"/>
      <c r="Y443" s="78">
        <f>SUM(E427:E443)</f>
        <v>36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 thickBot="1" x14ac:dyDescent="0.35">
      <c r="A444" s="88"/>
      <c r="B444" s="66" t="s">
        <v>306</v>
      </c>
      <c r="C444" s="67"/>
      <c r="D444" s="102"/>
      <c r="E444" s="32"/>
      <c r="F444" s="32"/>
      <c r="G444" s="68" t="s">
        <v>285</v>
      </c>
      <c r="H444" s="69">
        <f t="shared" si="179"/>
        <v>0</v>
      </c>
      <c r="I444" s="70">
        <f t="shared" si="180"/>
        <v>0</v>
      </c>
      <c r="J444" s="73" t="str">
        <f t="shared" si="181"/>
        <v>--</v>
      </c>
      <c r="K444" s="32"/>
      <c r="L444" s="233"/>
      <c r="M444" s="278"/>
      <c r="N444" s="278"/>
      <c r="O444" s="278"/>
      <c r="P444" s="278"/>
      <c r="Q444" s="278"/>
      <c r="R444" s="278"/>
      <c r="S444" s="278"/>
      <c r="T444" s="278"/>
      <c r="U444" s="279"/>
      <c r="V444" s="103"/>
      <c r="W444" s="84">
        <f t="shared" si="186"/>
        <v>37</v>
      </c>
      <c r="X444" s="84"/>
      <c r="Y444" s="78">
        <f>SUM(E427:E444)</f>
        <v>36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 thickBot="1" x14ac:dyDescent="0.35">
      <c r="A445" s="88"/>
      <c r="B445" s="66" t="s">
        <v>307</v>
      </c>
      <c r="C445" s="67"/>
      <c r="D445" s="102"/>
      <c r="E445" s="32"/>
      <c r="F445" s="32"/>
      <c r="G445" s="68" t="s">
        <v>285</v>
      </c>
      <c r="H445" s="69">
        <f t="shared" si="179"/>
        <v>0</v>
      </c>
      <c r="I445" s="70">
        <f t="shared" si="180"/>
        <v>0</v>
      </c>
      <c r="J445" s="73" t="str">
        <f t="shared" si="181"/>
        <v>--</v>
      </c>
      <c r="K445" s="32"/>
      <c r="L445" s="233"/>
      <c r="M445" s="278"/>
      <c r="N445" s="278"/>
      <c r="O445" s="278"/>
      <c r="P445" s="278"/>
      <c r="Q445" s="278"/>
      <c r="R445" s="278"/>
      <c r="S445" s="278"/>
      <c r="T445" s="278"/>
      <c r="U445" s="279"/>
      <c r="V445" s="103"/>
      <c r="W445" s="84">
        <f t="shared" si="186"/>
        <v>37</v>
      </c>
      <c r="X445" s="84"/>
      <c r="Y445" s="78">
        <f>SUM(E427:E445)</f>
        <v>36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 thickBot="1" x14ac:dyDescent="0.35">
      <c r="A446" s="88"/>
      <c r="B446" s="66" t="s">
        <v>308</v>
      </c>
      <c r="C446" s="67"/>
      <c r="D446" s="102"/>
      <c r="E446" s="32"/>
      <c r="F446" s="32"/>
      <c r="G446" s="68" t="s">
        <v>285</v>
      </c>
      <c r="H446" s="69">
        <f t="shared" si="179"/>
        <v>0</v>
      </c>
      <c r="I446" s="70">
        <f t="shared" si="180"/>
        <v>0</v>
      </c>
      <c r="J446" s="73" t="str">
        <f t="shared" si="181"/>
        <v>--</v>
      </c>
      <c r="K446" s="32"/>
      <c r="L446" s="233"/>
      <c r="M446" s="278"/>
      <c r="N446" s="278"/>
      <c r="O446" s="278"/>
      <c r="P446" s="278"/>
      <c r="Q446" s="278"/>
      <c r="R446" s="278"/>
      <c r="S446" s="278"/>
      <c r="T446" s="278"/>
      <c r="U446" s="279"/>
      <c r="V446" s="103"/>
      <c r="W446" s="84">
        <f t="shared" si="186"/>
        <v>37</v>
      </c>
      <c r="X446" s="84"/>
      <c r="Y446" s="78">
        <f>SUM(E427:E446)</f>
        <v>36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 thickBot="1" x14ac:dyDescent="0.35">
      <c r="A447" s="88"/>
      <c r="B447" s="66" t="s">
        <v>309</v>
      </c>
      <c r="C447" s="67"/>
      <c r="D447" s="102"/>
      <c r="E447" s="32"/>
      <c r="F447" s="32"/>
      <c r="G447" s="68" t="s">
        <v>285</v>
      </c>
      <c r="H447" s="69">
        <f t="shared" si="179"/>
        <v>0</v>
      </c>
      <c r="I447" s="70">
        <f t="shared" si="180"/>
        <v>0</v>
      </c>
      <c r="J447" s="73" t="str">
        <f t="shared" si="181"/>
        <v>--</v>
      </c>
      <c r="K447" s="32"/>
      <c r="L447" s="233"/>
      <c r="M447" s="278"/>
      <c r="N447" s="278"/>
      <c r="O447" s="278"/>
      <c r="P447" s="278"/>
      <c r="Q447" s="278"/>
      <c r="R447" s="278"/>
      <c r="S447" s="278"/>
      <c r="T447" s="278"/>
      <c r="U447" s="279"/>
      <c r="V447" s="103"/>
      <c r="W447" s="84">
        <f t="shared" si="186"/>
        <v>37</v>
      </c>
      <c r="X447" s="84"/>
      <c r="Y447" s="78">
        <f>SUM(E427:E447)</f>
        <v>36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 thickBot="1" x14ac:dyDescent="0.35">
      <c r="A448" s="88"/>
      <c r="B448" s="66" t="s">
        <v>310</v>
      </c>
      <c r="C448" s="67"/>
      <c r="D448" s="102"/>
      <c r="E448" s="32"/>
      <c r="F448" s="32"/>
      <c r="G448" s="68" t="s">
        <v>285</v>
      </c>
      <c r="H448" s="69">
        <f t="shared" si="179"/>
        <v>0</v>
      </c>
      <c r="I448" s="70">
        <f t="shared" si="180"/>
        <v>0</v>
      </c>
      <c r="J448" s="73" t="str">
        <f t="shared" si="181"/>
        <v>--</v>
      </c>
      <c r="K448" s="32"/>
      <c r="L448" s="233"/>
      <c r="M448" s="278"/>
      <c r="N448" s="278"/>
      <c r="O448" s="278"/>
      <c r="P448" s="278"/>
      <c r="Q448" s="278"/>
      <c r="R448" s="278"/>
      <c r="S448" s="278"/>
      <c r="T448" s="278"/>
      <c r="U448" s="279"/>
      <c r="V448" s="103"/>
      <c r="W448" s="84">
        <f t="shared" si="186"/>
        <v>37</v>
      </c>
      <c r="X448" s="84"/>
      <c r="Y448" s="78">
        <f>SUM(E427:E448)</f>
        <v>36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 thickBot="1" x14ac:dyDescent="0.35">
      <c r="A449" s="88"/>
      <c r="B449" s="66" t="s">
        <v>311</v>
      </c>
      <c r="C449" s="67"/>
      <c r="D449" s="102"/>
      <c r="E449" s="32"/>
      <c r="F449" s="32"/>
      <c r="G449" s="68" t="s">
        <v>285</v>
      </c>
      <c r="H449" s="69">
        <f t="shared" si="179"/>
        <v>0</v>
      </c>
      <c r="I449" s="70">
        <f t="shared" si="180"/>
        <v>0</v>
      </c>
      <c r="J449" s="73" t="str">
        <f t="shared" si="181"/>
        <v>--</v>
      </c>
      <c r="K449" s="32"/>
      <c r="L449" s="233"/>
      <c r="M449" s="278"/>
      <c r="N449" s="278"/>
      <c r="O449" s="278"/>
      <c r="P449" s="278"/>
      <c r="Q449" s="278"/>
      <c r="R449" s="278"/>
      <c r="S449" s="278"/>
      <c r="T449" s="278"/>
      <c r="U449" s="279"/>
      <c r="V449" s="103"/>
      <c r="W449" s="84">
        <f t="shared" si="186"/>
        <v>37</v>
      </c>
      <c r="X449" s="84"/>
      <c r="Y449" s="78">
        <f>SUM(E427:E449)</f>
        <v>36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 thickBot="1" x14ac:dyDescent="0.35">
      <c r="A450" s="88"/>
      <c r="B450" s="66" t="s">
        <v>312</v>
      </c>
      <c r="C450" s="67"/>
      <c r="D450" s="102"/>
      <c r="E450" s="32"/>
      <c r="F450" s="32"/>
      <c r="G450" s="68" t="s">
        <v>285</v>
      </c>
      <c r="H450" s="69">
        <f t="shared" si="179"/>
        <v>0</v>
      </c>
      <c r="I450" s="70">
        <f t="shared" si="180"/>
        <v>0</v>
      </c>
      <c r="J450" s="73" t="str">
        <f t="shared" si="181"/>
        <v>--</v>
      </c>
      <c r="K450" s="32"/>
      <c r="L450" s="233"/>
      <c r="M450" s="278"/>
      <c r="N450" s="278"/>
      <c r="O450" s="278"/>
      <c r="P450" s="278"/>
      <c r="Q450" s="278"/>
      <c r="R450" s="278"/>
      <c r="S450" s="278"/>
      <c r="T450" s="278"/>
      <c r="U450" s="279"/>
      <c r="V450" s="103"/>
      <c r="W450" s="84">
        <f t="shared" si="186"/>
        <v>37</v>
      </c>
      <c r="X450" s="84"/>
      <c r="Y450" s="78">
        <f>SUM(E427:E450)</f>
        <v>36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 thickBot="1" x14ac:dyDescent="0.35">
      <c r="A451" s="88"/>
      <c r="B451" s="66" t="s">
        <v>313</v>
      </c>
      <c r="C451" s="67"/>
      <c r="D451" s="102"/>
      <c r="E451" s="32"/>
      <c r="F451" s="32"/>
      <c r="G451" s="68" t="s">
        <v>285</v>
      </c>
      <c r="H451" s="69">
        <f t="shared" si="179"/>
        <v>0</v>
      </c>
      <c r="I451" s="70">
        <f t="shared" si="180"/>
        <v>0</v>
      </c>
      <c r="J451" s="73" t="str">
        <f t="shared" si="181"/>
        <v>--</v>
      </c>
      <c r="K451" s="32"/>
      <c r="L451" s="234"/>
      <c r="M451" s="278"/>
      <c r="N451" s="278"/>
      <c r="O451" s="278"/>
      <c r="P451" s="278"/>
      <c r="Q451" s="278"/>
      <c r="R451" s="278"/>
      <c r="S451" s="278"/>
      <c r="T451" s="278"/>
      <c r="U451" s="279"/>
      <c r="V451" s="103"/>
      <c r="W451" s="72"/>
      <c r="X451" s="72"/>
      <c r="Y451" s="78">
        <f>SUM(E427:E451)</f>
        <v>36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2" thickBot="1" x14ac:dyDescent="0.35">
      <c r="A452" s="88"/>
      <c r="B452" s="319" t="s">
        <v>382</v>
      </c>
      <c r="C452" s="320"/>
      <c r="D452" s="79"/>
      <c r="E452" s="80"/>
      <c r="F452" s="80"/>
      <c r="G452" s="81"/>
      <c r="H452" s="192"/>
      <c r="I452" s="192"/>
      <c r="J452" s="192"/>
      <c r="K452" s="82"/>
      <c r="L452" s="319" t="s">
        <v>319</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16</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2" thickBot="1" x14ac:dyDescent="0.35">
      <c r="A453" s="88"/>
      <c r="B453" s="319" t="s">
        <v>320</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 thickBot="1"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5">
      <c r="A456" s="88"/>
      <c r="B456" s="85" t="s">
        <v>383</v>
      </c>
      <c r="C456" s="25"/>
      <c r="D456" s="25"/>
      <c r="E456" s="25"/>
      <c r="F456" s="88"/>
      <c r="G456" s="25"/>
      <c r="H456" s="25"/>
      <c r="I456" s="87"/>
      <c r="J456" s="26"/>
      <c r="K456" s="25"/>
      <c r="L456" s="25"/>
      <c r="M456" s="196" t="s">
        <v>217</v>
      </c>
      <c r="N456" s="196" t="s">
        <v>218</v>
      </c>
      <c r="O456" s="196" t="s">
        <v>219</v>
      </c>
      <c r="P456" s="196" t="s">
        <v>220</v>
      </c>
      <c r="Q456" s="196" t="s">
        <v>221</v>
      </c>
      <c r="R456" s="196" t="s">
        <v>222</v>
      </c>
      <c r="S456" s="196" t="s">
        <v>223</v>
      </c>
      <c r="T456" s="196" t="s">
        <v>224</v>
      </c>
      <c r="U456" s="196" t="s">
        <v>225</v>
      </c>
      <c r="V456" s="196" t="s">
        <v>226</v>
      </c>
      <c r="W456" s="113" t="s">
        <v>227</v>
      </c>
      <c r="X456" s="196" t="s">
        <v>228</v>
      </c>
      <c r="Y456" s="25"/>
      <c r="Z456" s="25"/>
      <c r="AA456" s="25"/>
      <c r="AB456" s="25"/>
      <c r="AC456" s="25"/>
      <c r="AD456" s="25"/>
      <c r="BA456" s="226"/>
    </row>
    <row r="457" spans="1:53" ht="15.6" thickTop="1" thickBot="1" x14ac:dyDescent="0.35">
      <c r="A457" s="88"/>
      <c r="B457" s="312" t="s">
        <v>229</v>
      </c>
      <c r="C457" s="313"/>
      <c r="D457" s="314" t="s">
        <v>230</v>
      </c>
      <c r="E457" s="305"/>
      <c r="F457" s="88"/>
      <c r="G457" s="315" t="s">
        <v>231</v>
      </c>
      <c r="H457" s="316"/>
      <c r="I457" s="28">
        <f>SUM(E468:E492)</f>
        <v>24</v>
      </c>
      <c r="J457" s="317" t="s">
        <v>232</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233</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234</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5">
      <c r="A458" s="88"/>
      <c r="B458" s="29" t="s">
        <v>235</v>
      </c>
      <c r="C458" s="30">
        <v>0</v>
      </c>
      <c r="D458" s="31" t="s">
        <v>236</v>
      </c>
      <c r="E458" s="66" t="str">
        <f>TEXT(IF('Cable Calculator'!BG7="","",'Cable Calculator'!BG7),)</f>
        <v>EUC</v>
      </c>
      <c r="F458" s="88"/>
      <c r="G458" s="304" t="s">
        <v>237</v>
      </c>
      <c r="H458" s="305"/>
      <c r="I458" s="33">
        <f>E459-I457</f>
        <v>0</v>
      </c>
      <c r="J458" s="289" t="s">
        <v>238</v>
      </c>
      <c r="K458" s="290"/>
      <c r="L458" s="34">
        <f>I462</f>
        <v>397</v>
      </c>
      <c r="M458" s="196">
        <v>4</v>
      </c>
      <c r="N458" s="35">
        <f>SUM(AI458,AI469)</f>
        <v>0</v>
      </c>
      <c r="O458" s="35">
        <v>0</v>
      </c>
      <c r="P458" s="35">
        <f>SUM(AJ458,AJ469)</f>
        <v>0</v>
      </c>
      <c r="Q458" s="35">
        <v>0</v>
      </c>
      <c r="R458" s="35">
        <f>COUNTIFS($E468:$E492,"4",$F468:$F492,"Pole",$C468:$C492,"FST")</f>
        <v>6</v>
      </c>
      <c r="S458" s="35">
        <f>SUM(AL458,AK469)</f>
        <v>0</v>
      </c>
      <c r="T458" s="35">
        <v>0</v>
      </c>
      <c r="U458" s="35">
        <f>SUM(AK458,AL469)</f>
        <v>6</v>
      </c>
      <c r="V458" s="35">
        <v>0</v>
      </c>
      <c r="W458" s="34">
        <f>COUNTIFS($E468:$E492,"4",$F468:$F492,"HH",$C468:$C492,"FST")</f>
        <v>0</v>
      </c>
      <c r="X458" s="35">
        <f>COUNTIFS($E468:$E492,"4",$F468:$F492,"Ped",$C468:$C492,"FST")</f>
        <v>0</v>
      </c>
      <c r="Y458" s="25"/>
      <c r="Z458" s="298" t="s">
        <v>239</v>
      </c>
      <c r="AA458" s="300" t="s">
        <v>240</v>
      </c>
      <c r="AB458" s="301"/>
      <c r="AC458" s="25"/>
      <c r="AD458" s="25"/>
      <c r="AH458" s="109">
        <v>4</v>
      </c>
      <c r="AI458" s="109" t="str">
        <f>IF($E458="SS",COUNTIFS($C468:$C492,"FST",$E468:$E492,"4"),"0")</f>
        <v>0</v>
      </c>
      <c r="AJ458" s="109" t="str">
        <f>IF($E458="RPX",COUNTIFS($C468:$C492,"FST",$E468:$E492,"4"),"0")</f>
        <v>0</v>
      </c>
      <c r="AK458" s="109">
        <f>IF($E458="EUC",COUNTIFS($C468:$C492,"FST",$E468:$E492,"4"),"0")</f>
        <v>6</v>
      </c>
      <c r="AL458" s="109" t="str">
        <f>IF($E458="RPX-T",COUNTIFS($C468:$C492,"FST",$E468:$E492,"4"),"0")</f>
        <v>0</v>
      </c>
      <c r="AS458" s="109" t="str">
        <f>IF(AND(E463="Y",E459=24,E460=0),"Y","N")</f>
        <v>N</v>
      </c>
      <c r="AT458" s="110" t="s">
        <v>241</v>
      </c>
      <c r="AU458" s="109">
        <f>COUNTIFS($E458,"SS",$AS458,"Y")</f>
        <v>0</v>
      </c>
      <c r="AV458" s="111">
        <f>COUNTIFS($E458,"RPX",$AS458,"Y")</f>
        <v>0</v>
      </c>
      <c r="AW458" s="111">
        <f>COUNTIFS($E458,"EUC",$AS458,"Y")</f>
        <v>0</v>
      </c>
      <c r="AX458" s="109">
        <f>COUNTIFS($E458,"RPX-T",$AS458,"Y")</f>
        <v>0</v>
      </c>
      <c r="BA458" s="227"/>
    </row>
    <row r="459" spans="1:53" ht="15.6" thickTop="1" thickBot="1" x14ac:dyDescent="0.35">
      <c r="A459" s="88"/>
      <c r="B459" s="36" t="s">
        <v>242</v>
      </c>
      <c r="C459" s="37">
        <v>0</v>
      </c>
      <c r="D459" s="38" t="s">
        <v>243</v>
      </c>
      <c r="E459" s="32">
        <v>24</v>
      </c>
      <c r="F459" s="88"/>
      <c r="G459" s="291" t="s">
        <v>244</v>
      </c>
      <c r="H459" s="292"/>
      <c r="I459" s="35">
        <f>IF(E459=0,0,12-(MOD(I457,12)))</f>
        <v>12</v>
      </c>
      <c r="J459" s="289" t="s">
        <v>245</v>
      </c>
      <c r="K459" s="290"/>
      <c r="L459" s="39">
        <f>I463-I457</f>
        <v>396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246</v>
      </c>
      <c r="AU459" s="109">
        <f>COUNTIFS($E458,"SS",$AS459,"Y")</f>
        <v>0</v>
      </c>
      <c r="AV459" s="108">
        <f>COUNTIFS($E458,"RPX",$AS459,"Y")</f>
        <v>0</v>
      </c>
      <c r="AW459" s="108">
        <f>COUNTIFS($E458,"EUC",$AS459,"Y")</f>
        <v>0</v>
      </c>
      <c r="AX459" s="109">
        <f>COUNTIFS($E458,"RPX-T",$AS459,"Y")</f>
        <v>0</v>
      </c>
      <c r="BA459" s="227"/>
    </row>
    <row r="460" spans="1:53" ht="16.5" customHeight="1" thickTop="1" thickBot="1" x14ac:dyDescent="0.35">
      <c r="A460" s="88"/>
      <c r="B460" s="40" t="s">
        <v>247</v>
      </c>
      <c r="C460" s="30">
        <v>0</v>
      </c>
      <c r="D460" s="41" t="s">
        <v>248</v>
      </c>
      <c r="E460" s="42">
        <v>0</v>
      </c>
      <c r="F460" s="88"/>
      <c r="G460" s="321" t="s">
        <v>249</v>
      </c>
      <c r="H460" s="43" t="s">
        <v>250</v>
      </c>
      <c r="I460" s="35">
        <f>IF(E460&lt;&gt;0,1,0)</f>
        <v>0</v>
      </c>
      <c r="J460" s="291" t="s">
        <v>251</v>
      </c>
      <c r="K460" s="292"/>
      <c r="L460" s="44">
        <f>'Cable Calculator'!BG3</f>
        <v>1068</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252</v>
      </c>
      <c r="AU460" s="109">
        <f>COUNTIFS($E458,"SS",$AS460,"Y")</f>
        <v>0</v>
      </c>
      <c r="AV460" s="108">
        <f>COUNTIFS($E458,"RPX",$AS460,"Y")</f>
        <v>0</v>
      </c>
      <c r="AW460" s="108">
        <f>COUNTIFS($E458,"EUC",$AS460,"Y")</f>
        <v>0</v>
      </c>
      <c r="AX460" s="109">
        <f>COUNTIFS($E458,"RPX-T",$AS460,"Y")</f>
        <v>0</v>
      </c>
      <c r="BA460" s="227"/>
    </row>
    <row r="461" spans="1:53" ht="15.6" thickTop="1" thickBot="1" x14ac:dyDescent="0.35">
      <c r="A461" s="88"/>
      <c r="B461" s="29" t="s">
        <v>253</v>
      </c>
      <c r="C461" s="37">
        <v>0</v>
      </c>
      <c r="D461" s="41" t="s">
        <v>254</v>
      </c>
      <c r="E461" s="42">
        <v>397</v>
      </c>
      <c r="F461" s="88"/>
      <c r="G461" s="322"/>
      <c r="H461" s="47" t="s">
        <v>255</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5">
      <c r="A462" s="88"/>
      <c r="B462" s="36" t="s">
        <v>256</v>
      </c>
      <c r="C462" s="30">
        <v>0</v>
      </c>
      <c r="D462" s="49" t="s">
        <v>257</v>
      </c>
      <c r="E462" s="50">
        <f>E459/12</f>
        <v>2</v>
      </c>
      <c r="F462" s="88"/>
      <c r="G462" s="321" t="s">
        <v>258</v>
      </c>
      <c r="H462" s="51" t="s">
        <v>259</v>
      </c>
      <c r="I462" s="112">
        <f>E461</f>
        <v>397</v>
      </c>
      <c r="J462" s="323" t="s">
        <v>260</v>
      </c>
      <c r="K462" s="324"/>
      <c r="L462" s="325"/>
      <c r="M462" s="52" t="s">
        <v>261</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5.6" thickTop="1" thickBot="1" x14ac:dyDescent="0.35">
      <c r="A463" s="88"/>
      <c r="B463" s="36" t="s">
        <v>262</v>
      </c>
      <c r="C463" s="30">
        <v>0</v>
      </c>
      <c r="D463" s="31" t="s">
        <v>263</v>
      </c>
      <c r="E463" s="101" t="str">
        <f>IF('Cable Calculator'!BG5="","",'Cable Calculator'!BG5)</f>
        <v>N</v>
      </c>
      <c r="F463" s="88"/>
      <c r="G463" s="322"/>
      <c r="H463" s="47" t="s">
        <v>264</v>
      </c>
      <c r="I463" s="35">
        <f>IF(E461="","0",IF(AND(E458="EUC",E459=432), I462+(203-E460),IF(E461=0,0,(E461+(E459-E460)-1))))</f>
        <v>420</v>
      </c>
      <c r="J463" s="286" t="str">
        <f>IFERROR(IF(OR(E458="EUC",E458="SS"),"---",IF(OR(P457,S457),"NO 2F Tethers for RPX!",IF(OR(P459,S459),"NO 6F Tethers for RPX!","---"))),"---")</f>
        <v>---</v>
      </c>
      <c r="K463" s="287"/>
      <c r="L463" s="288"/>
      <c r="M463" s="286" t="str">
        <f>IF(E460&gt;60,"Dead Count &gt;60: Consider Downsize","---")</f>
        <v>---</v>
      </c>
      <c r="N463" s="287"/>
      <c r="O463" s="287"/>
      <c r="P463" s="287"/>
      <c r="Q463" s="287"/>
      <c r="R463" s="287"/>
      <c r="S463" s="287"/>
      <c r="T463" s="287"/>
      <c r="U463" s="288"/>
      <c r="V463" s="100"/>
      <c r="W463" s="54">
        <f>SUM(P463:U463)</f>
        <v>0</v>
      </c>
      <c r="X463" s="54"/>
      <c r="Y463" s="25"/>
      <c r="Z463" s="45">
        <v>4</v>
      </c>
      <c r="AA463" s="46">
        <v>37</v>
      </c>
      <c r="AB463" s="46">
        <v>48</v>
      </c>
      <c r="AC463" s="25"/>
      <c r="AD463" s="25"/>
      <c r="BA463" s="227"/>
    </row>
    <row r="464" spans="1:53" ht="15.6" thickTop="1" thickBot="1" x14ac:dyDescent="0.35">
      <c r="A464" s="88"/>
      <c r="B464" s="55" t="s">
        <v>265</v>
      </c>
      <c r="C464" s="56">
        <f>SUM(C458:C463)+I457</f>
        <v>24</v>
      </c>
      <c r="D464" s="31" t="s">
        <v>266</v>
      </c>
      <c r="E464" s="101" t="str">
        <f>IF(AS458="Y","DBL",IF(AS459="Y","TRPL",IF(AS460="Y","QUAD","")))</f>
        <v/>
      </c>
      <c r="F464" s="88"/>
      <c r="G464" s="192"/>
      <c r="H464" s="57"/>
      <c r="I464" s="192"/>
      <c r="J464" s="286"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7"/>
      <c r="L464" s="288"/>
      <c r="M464" s="286" t="str">
        <f>IF(AND(OR(E458="SS",E458="RPX",E458="EUC",E458="RPX-T"),(OR(C468="",C468="Field SPL"))),"Cannot have FlexNap cables without tethers","---")</f>
        <v>---</v>
      </c>
      <c r="N464" s="287"/>
      <c r="O464" s="287"/>
      <c r="P464" s="287"/>
      <c r="Q464" s="287"/>
      <c r="R464" s="287"/>
      <c r="S464" s="287"/>
      <c r="T464" s="287"/>
      <c r="U464" s="288"/>
      <c r="V464" s="25"/>
      <c r="W464" s="58"/>
      <c r="X464" s="58"/>
      <c r="Y464" s="25"/>
      <c r="Z464" s="45">
        <v>5</v>
      </c>
      <c r="AA464" s="46">
        <v>49</v>
      </c>
      <c r="AB464" s="46">
        <v>60</v>
      </c>
      <c r="AC464" s="25"/>
      <c r="AD464" s="25"/>
      <c r="BA464" s="227"/>
    </row>
    <row r="465" spans="1:53" ht="15.6" thickTop="1" thickBot="1" x14ac:dyDescent="0.35">
      <c r="A465" s="88"/>
      <c r="B465" s="59"/>
      <c r="C465" s="60"/>
      <c r="D465" s="61"/>
      <c r="E465" s="62"/>
      <c r="F465" s="88"/>
      <c r="G465" s="63"/>
      <c r="H465" s="64"/>
      <c r="I465" s="63"/>
      <c r="J465" s="286" t="str">
        <f>IF(AND(OR(E458="RPX", E458="RPX-T", E458="SS"),E459=216),"NO 216 For RPX, RPX-T, OR SS CABLE","---")</f>
        <v>---</v>
      </c>
      <c r="K465" s="287"/>
      <c r="L465" s="288"/>
      <c r="M465" s="286" t="str" cm="1">
        <f t="array" ref="M465">IF(AND(E458="",OR(C468:C492="FST",C468:C492="REV T",C468:C492="DBL REV",C468:C492="TPL REV", C468:C492="QD REV")),"Non-FlexNap cables cannot have tethers","---")</f>
        <v>---</v>
      </c>
      <c r="N465" s="287"/>
      <c r="O465" s="287"/>
      <c r="P465" s="287"/>
      <c r="Q465" s="287"/>
      <c r="R465" s="287"/>
      <c r="S465" s="287"/>
      <c r="T465" s="287"/>
      <c r="U465" s="288"/>
      <c r="V465" s="25"/>
      <c r="W465" s="58"/>
      <c r="X465" s="58"/>
      <c r="Y465" s="25"/>
      <c r="Z465" s="45">
        <v>6</v>
      </c>
      <c r="AA465" s="65">
        <v>61</v>
      </c>
      <c r="AB465" s="65">
        <v>72</v>
      </c>
      <c r="AC465" s="25"/>
      <c r="AD465" s="25"/>
      <c r="BA465" s="226"/>
    </row>
    <row r="466" spans="1:53" ht="15.75" customHeight="1" thickBot="1" x14ac:dyDescent="0.35">
      <c r="A466" s="88"/>
      <c r="B466" s="321" t="s">
        <v>267</v>
      </c>
      <c r="C466" s="293" t="s">
        <v>268</v>
      </c>
      <c r="D466" s="293" t="s">
        <v>269</v>
      </c>
      <c r="E466" s="306" t="s">
        <v>270</v>
      </c>
      <c r="F466" s="293" t="s">
        <v>271</v>
      </c>
      <c r="G466" s="308" t="s">
        <v>272</v>
      </c>
      <c r="H466" s="308" t="s">
        <v>273</v>
      </c>
      <c r="I466" s="308" t="s">
        <v>274</v>
      </c>
      <c r="J466" s="310" t="s">
        <v>275</v>
      </c>
      <c r="K466" s="293" t="s">
        <v>276</v>
      </c>
      <c r="L466" s="280" t="s">
        <v>277</v>
      </c>
      <c r="M466" s="282" t="s">
        <v>278</v>
      </c>
      <c r="N466" s="282"/>
      <c r="O466" s="282"/>
      <c r="P466" s="282"/>
      <c r="Q466" s="282"/>
      <c r="R466" s="282"/>
      <c r="S466" s="282"/>
      <c r="T466" s="282"/>
      <c r="U466" s="283"/>
      <c r="V466" s="107"/>
      <c r="W466" s="72"/>
      <c r="X466" s="72"/>
      <c r="Y466" s="72"/>
      <c r="Z466" s="45">
        <v>7</v>
      </c>
      <c r="AA466" s="65">
        <v>73</v>
      </c>
      <c r="AB466" s="65">
        <v>84</v>
      </c>
      <c r="AC466" s="25"/>
      <c r="AD466" s="25"/>
      <c r="BA466" s="228"/>
    </row>
    <row r="467" spans="1:53" ht="15" thickBot="1" x14ac:dyDescent="0.35">
      <c r="A467" s="88"/>
      <c r="B467" s="322"/>
      <c r="C467" s="294"/>
      <c r="D467" s="294"/>
      <c r="E467" s="307"/>
      <c r="F467" s="294"/>
      <c r="G467" s="309"/>
      <c r="H467" s="309"/>
      <c r="I467" s="309"/>
      <c r="J467" s="311"/>
      <c r="K467" s="294"/>
      <c r="L467" s="281"/>
      <c r="M467" s="284"/>
      <c r="N467" s="284"/>
      <c r="O467" s="284"/>
      <c r="P467" s="284"/>
      <c r="Q467" s="284"/>
      <c r="R467" s="284"/>
      <c r="S467" s="284"/>
      <c r="T467" s="284"/>
      <c r="U467" s="285"/>
      <c r="V467" s="107"/>
      <c r="W467" s="72"/>
      <c r="X467" s="72"/>
      <c r="Y467" s="72"/>
      <c r="Z467" s="45">
        <v>8</v>
      </c>
      <c r="AA467" s="46">
        <v>85</v>
      </c>
      <c r="AB467" s="46">
        <v>96</v>
      </c>
      <c r="AC467" s="25"/>
      <c r="AD467" s="25"/>
      <c r="AI467" s="109" t="s">
        <v>279</v>
      </c>
      <c r="AJ467" s="109" t="s">
        <v>280</v>
      </c>
      <c r="AK467" s="109" t="s">
        <v>281</v>
      </c>
      <c r="AL467" s="109" t="s">
        <v>282</v>
      </c>
      <c r="BA467" s="228"/>
    </row>
    <row r="468" spans="1:53" ht="15" thickBot="1" x14ac:dyDescent="0.35">
      <c r="A468" s="88"/>
      <c r="B468" s="66" t="s">
        <v>283</v>
      </c>
      <c r="C468" s="67" t="s">
        <v>322</v>
      </c>
      <c r="D468" s="102" t="s">
        <v>384</v>
      </c>
      <c r="E468" s="32">
        <v>4</v>
      </c>
      <c r="F468" s="32" t="s">
        <v>339</v>
      </c>
      <c r="G468" s="68" t="s">
        <v>285</v>
      </c>
      <c r="H468" s="69">
        <f>IF(I468=0,0,I468-(E468-1))</f>
        <v>417</v>
      </c>
      <c r="I468" s="70">
        <f>IF(E468=0,0,I463)</f>
        <v>420</v>
      </c>
      <c r="J468" s="71" t="s">
        <v>286</v>
      </c>
      <c r="K468" s="32"/>
      <c r="L468" s="233"/>
      <c r="M468" s="278"/>
      <c r="N468" s="278"/>
      <c r="O468" s="278"/>
      <c r="P468" s="278"/>
      <c r="Q468" s="278"/>
      <c r="R468" s="278"/>
      <c r="S468" s="278"/>
      <c r="T468" s="278"/>
      <c r="U468" s="279"/>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417-420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 thickBot="1" x14ac:dyDescent="0.35">
      <c r="A469" s="88"/>
      <c r="B469" s="66" t="s">
        <v>288</v>
      </c>
      <c r="C469" s="67" t="s">
        <v>322</v>
      </c>
      <c r="D469" s="102" t="s">
        <v>385</v>
      </c>
      <c r="E469" s="32">
        <v>4</v>
      </c>
      <c r="F469" s="32" t="s">
        <v>339</v>
      </c>
      <c r="G469" s="68" t="s">
        <v>285</v>
      </c>
      <c r="H469" s="69">
        <f t="shared" ref="H469:H492" si="196">IF(E469=0,0,I469-(E469-1))</f>
        <v>413</v>
      </c>
      <c r="I469" s="70">
        <f t="shared" ref="I469:I492" si="197">IF(E469=0,0,H468-1)</f>
        <v>416</v>
      </c>
      <c r="J469" s="73" t="str">
        <f>IF(C469="","--",IF(AND(C469&lt;&gt;"FST",C469&lt;&gt;"TCF",BA468&lt;&gt;0),BA468,"--"))</f>
        <v>--</v>
      </c>
      <c r="K469" s="32"/>
      <c r="L469" s="233"/>
      <c r="M469" s="278"/>
      <c r="N469" s="278"/>
      <c r="O469" s="278"/>
      <c r="P469" s="278"/>
      <c r="Q469" s="278"/>
      <c r="R469" s="278"/>
      <c r="S469" s="278"/>
      <c r="T469" s="278"/>
      <c r="U469" s="279"/>
      <c r="V469" s="103"/>
      <c r="W469" s="72"/>
      <c r="X469" s="72"/>
      <c r="Y469" s="72"/>
      <c r="Z469" s="45">
        <v>10</v>
      </c>
      <c r="AA469" s="46">
        <v>109</v>
      </c>
      <c r="AB469" s="46">
        <v>120</v>
      </c>
      <c r="AC469" s="72">
        <f t="shared" si="187"/>
        <v>1</v>
      </c>
      <c r="AD469" s="72">
        <f t="shared" si="188"/>
        <v>0</v>
      </c>
      <c r="AE469" s="109" t="str">
        <f t="shared" si="189"/>
        <v>413-416</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 thickBot="1" x14ac:dyDescent="0.35">
      <c r="A470" s="88"/>
      <c r="B470" s="74" t="s">
        <v>290</v>
      </c>
      <c r="C470" s="67" t="s">
        <v>322</v>
      </c>
      <c r="D470" s="102" t="s">
        <v>386</v>
      </c>
      <c r="E470" s="32">
        <v>4</v>
      </c>
      <c r="F470" s="32" t="s">
        <v>339</v>
      </c>
      <c r="G470" s="75" t="s">
        <v>285</v>
      </c>
      <c r="H470" s="69">
        <f t="shared" si="196"/>
        <v>409</v>
      </c>
      <c r="I470" s="70">
        <f t="shared" si="197"/>
        <v>412</v>
      </c>
      <c r="J470" s="73" t="str">
        <f t="shared" ref="J470:J492" si="198">IF(C470="","--",IF(AND(C470&lt;&gt;"FST",C470&lt;&gt;"TCF",BA469&lt;&gt;0),BA469,"--"))</f>
        <v>--</v>
      </c>
      <c r="K470" s="32"/>
      <c r="L470" s="233"/>
      <c r="M470" s="278"/>
      <c r="N470" s="278"/>
      <c r="O470" s="278"/>
      <c r="P470" s="278"/>
      <c r="Q470" s="278"/>
      <c r="R470" s="278"/>
      <c r="S470" s="278"/>
      <c r="T470" s="278"/>
      <c r="U470" s="279"/>
      <c r="V470" s="103"/>
      <c r="W470" s="72"/>
      <c r="X470" s="72"/>
      <c r="Y470" s="72"/>
      <c r="Z470" s="45">
        <v>11</v>
      </c>
      <c r="AA470" s="46">
        <v>121</v>
      </c>
      <c r="AB470" s="46">
        <v>132</v>
      </c>
      <c r="AC470" s="72">
        <f t="shared" si="187"/>
        <v>1</v>
      </c>
      <c r="AD470" s="72">
        <f t="shared" si="188"/>
        <v>0</v>
      </c>
      <c r="AE470" s="109" t="str">
        <f t="shared" si="189"/>
        <v>409-412</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 thickBot="1" x14ac:dyDescent="0.35">
      <c r="A471" s="88"/>
      <c r="B471" s="66" t="s">
        <v>292</v>
      </c>
      <c r="C471" s="67" t="s">
        <v>322</v>
      </c>
      <c r="D471" s="102" t="s">
        <v>387</v>
      </c>
      <c r="E471" s="32">
        <v>4</v>
      </c>
      <c r="F471" s="32" t="s">
        <v>339</v>
      </c>
      <c r="G471" s="68" t="s">
        <v>285</v>
      </c>
      <c r="H471" s="69">
        <f t="shared" si="196"/>
        <v>405</v>
      </c>
      <c r="I471" s="70">
        <f t="shared" si="197"/>
        <v>408</v>
      </c>
      <c r="J471" s="73" t="str">
        <f t="shared" si="198"/>
        <v>--</v>
      </c>
      <c r="K471" s="32"/>
      <c r="L471" s="233"/>
      <c r="M471" s="278"/>
      <c r="N471" s="278"/>
      <c r="O471" s="278"/>
      <c r="P471" s="278"/>
      <c r="Q471" s="278"/>
      <c r="R471" s="278"/>
      <c r="S471" s="278"/>
      <c r="T471" s="278"/>
      <c r="U471" s="279"/>
      <c r="V471" s="103"/>
      <c r="W471" s="72"/>
      <c r="X471" s="72"/>
      <c r="Y471" s="72"/>
      <c r="Z471" s="45">
        <v>12</v>
      </c>
      <c r="AA471" s="76">
        <v>133</v>
      </c>
      <c r="AB471" s="76">
        <v>144</v>
      </c>
      <c r="AC471" s="72">
        <f t="shared" si="187"/>
        <v>1</v>
      </c>
      <c r="AD471" s="72">
        <f t="shared" si="188"/>
        <v>0</v>
      </c>
      <c r="AE471" s="109" t="str">
        <f t="shared" si="189"/>
        <v>405-408</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8</v>
      </c>
    </row>
    <row r="472" spans="1:53" ht="15" thickBot="1" x14ac:dyDescent="0.35">
      <c r="A472" s="88"/>
      <c r="B472" s="66" t="s">
        <v>293</v>
      </c>
      <c r="C472" s="67" t="s">
        <v>322</v>
      </c>
      <c r="D472" s="102" t="s">
        <v>388</v>
      </c>
      <c r="E472" s="32">
        <v>4</v>
      </c>
      <c r="F472" s="32" t="s">
        <v>339</v>
      </c>
      <c r="G472" s="68" t="s">
        <v>285</v>
      </c>
      <c r="H472" s="69">
        <f t="shared" si="196"/>
        <v>401</v>
      </c>
      <c r="I472" s="70">
        <f t="shared" si="197"/>
        <v>404</v>
      </c>
      <c r="J472" s="73" t="str">
        <f t="shared" si="198"/>
        <v>--</v>
      </c>
      <c r="K472" s="32"/>
      <c r="L472" s="233"/>
      <c r="M472" s="278"/>
      <c r="N472" s="278"/>
      <c r="O472" s="278"/>
      <c r="P472" s="278"/>
      <c r="Q472" s="278"/>
      <c r="R472" s="278"/>
      <c r="S472" s="278"/>
      <c r="T472" s="278"/>
      <c r="U472" s="27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401-404</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 thickBot="1" x14ac:dyDescent="0.35">
      <c r="A473" s="88"/>
      <c r="B473" s="66" t="s">
        <v>294</v>
      </c>
      <c r="C473" s="67" t="s">
        <v>322</v>
      </c>
      <c r="D473" s="102" t="s">
        <v>389</v>
      </c>
      <c r="E473" s="32">
        <v>4</v>
      </c>
      <c r="F473" s="32" t="s">
        <v>339</v>
      </c>
      <c r="G473" s="68" t="s">
        <v>285</v>
      </c>
      <c r="H473" s="69">
        <f t="shared" si="196"/>
        <v>397</v>
      </c>
      <c r="I473" s="70">
        <f t="shared" si="197"/>
        <v>400</v>
      </c>
      <c r="J473" s="73" t="str">
        <f t="shared" si="198"/>
        <v>--</v>
      </c>
      <c r="K473" s="32"/>
      <c r="L473" s="233"/>
      <c r="M473" s="278"/>
      <c r="N473" s="278"/>
      <c r="O473" s="278"/>
      <c r="P473" s="278"/>
      <c r="Q473" s="278"/>
      <c r="R473" s="278"/>
      <c r="S473" s="278"/>
      <c r="T473" s="278"/>
      <c r="U473" s="279"/>
      <c r="V473" s="103"/>
      <c r="W473" s="72"/>
      <c r="X473" s="72"/>
      <c r="Y473" s="72"/>
      <c r="Z473" s="45">
        <v>14</v>
      </c>
      <c r="AA473" s="77">
        <f t="shared" si="199"/>
        <v>157</v>
      </c>
      <c r="AB473" s="77">
        <f t="shared" si="200"/>
        <v>168</v>
      </c>
      <c r="AC473" s="72">
        <f t="shared" si="187"/>
        <v>1</v>
      </c>
      <c r="AD473" s="72">
        <f t="shared" si="188"/>
        <v>0</v>
      </c>
      <c r="AE473" s="109" t="str">
        <f t="shared" si="189"/>
        <v>397-400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 thickBot="1" x14ac:dyDescent="0.35">
      <c r="A474" s="88"/>
      <c r="B474" s="66" t="s">
        <v>295</v>
      </c>
      <c r="C474" s="67"/>
      <c r="D474" s="102"/>
      <c r="E474" s="32"/>
      <c r="F474" s="32"/>
      <c r="G474" s="68" t="s">
        <v>285</v>
      </c>
      <c r="H474" s="69">
        <f t="shared" si="196"/>
        <v>0</v>
      </c>
      <c r="I474" s="70">
        <f t="shared" si="197"/>
        <v>0</v>
      </c>
      <c r="J474" s="73" t="str">
        <f t="shared" si="198"/>
        <v>--</v>
      </c>
      <c r="K474" s="32"/>
      <c r="L474" s="233"/>
      <c r="M474" s="278"/>
      <c r="N474" s="278"/>
      <c r="O474" s="278"/>
      <c r="P474" s="278"/>
      <c r="Q474" s="278"/>
      <c r="R474" s="278"/>
      <c r="S474" s="278"/>
      <c r="T474" s="278"/>
      <c r="U474" s="279"/>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 thickBot="1" x14ac:dyDescent="0.35">
      <c r="A475" s="88"/>
      <c r="B475" s="66" t="s">
        <v>296</v>
      </c>
      <c r="C475" s="67"/>
      <c r="D475" s="102"/>
      <c r="E475" s="32"/>
      <c r="F475" s="32"/>
      <c r="G475" s="68" t="s">
        <v>285</v>
      </c>
      <c r="H475" s="69">
        <f t="shared" si="196"/>
        <v>0</v>
      </c>
      <c r="I475" s="70">
        <f t="shared" si="197"/>
        <v>0</v>
      </c>
      <c r="J475" s="73" t="str">
        <f t="shared" si="198"/>
        <v>--</v>
      </c>
      <c r="K475" s="32"/>
      <c r="L475" s="233"/>
      <c r="M475" s="278"/>
      <c r="N475" s="278"/>
      <c r="O475" s="278"/>
      <c r="P475" s="278"/>
      <c r="Q475" s="278"/>
      <c r="R475" s="278"/>
      <c r="S475" s="278"/>
      <c r="T475" s="278"/>
      <c r="U475" s="27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 thickBot="1" x14ac:dyDescent="0.35">
      <c r="A476" s="88"/>
      <c r="B476" s="66" t="s">
        <v>297</v>
      </c>
      <c r="C476" s="67"/>
      <c r="D476" s="102"/>
      <c r="E476" s="32"/>
      <c r="F476" s="32"/>
      <c r="G476" s="68" t="s">
        <v>285</v>
      </c>
      <c r="H476" s="69">
        <f t="shared" si="196"/>
        <v>0</v>
      </c>
      <c r="I476" s="70">
        <f t="shared" si="197"/>
        <v>0</v>
      </c>
      <c r="J476" s="73" t="str">
        <f t="shared" si="198"/>
        <v>--</v>
      </c>
      <c r="K476" s="32"/>
      <c r="L476" s="233"/>
      <c r="M476" s="278"/>
      <c r="N476" s="278"/>
      <c r="O476" s="278"/>
      <c r="P476" s="278"/>
      <c r="Q476" s="278"/>
      <c r="R476" s="278"/>
      <c r="S476" s="278"/>
      <c r="T476" s="278"/>
      <c r="U476" s="27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 thickBot="1" x14ac:dyDescent="0.35">
      <c r="A477" s="88"/>
      <c r="B477" s="66" t="s">
        <v>298</v>
      </c>
      <c r="C477" s="67"/>
      <c r="D477" s="102"/>
      <c r="E477" s="32"/>
      <c r="F477" s="32"/>
      <c r="G477" s="68" t="s">
        <v>285</v>
      </c>
      <c r="H477" s="69">
        <f t="shared" si="196"/>
        <v>0</v>
      </c>
      <c r="I477" s="70">
        <f t="shared" si="197"/>
        <v>0</v>
      </c>
      <c r="J477" s="73" t="str">
        <f t="shared" si="198"/>
        <v>--</v>
      </c>
      <c r="K477" s="32"/>
      <c r="L477" s="233"/>
      <c r="M477" s="278"/>
      <c r="N477" s="278"/>
      <c r="O477" s="278"/>
      <c r="P477" s="278"/>
      <c r="Q477" s="278"/>
      <c r="R477" s="278"/>
      <c r="S477" s="278"/>
      <c r="T477" s="278"/>
      <c r="U477" s="27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 thickBot="1" x14ac:dyDescent="0.35">
      <c r="A478" s="88"/>
      <c r="B478" s="66" t="s">
        <v>299</v>
      </c>
      <c r="C478" s="67"/>
      <c r="D478" s="102"/>
      <c r="E478" s="32"/>
      <c r="F478" s="32"/>
      <c r="G478" s="68" t="s">
        <v>285</v>
      </c>
      <c r="H478" s="69">
        <f t="shared" si="196"/>
        <v>0</v>
      </c>
      <c r="I478" s="70">
        <f t="shared" si="197"/>
        <v>0</v>
      </c>
      <c r="J478" s="73" t="str">
        <f t="shared" si="198"/>
        <v>--</v>
      </c>
      <c r="K478" s="32"/>
      <c r="L478" s="233"/>
      <c r="M478" s="278"/>
      <c r="N478" s="278"/>
      <c r="O478" s="278"/>
      <c r="P478" s="278"/>
      <c r="Q478" s="278"/>
      <c r="R478" s="278"/>
      <c r="S478" s="278"/>
      <c r="T478" s="278"/>
      <c r="U478" s="279"/>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 thickBot="1" x14ac:dyDescent="0.35">
      <c r="A479" s="88"/>
      <c r="B479" s="66" t="s">
        <v>300</v>
      </c>
      <c r="C479" s="67"/>
      <c r="D479" s="102"/>
      <c r="E479" s="32"/>
      <c r="F479" s="32"/>
      <c r="G479" s="68" t="s">
        <v>285</v>
      </c>
      <c r="H479" s="69">
        <f t="shared" si="196"/>
        <v>0</v>
      </c>
      <c r="I479" s="70">
        <f t="shared" si="197"/>
        <v>0</v>
      </c>
      <c r="J479" s="73" t="str">
        <f t="shared" si="198"/>
        <v>--</v>
      </c>
      <c r="K479" s="32"/>
      <c r="L479" s="233"/>
      <c r="M479" s="278"/>
      <c r="N479" s="278"/>
      <c r="O479" s="278"/>
      <c r="P479" s="278"/>
      <c r="Q479" s="278"/>
      <c r="R479" s="278"/>
      <c r="S479" s="278"/>
      <c r="T479" s="278"/>
      <c r="U479" s="279"/>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 thickBot="1" x14ac:dyDescent="0.35">
      <c r="A480" s="88"/>
      <c r="B480" s="66" t="s">
        <v>301</v>
      </c>
      <c r="C480" s="67"/>
      <c r="D480" s="102"/>
      <c r="E480" s="32"/>
      <c r="F480" s="32"/>
      <c r="G480" s="68" t="s">
        <v>285</v>
      </c>
      <c r="H480" s="69">
        <f t="shared" si="196"/>
        <v>0</v>
      </c>
      <c r="I480" s="70">
        <f t="shared" si="197"/>
        <v>0</v>
      </c>
      <c r="J480" s="73" t="str">
        <f t="shared" si="198"/>
        <v>--</v>
      </c>
      <c r="K480" s="32"/>
      <c r="L480" s="233"/>
      <c r="M480" s="278"/>
      <c r="N480" s="278"/>
      <c r="O480" s="278"/>
      <c r="P480" s="278"/>
      <c r="Q480" s="278"/>
      <c r="R480" s="278"/>
      <c r="S480" s="278"/>
      <c r="T480" s="278"/>
      <c r="U480" s="279"/>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 thickBot="1" x14ac:dyDescent="0.35">
      <c r="A481" s="88"/>
      <c r="B481" s="66" t="s">
        <v>302</v>
      </c>
      <c r="C481" s="67"/>
      <c r="D481" s="102"/>
      <c r="E481" s="32"/>
      <c r="F481" s="32"/>
      <c r="G481" s="68" t="s">
        <v>285</v>
      </c>
      <c r="H481" s="69">
        <f t="shared" si="196"/>
        <v>0</v>
      </c>
      <c r="I481" s="70">
        <f t="shared" si="197"/>
        <v>0</v>
      </c>
      <c r="J481" s="73" t="str">
        <f t="shared" si="198"/>
        <v>--</v>
      </c>
      <c r="K481" s="32"/>
      <c r="L481" s="233"/>
      <c r="M481" s="278"/>
      <c r="N481" s="278"/>
      <c r="O481" s="278"/>
      <c r="P481" s="278"/>
      <c r="Q481" s="278"/>
      <c r="R481" s="278"/>
      <c r="S481" s="278"/>
      <c r="T481" s="278"/>
      <c r="U481" s="279"/>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 thickBot="1" x14ac:dyDescent="0.35">
      <c r="A482" s="88"/>
      <c r="B482" s="66" t="s">
        <v>303</v>
      </c>
      <c r="C482" s="67"/>
      <c r="D482" s="102"/>
      <c r="E482" s="32"/>
      <c r="F482" s="32"/>
      <c r="G482" s="68" t="s">
        <v>285</v>
      </c>
      <c r="H482" s="69">
        <f t="shared" si="196"/>
        <v>0</v>
      </c>
      <c r="I482" s="70">
        <f t="shared" si="197"/>
        <v>0</v>
      </c>
      <c r="J482" s="73" t="str">
        <f t="shared" si="198"/>
        <v>--</v>
      </c>
      <c r="K482" s="32"/>
      <c r="L482" s="233"/>
      <c r="M482" s="278"/>
      <c r="N482" s="278"/>
      <c r="O482" s="278"/>
      <c r="P482" s="278"/>
      <c r="Q482" s="278"/>
      <c r="R482" s="278"/>
      <c r="S482" s="278"/>
      <c r="T482" s="278"/>
      <c r="U482" s="279"/>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 thickBot="1" x14ac:dyDescent="0.35">
      <c r="A483" s="88"/>
      <c r="B483" s="66" t="s">
        <v>304</v>
      </c>
      <c r="C483" s="67"/>
      <c r="D483" s="102"/>
      <c r="E483" s="32"/>
      <c r="F483" s="32"/>
      <c r="G483" s="68" t="s">
        <v>285</v>
      </c>
      <c r="H483" s="69">
        <f t="shared" si="196"/>
        <v>0</v>
      </c>
      <c r="I483" s="70">
        <f t="shared" si="197"/>
        <v>0</v>
      </c>
      <c r="J483" s="73" t="str">
        <f t="shared" si="198"/>
        <v>--</v>
      </c>
      <c r="K483" s="32"/>
      <c r="L483" s="233"/>
      <c r="M483" s="278"/>
      <c r="N483" s="278"/>
      <c r="O483" s="278"/>
      <c r="P483" s="278"/>
      <c r="Q483" s="278"/>
      <c r="R483" s="278"/>
      <c r="S483" s="278"/>
      <c r="T483" s="278"/>
      <c r="U483" s="279"/>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 thickBot="1" x14ac:dyDescent="0.35">
      <c r="A484" s="88"/>
      <c r="B484" s="66" t="s">
        <v>305</v>
      </c>
      <c r="C484" s="67"/>
      <c r="D484" s="102"/>
      <c r="E484" s="32"/>
      <c r="F484" s="32"/>
      <c r="G484" s="68" t="s">
        <v>285</v>
      </c>
      <c r="H484" s="69">
        <f t="shared" si="196"/>
        <v>0</v>
      </c>
      <c r="I484" s="70">
        <f t="shared" si="197"/>
        <v>0</v>
      </c>
      <c r="J484" s="73" t="str">
        <f t="shared" si="198"/>
        <v>--</v>
      </c>
      <c r="K484" s="32"/>
      <c r="L484" s="233"/>
      <c r="M484" s="278"/>
      <c r="N484" s="278"/>
      <c r="O484" s="278"/>
      <c r="P484" s="278"/>
      <c r="Q484" s="278"/>
      <c r="R484" s="278"/>
      <c r="S484" s="278"/>
      <c r="T484" s="278"/>
      <c r="U484" s="279"/>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 thickBot="1" x14ac:dyDescent="0.35">
      <c r="A485" s="88"/>
      <c r="B485" s="66" t="s">
        <v>306</v>
      </c>
      <c r="C485" s="67"/>
      <c r="D485" s="102"/>
      <c r="E485" s="32"/>
      <c r="F485" s="32"/>
      <c r="G485" s="68" t="s">
        <v>285</v>
      </c>
      <c r="H485" s="69">
        <f t="shared" si="196"/>
        <v>0</v>
      </c>
      <c r="I485" s="70">
        <f t="shared" si="197"/>
        <v>0</v>
      </c>
      <c r="J485" s="73" t="str">
        <f t="shared" si="198"/>
        <v>--</v>
      </c>
      <c r="K485" s="32"/>
      <c r="L485" s="233"/>
      <c r="M485" s="278"/>
      <c r="N485" s="278"/>
      <c r="O485" s="278"/>
      <c r="P485" s="278"/>
      <c r="Q485" s="278"/>
      <c r="R485" s="278"/>
      <c r="S485" s="278"/>
      <c r="T485" s="278"/>
      <c r="U485" s="279"/>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 thickBot="1" x14ac:dyDescent="0.35">
      <c r="A486" s="88"/>
      <c r="B486" s="66" t="s">
        <v>307</v>
      </c>
      <c r="C486" s="67"/>
      <c r="D486" s="102"/>
      <c r="E486" s="32"/>
      <c r="F486" s="32"/>
      <c r="G486" s="68" t="s">
        <v>285</v>
      </c>
      <c r="H486" s="69">
        <f t="shared" si="196"/>
        <v>0</v>
      </c>
      <c r="I486" s="70">
        <f t="shared" si="197"/>
        <v>0</v>
      </c>
      <c r="J486" s="73" t="str">
        <f t="shared" si="198"/>
        <v>--</v>
      </c>
      <c r="K486" s="32"/>
      <c r="L486" s="233"/>
      <c r="M486" s="278"/>
      <c r="N486" s="278"/>
      <c r="O486" s="278"/>
      <c r="P486" s="278"/>
      <c r="Q486" s="278"/>
      <c r="R486" s="278"/>
      <c r="S486" s="278"/>
      <c r="T486" s="278"/>
      <c r="U486" s="279"/>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 thickBot="1" x14ac:dyDescent="0.35">
      <c r="A487" s="88"/>
      <c r="B487" s="66" t="s">
        <v>308</v>
      </c>
      <c r="C487" s="67"/>
      <c r="D487" s="102"/>
      <c r="E487" s="32"/>
      <c r="F487" s="32"/>
      <c r="G487" s="68" t="s">
        <v>285</v>
      </c>
      <c r="H487" s="69">
        <f t="shared" si="196"/>
        <v>0</v>
      </c>
      <c r="I487" s="70">
        <f t="shared" si="197"/>
        <v>0</v>
      </c>
      <c r="J487" s="73" t="str">
        <f t="shared" si="198"/>
        <v>--</v>
      </c>
      <c r="K487" s="32"/>
      <c r="L487" s="233"/>
      <c r="M487" s="278"/>
      <c r="N487" s="278"/>
      <c r="O487" s="278"/>
      <c r="P487" s="278"/>
      <c r="Q487" s="278"/>
      <c r="R487" s="278"/>
      <c r="S487" s="278"/>
      <c r="T487" s="278"/>
      <c r="U487" s="279"/>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 thickBot="1" x14ac:dyDescent="0.35">
      <c r="A488" s="88"/>
      <c r="B488" s="66" t="s">
        <v>309</v>
      </c>
      <c r="C488" s="67"/>
      <c r="D488" s="102"/>
      <c r="E488" s="32"/>
      <c r="F488" s="32"/>
      <c r="G488" s="68" t="s">
        <v>285</v>
      </c>
      <c r="H488" s="69">
        <f t="shared" si="196"/>
        <v>0</v>
      </c>
      <c r="I488" s="70">
        <f t="shared" si="197"/>
        <v>0</v>
      </c>
      <c r="J488" s="73" t="str">
        <f t="shared" si="198"/>
        <v>--</v>
      </c>
      <c r="K488" s="32"/>
      <c r="L488" s="233"/>
      <c r="M488" s="278"/>
      <c r="N488" s="278"/>
      <c r="O488" s="278"/>
      <c r="P488" s="278"/>
      <c r="Q488" s="278"/>
      <c r="R488" s="278"/>
      <c r="S488" s="278"/>
      <c r="T488" s="278"/>
      <c r="U488" s="279"/>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 thickBot="1" x14ac:dyDescent="0.35">
      <c r="A489" s="88"/>
      <c r="B489" s="66" t="s">
        <v>310</v>
      </c>
      <c r="C489" s="67"/>
      <c r="D489" s="102"/>
      <c r="E489" s="32"/>
      <c r="F489" s="32"/>
      <c r="G489" s="68" t="s">
        <v>285</v>
      </c>
      <c r="H489" s="69">
        <f t="shared" si="196"/>
        <v>0</v>
      </c>
      <c r="I489" s="70">
        <f t="shared" si="197"/>
        <v>0</v>
      </c>
      <c r="J489" s="73" t="str">
        <f t="shared" si="198"/>
        <v>--</v>
      </c>
      <c r="K489" s="32"/>
      <c r="L489" s="233"/>
      <c r="M489" s="278"/>
      <c r="N489" s="278"/>
      <c r="O489" s="278"/>
      <c r="P489" s="278"/>
      <c r="Q489" s="278"/>
      <c r="R489" s="278"/>
      <c r="S489" s="278"/>
      <c r="T489" s="278"/>
      <c r="U489" s="279"/>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 thickBot="1" x14ac:dyDescent="0.35">
      <c r="A490" s="88"/>
      <c r="B490" s="66" t="s">
        <v>311</v>
      </c>
      <c r="C490" s="67"/>
      <c r="D490" s="102"/>
      <c r="E490" s="32"/>
      <c r="F490" s="32"/>
      <c r="G490" s="68" t="s">
        <v>285</v>
      </c>
      <c r="H490" s="69">
        <f t="shared" si="196"/>
        <v>0</v>
      </c>
      <c r="I490" s="70">
        <f t="shared" si="197"/>
        <v>0</v>
      </c>
      <c r="J490" s="73" t="str">
        <f t="shared" si="198"/>
        <v>--</v>
      </c>
      <c r="K490" s="32"/>
      <c r="L490" s="233"/>
      <c r="M490" s="278"/>
      <c r="N490" s="278"/>
      <c r="O490" s="278"/>
      <c r="P490" s="278"/>
      <c r="Q490" s="278"/>
      <c r="R490" s="278"/>
      <c r="S490" s="278"/>
      <c r="T490" s="278"/>
      <c r="U490" s="279"/>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 thickBot="1" x14ac:dyDescent="0.35">
      <c r="A491" s="88"/>
      <c r="B491" s="66" t="s">
        <v>312</v>
      </c>
      <c r="C491" s="67"/>
      <c r="D491" s="102"/>
      <c r="E491" s="32"/>
      <c r="F491" s="32"/>
      <c r="G491" s="68" t="s">
        <v>285</v>
      </c>
      <c r="H491" s="69">
        <f t="shared" si="196"/>
        <v>0</v>
      </c>
      <c r="I491" s="70">
        <f t="shared" si="197"/>
        <v>0</v>
      </c>
      <c r="J491" s="73" t="str">
        <f t="shared" si="198"/>
        <v>--</v>
      </c>
      <c r="K491" s="32"/>
      <c r="L491" s="233"/>
      <c r="M491" s="278"/>
      <c r="N491" s="278"/>
      <c r="O491" s="278"/>
      <c r="P491" s="278"/>
      <c r="Q491" s="278"/>
      <c r="R491" s="278"/>
      <c r="S491" s="278"/>
      <c r="T491" s="278"/>
      <c r="U491" s="279"/>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 thickBot="1" x14ac:dyDescent="0.35">
      <c r="A492" s="88"/>
      <c r="B492" s="66" t="s">
        <v>313</v>
      </c>
      <c r="C492" s="67"/>
      <c r="D492" s="102"/>
      <c r="E492" s="32"/>
      <c r="F492" s="32"/>
      <c r="G492" s="68" t="s">
        <v>285</v>
      </c>
      <c r="H492" s="69">
        <f t="shared" si="196"/>
        <v>0</v>
      </c>
      <c r="I492" s="70">
        <f t="shared" si="197"/>
        <v>0</v>
      </c>
      <c r="J492" s="73" t="str">
        <f t="shared" si="198"/>
        <v>--</v>
      </c>
      <c r="K492" s="32"/>
      <c r="L492" s="234"/>
      <c r="M492" s="278"/>
      <c r="N492" s="278"/>
      <c r="O492" s="278"/>
      <c r="P492" s="278"/>
      <c r="Q492" s="278"/>
      <c r="R492" s="278"/>
      <c r="S492" s="278"/>
      <c r="T492" s="278"/>
      <c r="U492" s="279"/>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2" thickBot="1" x14ac:dyDescent="0.35">
      <c r="A493" s="88"/>
      <c r="B493" s="319" t="s">
        <v>390</v>
      </c>
      <c r="C493" s="320"/>
      <c r="D493" s="79"/>
      <c r="E493" s="80"/>
      <c r="F493" s="80"/>
      <c r="G493" s="81"/>
      <c r="H493" s="192"/>
      <c r="I493" s="192"/>
      <c r="J493" s="192"/>
      <c r="K493" s="82"/>
      <c r="L493" s="319" t="s">
        <v>319</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19</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2" thickBot="1" x14ac:dyDescent="0.35">
      <c r="A494" s="88"/>
      <c r="B494" s="319" t="s">
        <v>320</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 thickBot="1"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5">
      <c r="A497" s="88"/>
      <c r="B497" s="85" t="s">
        <v>391</v>
      </c>
      <c r="C497" s="25"/>
      <c r="D497" s="25"/>
      <c r="E497" s="25"/>
      <c r="F497" s="88"/>
      <c r="G497" s="25"/>
      <c r="H497" s="25"/>
      <c r="I497" s="87"/>
      <c r="J497" s="26"/>
      <c r="K497" s="25"/>
      <c r="L497" s="25"/>
      <c r="M497" s="196" t="s">
        <v>217</v>
      </c>
      <c r="N497" s="196" t="s">
        <v>218</v>
      </c>
      <c r="O497" s="196" t="s">
        <v>219</v>
      </c>
      <c r="P497" s="196" t="s">
        <v>220</v>
      </c>
      <c r="Q497" s="196" t="s">
        <v>221</v>
      </c>
      <c r="R497" s="196" t="s">
        <v>222</v>
      </c>
      <c r="S497" s="196" t="s">
        <v>223</v>
      </c>
      <c r="T497" s="196" t="s">
        <v>224</v>
      </c>
      <c r="U497" s="196" t="s">
        <v>225</v>
      </c>
      <c r="V497" s="196" t="s">
        <v>226</v>
      </c>
      <c r="W497" s="113" t="s">
        <v>227</v>
      </c>
      <c r="X497" s="196" t="s">
        <v>228</v>
      </c>
      <c r="Y497" s="25"/>
      <c r="Z497" s="25"/>
      <c r="AA497" s="25"/>
      <c r="AB497" s="25"/>
      <c r="AC497" s="25"/>
      <c r="AD497" s="25"/>
      <c r="BA497" s="226"/>
    </row>
    <row r="498" spans="1:53" ht="15.6" thickTop="1" thickBot="1" x14ac:dyDescent="0.35">
      <c r="A498" s="88"/>
      <c r="B498" s="312" t="s">
        <v>229</v>
      </c>
      <c r="C498" s="313"/>
      <c r="D498" s="314" t="s">
        <v>230</v>
      </c>
      <c r="E498" s="305"/>
      <c r="F498" s="88"/>
      <c r="G498" s="315" t="s">
        <v>231</v>
      </c>
      <c r="H498" s="316"/>
      <c r="I498" s="28">
        <f>SUM(E509:E533)</f>
        <v>8</v>
      </c>
      <c r="J498" s="317" t="s">
        <v>232</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5" t="s">
        <v>233</v>
      </c>
      <c r="AA498" s="296"/>
      <c r="AB498" s="297"/>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234</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5">
      <c r="A499" s="88"/>
      <c r="B499" s="29" t="s">
        <v>235</v>
      </c>
      <c r="C499" s="30">
        <v>0</v>
      </c>
      <c r="D499" s="31" t="s">
        <v>236</v>
      </c>
      <c r="E499" s="66" t="str">
        <f>TEXT(IF('Cable Calculator'!BL7="","",'Cable Calculator'!BL7),)</f>
        <v>EUC</v>
      </c>
      <c r="F499" s="88"/>
      <c r="G499" s="304" t="s">
        <v>237</v>
      </c>
      <c r="H499" s="305"/>
      <c r="I499" s="33">
        <f>E500-I498</f>
        <v>16</v>
      </c>
      <c r="J499" s="289" t="s">
        <v>238</v>
      </c>
      <c r="K499" s="290"/>
      <c r="L499" s="34">
        <f>I503</f>
        <v>421</v>
      </c>
      <c r="M499" s="196">
        <v>4</v>
      </c>
      <c r="N499" s="35">
        <f>SUM(AI499,AI510)</f>
        <v>0</v>
      </c>
      <c r="O499" s="35">
        <v>0</v>
      </c>
      <c r="P499" s="35">
        <f>SUM(AJ499,AJ510)</f>
        <v>0</v>
      </c>
      <c r="Q499" s="35">
        <v>0</v>
      </c>
      <c r="R499" s="35">
        <f>COUNTIFS($E509:$E533,"4",$F509:$F533,"Pole",$C509:$C533,"FST")</f>
        <v>2</v>
      </c>
      <c r="S499" s="35">
        <f>SUM(AL499,AK510)</f>
        <v>0</v>
      </c>
      <c r="T499" s="35">
        <v>0</v>
      </c>
      <c r="U499" s="35">
        <f>SUM(AK499,AL510)</f>
        <v>2</v>
      </c>
      <c r="V499" s="35">
        <v>0</v>
      </c>
      <c r="W499" s="34">
        <f>COUNTIFS($E509:$E533,"4",$F509:$F533,"HH",$C509:$C533,"FST")</f>
        <v>0</v>
      </c>
      <c r="X499" s="35">
        <f>COUNTIFS($E509:$E533,"4",$F509:$F533,"Ped",$C509:$C533,"FST")</f>
        <v>0</v>
      </c>
      <c r="Y499" s="25"/>
      <c r="Z499" s="298" t="s">
        <v>239</v>
      </c>
      <c r="AA499" s="300" t="s">
        <v>240</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241</v>
      </c>
      <c r="AU499" s="109">
        <f>COUNTIFS($E499,"SS",$AS499,"Y")</f>
        <v>0</v>
      </c>
      <c r="AV499" s="111">
        <f>COUNTIFS($E499,"RPX",$AS499,"Y")</f>
        <v>0</v>
      </c>
      <c r="AW499" s="111">
        <f>COUNTIFS($E499,"EUC",$AS499,"Y")</f>
        <v>0</v>
      </c>
      <c r="AX499" s="109">
        <f>COUNTIFS($E499,"RPX-T",$AS499,"Y")</f>
        <v>0</v>
      </c>
      <c r="BA499" s="227"/>
    </row>
    <row r="500" spans="1:53" ht="15.6" thickTop="1" thickBot="1" x14ac:dyDescent="0.35">
      <c r="A500" s="88"/>
      <c r="B500" s="36" t="s">
        <v>242</v>
      </c>
      <c r="C500" s="37">
        <v>0</v>
      </c>
      <c r="D500" s="38" t="s">
        <v>243</v>
      </c>
      <c r="E500" s="32">
        <v>24</v>
      </c>
      <c r="F500" s="88"/>
      <c r="G500" s="291" t="s">
        <v>244</v>
      </c>
      <c r="H500" s="292"/>
      <c r="I500" s="35">
        <f>IF(E500=0,0,12-(MOD(I498,12)))</f>
        <v>4</v>
      </c>
      <c r="J500" s="289" t="s">
        <v>245</v>
      </c>
      <c r="K500" s="290"/>
      <c r="L500" s="39">
        <f>I504-I498</f>
        <v>424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246</v>
      </c>
      <c r="AU500" s="109">
        <f>COUNTIFS($E499,"SS",$AS500,"Y")</f>
        <v>0</v>
      </c>
      <c r="AV500" s="108">
        <f>COUNTIFS($E499,"RPX",$AS500,"Y")</f>
        <v>0</v>
      </c>
      <c r="AW500" s="108">
        <f>COUNTIFS($E499,"EUC",$AS500,"Y")</f>
        <v>0</v>
      </c>
      <c r="AX500" s="109">
        <f>COUNTIFS($E499,"RPX-T",$AS500,"Y")</f>
        <v>0</v>
      </c>
      <c r="BA500" s="227"/>
    </row>
    <row r="501" spans="1:53" ht="16.5" customHeight="1" thickTop="1" thickBot="1" x14ac:dyDescent="0.35">
      <c r="A501" s="88"/>
      <c r="B501" s="40" t="s">
        <v>247</v>
      </c>
      <c r="C501" s="30">
        <v>0</v>
      </c>
      <c r="D501" s="41" t="s">
        <v>248</v>
      </c>
      <c r="E501" s="42">
        <v>12</v>
      </c>
      <c r="F501" s="88"/>
      <c r="G501" s="321" t="s">
        <v>249</v>
      </c>
      <c r="H501" s="43" t="s">
        <v>250</v>
      </c>
      <c r="I501" s="35">
        <f>IF(E501&lt;&gt;0,1,0)</f>
        <v>1</v>
      </c>
      <c r="J501" s="291" t="s">
        <v>251</v>
      </c>
      <c r="K501" s="292"/>
      <c r="L501" s="44">
        <f>'Cable Calculator'!BL3</f>
        <v>1014</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252</v>
      </c>
      <c r="AU501" s="109">
        <f>COUNTIFS($E499,"SS",$AS501,"Y")</f>
        <v>0</v>
      </c>
      <c r="AV501" s="108">
        <f>COUNTIFS($E499,"RPX",$AS501,"Y")</f>
        <v>0</v>
      </c>
      <c r="AW501" s="108">
        <f>COUNTIFS($E499,"EUC",$AS501,"Y")</f>
        <v>0</v>
      </c>
      <c r="AX501" s="109">
        <f>COUNTIFS($E499,"RPX-T",$AS501,"Y")</f>
        <v>0</v>
      </c>
      <c r="BA501" s="227"/>
    </row>
    <row r="502" spans="1:53" ht="15.6" thickTop="1" thickBot="1" x14ac:dyDescent="0.35">
      <c r="A502" s="88"/>
      <c r="B502" s="29" t="s">
        <v>253</v>
      </c>
      <c r="C502" s="37">
        <v>0</v>
      </c>
      <c r="D502" s="41" t="s">
        <v>254</v>
      </c>
      <c r="E502" s="42">
        <v>421</v>
      </c>
      <c r="F502" s="88"/>
      <c r="G502" s="322"/>
      <c r="H502" s="47" t="s">
        <v>255</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5">
      <c r="A503" s="88"/>
      <c r="B503" s="36" t="s">
        <v>256</v>
      </c>
      <c r="C503" s="30">
        <v>0</v>
      </c>
      <c r="D503" s="49" t="s">
        <v>257</v>
      </c>
      <c r="E503" s="50">
        <f>E500/12</f>
        <v>2</v>
      </c>
      <c r="F503" s="88"/>
      <c r="G503" s="321" t="s">
        <v>258</v>
      </c>
      <c r="H503" s="51" t="s">
        <v>259</v>
      </c>
      <c r="I503" s="112">
        <f>E502</f>
        <v>421</v>
      </c>
      <c r="J503" s="323" t="s">
        <v>260</v>
      </c>
      <c r="K503" s="324"/>
      <c r="L503" s="325"/>
      <c r="M503" s="52" t="s">
        <v>261</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5.6" thickTop="1" thickBot="1" x14ac:dyDescent="0.35">
      <c r="A504" s="88"/>
      <c r="B504" s="36" t="s">
        <v>262</v>
      </c>
      <c r="C504" s="30">
        <v>0</v>
      </c>
      <c r="D504" s="31" t="s">
        <v>263</v>
      </c>
      <c r="E504" s="101" t="str">
        <f>IF('Cable Calculator'!BL5="","",'Cable Calculator'!BL5)</f>
        <v>N</v>
      </c>
      <c r="F504" s="88"/>
      <c r="G504" s="322"/>
      <c r="H504" s="47" t="s">
        <v>264</v>
      </c>
      <c r="I504" s="35">
        <f>IF(E502="","0",IF(AND(E499="EUC",E500=432), I503+(203-E501),IF(E502=0,0,(E502+(E500-E501)-1))))</f>
        <v>432</v>
      </c>
      <c r="J504" s="286" t="str">
        <f>IFERROR(IF(OR(E499="EUC",E499="SS"),"---",IF(OR(P498,S498),"NO 2F Tethers for RPX!",IF(OR(P500,S500),"NO 6F Tethers for RPX!","---"))),"---")</f>
        <v>---</v>
      </c>
      <c r="K504" s="287"/>
      <c r="L504" s="288"/>
      <c r="M504" s="286" t="str">
        <f>IF(E501&gt;60,"Dead Count &gt;60: Consider Downsize","---")</f>
        <v>---</v>
      </c>
      <c r="N504" s="287"/>
      <c r="O504" s="287"/>
      <c r="P504" s="287"/>
      <c r="Q504" s="287"/>
      <c r="R504" s="287"/>
      <c r="S504" s="287"/>
      <c r="T504" s="287"/>
      <c r="U504" s="288"/>
      <c r="V504" s="100"/>
      <c r="W504" s="54">
        <f>SUM(P504:U504)</f>
        <v>0</v>
      </c>
      <c r="X504" s="54"/>
      <c r="Y504" s="25"/>
      <c r="Z504" s="45">
        <v>4</v>
      </c>
      <c r="AA504" s="46">
        <v>37</v>
      </c>
      <c r="AB504" s="46">
        <v>48</v>
      </c>
      <c r="AC504" s="25"/>
      <c r="AD504" s="25"/>
      <c r="BA504" s="227"/>
    </row>
    <row r="505" spans="1:53" ht="15.6" thickTop="1" thickBot="1" x14ac:dyDescent="0.35">
      <c r="A505" s="88"/>
      <c r="B505" s="55" t="s">
        <v>265</v>
      </c>
      <c r="C505" s="56">
        <f>SUM(C499:C504)+I498</f>
        <v>8</v>
      </c>
      <c r="D505" s="31" t="s">
        <v>266</v>
      </c>
      <c r="E505" s="101" t="str">
        <f>IF(AS499="Y","DBL",IF(AS500="Y","TRPL",IF(AS501="Y","QUAD","")))</f>
        <v/>
      </c>
      <c r="F505" s="88"/>
      <c r="G505" s="192"/>
      <c r="H505" s="57"/>
      <c r="I505" s="192"/>
      <c r="J505" s="286"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7"/>
      <c r="L505" s="288"/>
      <c r="M505" s="286" t="str">
        <f>IF(AND(OR(E499="SS",E499="RPX",E499="EUC",E499="RPX-T"),(OR(C509="",C509="Field SPL"))),"Cannot have FlexNap cables without tethers","---")</f>
        <v>---</v>
      </c>
      <c r="N505" s="287"/>
      <c r="O505" s="287"/>
      <c r="P505" s="287"/>
      <c r="Q505" s="287"/>
      <c r="R505" s="287"/>
      <c r="S505" s="287"/>
      <c r="T505" s="287"/>
      <c r="U505" s="288"/>
      <c r="V505" s="25"/>
      <c r="W505" s="58"/>
      <c r="X505" s="58"/>
      <c r="Y505" s="25"/>
      <c r="Z505" s="45">
        <v>5</v>
      </c>
      <c r="AA505" s="46">
        <v>49</v>
      </c>
      <c r="AB505" s="46">
        <v>60</v>
      </c>
      <c r="AC505" s="25"/>
      <c r="AD505" s="25"/>
      <c r="BA505" s="227"/>
    </row>
    <row r="506" spans="1:53" ht="15.6" thickTop="1" thickBot="1" x14ac:dyDescent="0.35">
      <c r="A506" s="88"/>
      <c r="B506" s="59"/>
      <c r="C506" s="60"/>
      <c r="D506" s="61"/>
      <c r="E506" s="62"/>
      <c r="F506" s="88"/>
      <c r="G506" s="63"/>
      <c r="H506" s="64"/>
      <c r="I506" s="63"/>
      <c r="J506" s="286" t="str">
        <f>IF(AND(OR(E499="RPX", E499="RPX-T", E499="SS"),E500=216),"NO 216 For RPX, RPX-T, OR SS CABLE","---")</f>
        <v>---</v>
      </c>
      <c r="K506" s="287"/>
      <c r="L506" s="288"/>
      <c r="M506" s="286" t="str" cm="1">
        <f t="array" ref="M506">IF(AND(E499="",OR(C509:C533="FST",C509:C533="REV T",C509:C533="DBL REV",C509:C533="TPL REV", C509:C533="QD REV")),"Non-FlexNap cables cannot have tethers","---")</f>
        <v>---</v>
      </c>
      <c r="N506" s="287"/>
      <c r="O506" s="287"/>
      <c r="P506" s="287"/>
      <c r="Q506" s="287"/>
      <c r="R506" s="287"/>
      <c r="S506" s="287"/>
      <c r="T506" s="287"/>
      <c r="U506" s="288"/>
      <c r="V506" s="25"/>
      <c r="W506" s="58"/>
      <c r="X506" s="58"/>
      <c r="Y506" s="25"/>
      <c r="Z506" s="45">
        <v>6</v>
      </c>
      <c r="AA506" s="65">
        <v>61</v>
      </c>
      <c r="AB506" s="65">
        <v>72</v>
      </c>
      <c r="AC506" s="25"/>
      <c r="AD506" s="25"/>
      <c r="BA506" s="226"/>
    </row>
    <row r="507" spans="1:53" ht="15.75" customHeight="1" thickBot="1" x14ac:dyDescent="0.35">
      <c r="A507" s="88"/>
      <c r="B507" s="321" t="s">
        <v>267</v>
      </c>
      <c r="C507" s="293" t="s">
        <v>268</v>
      </c>
      <c r="D507" s="293" t="s">
        <v>269</v>
      </c>
      <c r="E507" s="306" t="s">
        <v>270</v>
      </c>
      <c r="F507" s="293" t="s">
        <v>271</v>
      </c>
      <c r="G507" s="308" t="s">
        <v>272</v>
      </c>
      <c r="H507" s="308" t="s">
        <v>273</v>
      </c>
      <c r="I507" s="308" t="s">
        <v>274</v>
      </c>
      <c r="J507" s="310" t="s">
        <v>275</v>
      </c>
      <c r="K507" s="293" t="s">
        <v>276</v>
      </c>
      <c r="L507" s="280" t="s">
        <v>277</v>
      </c>
      <c r="M507" s="282" t="s">
        <v>278</v>
      </c>
      <c r="N507" s="282"/>
      <c r="O507" s="282"/>
      <c r="P507" s="282"/>
      <c r="Q507" s="282"/>
      <c r="R507" s="282"/>
      <c r="S507" s="282"/>
      <c r="T507" s="282"/>
      <c r="U507" s="283"/>
      <c r="V507" s="107"/>
      <c r="W507" s="72"/>
      <c r="X507" s="72"/>
      <c r="Y507" s="72"/>
      <c r="Z507" s="45">
        <v>7</v>
      </c>
      <c r="AA507" s="65">
        <v>73</v>
      </c>
      <c r="AB507" s="65">
        <v>84</v>
      </c>
      <c r="AC507" s="25"/>
      <c r="AD507" s="25"/>
      <c r="BA507" s="228"/>
    </row>
    <row r="508" spans="1:53" ht="15" thickBot="1" x14ac:dyDescent="0.35">
      <c r="A508" s="88"/>
      <c r="B508" s="322"/>
      <c r="C508" s="294"/>
      <c r="D508" s="294"/>
      <c r="E508" s="307"/>
      <c r="F508" s="294"/>
      <c r="G508" s="309"/>
      <c r="H508" s="309"/>
      <c r="I508" s="309"/>
      <c r="J508" s="311"/>
      <c r="K508" s="294"/>
      <c r="L508" s="281"/>
      <c r="M508" s="284"/>
      <c r="N508" s="284"/>
      <c r="O508" s="284"/>
      <c r="P508" s="284"/>
      <c r="Q508" s="284"/>
      <c r="R508" s="284"/>
      <c r="S508" s="284"/>
      <c r="T508" s="284"/>
      <c r="U508" s="285"/>
      <c r="V508" s="107"/>
      <c r="W508" s="72"/>
      <c r="X508" s="72"/>
      <c r="Y508" s="72"/>
      <c r="Z508" s="45">
        <v>8</v>
      </c>
      <c r="AA508" s="46">
        <v>85</v>
      </c>
      <c r="AB508" s="46">
        <v>96</v>
      </c>
      <c r="AC508" s="25"/>
      <c r="AD508" s="25"/>
      <c r="AI508" s="109" t="s">
        <v>279</v>
      </c>
      <c r="AJ508" s="109" t="s">
        <v>280</v>
      </c>
      <c r="AK508" s="109" t="s">
        <v>281</v>
      </c>
      <c r="AL508" s="109" t="s">
        <v>282</v>
      </c>
      <c r="BA508" s="228"/>
    </row>
    <row r="509" spans="1:53" ht="15" thickBot="1" x14ac:dyDescent="0.35">
      <c r="A509" s="88"/>
      <c r="B509" s="66" t="s">
        <v>283</v>
      </c>
      <c r="C509" s="67" t="s">
        <v>322</v>
      </c>
      <c r="D509" s="102" t="s">
        <v>392</v>
      </c>
      <c r="E509" s="32">
        <v>4</v>
      </c>
      <c r="F509" s="32" t="s">
        <v>339</v>
      </c>
      <c r="G509" s="68" t="s">
        <v>285</v>
      </c>
      <c r="H509" s="69">
        <f>IF(I509=0,0,I509-(E509-1))</f>
        <v>429</v>
      </c>
      <c r="I509" s="70">
        <f>IF(E509=0,0,I504)</f>
        <v>432</v>
      </c>
      <c r="J509" s="71" t="s">
        <v>286</v>
      </c>
      <c r="K509" s="32"/>
      <c r="L509" s="233"/>
      <c r="M509" s="278"/>
      <c r="N509" s="278"/>
      <c r="O509" s="278"/>
      <c r="P509" s="278"/>
      <c r="Q509" s="278"/>
      <c r="R509" s="278"/>
      <c r="S509" s="278"/>
      <c r="T509" s="278"/>
      <c r="U509" s="279"/>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429-432</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 thickBot="1" x14ac:dyDescent="0.35">
      <c r="A510" s="88"/>
      <c r="B510" s="66" t="s">
        <v>288</v>
      </c>
      <c r="C510" s="67" t="s">
        <v>322</v>
      </c>
      <c r="D510" s="102" t="s">
        <v>393</v>
      </c>
      <c r="E510" s="32">
        <v>4</v>
      </c>
      <c r="F510" s="32" t="s">
        <v>339</v>
      </c>
      <c r="G510" s="68" t="s">
        <v>285</v>
      </c>
      <c r="H510" s="69">
        <f t="shared" ref="H510:H533" si="213">IF(E510=0,0,I510-(E510-1))</f>
        <v>425</v>
      </c>
      <c r="I510" s="70">
        <f t="shared" ref="I510:I533" si="214">IF(E510=0,0,H509-1)</f>
        <v>428</v>
      </c>
      <c r="J510" s="73" t="str">
        <f>IF(C510="","--",IF(AND(C510&lt;&gt;"FST",C510&lt;&gt;"TCF",BA509&lt;&gt;0),BA509,"--"))</f>
        <v>--</v>
      </c>
      <c r="K510" s="32"/>
      <c r="L510" s="233"/>
      <c r="M510" s="278"/>
      <c r="N510" s="278"/>
      <c r="O510" s="278"/>
      <c r="P510" s="278"/>
      <c r="Q510" s="278"/>
      <c r="R510" s="278"/>
      <c r="S510" s="278"/>
      <c r="T510" s="278"/>
      <c r="U510" s="279"/>
      <c r="V510" s="103"/>
      <c r="W510" s="72"/>
      <c r="X510" s="72"/>
      <c r="Y510" s="72"/>
      <c r="Z510" s="45">
        <v>10</v>
      </c>
      <c r="AA510" s="46">
        <v>109</v>
      </c>
      <c r="AB510" s="46">
        <v>120</v>
      </c>
      <c r="AC510" s="72">
        <f t="shared" si="204"/>
        <v>1</v>
      </c>
      <c r="AD510" s="72">
        <f t="shared" si="205"/>
        <v>0</v>
      </c>
      <c r="AE510" s="109" t="str">
        <f t="shared" si="206"/>
        <v>425-428</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 thickBot="1" x14ac:dyDescent="0.35">
      <c r="A511" s="88"/>
      <c r="B511" s="74" t="s">
        <v>290</v>
      </c>
      <c r="C511" s="67"/>
      <c r="D511" s="102"/>
      <c r="E511" s="32"/>
      <c r="F511" s="32"/>
      <c r="G511" s="75" t="s">
        <v>285</v>
      </c>
      <c r="H511" s="69">
        <f t="shared" si="213"/>
        <v>0</v>
      </c>
      <c r="I511" s="70">
        <f t="shared" si="214"/>
        <v>0</v>
      </c>
      <c r="J511" s="73" t="str">
        <f t="shared" ref="J511:J533" si="215">IF(C511="","--",IF(AND(C511&lt;&gt;"FST",C511&lt;&gt;"TCF",BA510&lt;&gt;0),BA510,"--"))</f>
        <v>--</v>
      </c>
      <c r="K511" s="32"/>
      <c r="L511" s="233"/>
      <c r="M511" s="278"/>
      <c r="N511" s="278"/>
      <c r="O511" s="278"/>
      <c r="P511" s="278"/>
      <c r="Q511" s="278"/>
      <c r="R511" s="278"/>
      <c r="S511" s="278"/>
      <c r="T511" s="278"/>
      <c r="U511" s="279"/>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8</v>
      </c>
    </row>
    <row r="512" spans="1:53" ht="15" thickBot="1" x14ac:dyDescent="0.35">
      <c r="A512" s="88"/>
      <c r="B512" s="66" t="s">
        <v>292</v>
      </c>
      <c r="C512" s="67"/>
      <c r="D512" s="102"/>
      <c r="E512" s="32"/>
      <c r="F512" s="32"/>
      <c r="G512" s="68" t="s">
        <v>285</v>
      </c>
      <c r="H512" s="69">
        <f t="shared" si="213"/>
        <v>0</v>
      </c>
      <c r="I512" s="70">
        <f t="shared" si="214"/>
        <v>0</v>
      </c>
      <c r="J512" s="73" t="str">
        <f t="shared" si="215"/>
        <v>--</v>
      </c>
      <c r="K512" s="32"/>
      <c r="L512" s="233"/>
      <c r="M512" s="278"/>
      <c r="N512" s="278"/>
      <c r="O512" s="278"/>
      <c r="P512" s="278"/>
      <c r="Q512" s="278"/>
      <c r="R512" s="278"/>
      <c r="S512" s="278"/>
      <c r="T512" s="278"/>
      <c r="U512" s="279"/>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8</v>
      </c>
    </row>
    <row r="513" spans="1:53" ht="15" thickBot="1" x14ac:dyDescent="0.35">
      <c r="A513" s="88"/>
      <c r="B513" s="66" t="s">
        <v>293</v>
      </c>
      <c r="C513" s="67"/>
      <c r="D513" s="102"/>
      <c r="E513" s="32"/>
      <c r="F513" s="32"/>
      <c r="G513" s="68" t="s">
        <v>285</v>
      </c>
      <c r="H513" s="69">
        <f t="shared" si="213"/>
        <v>0</v>
      </c>
      <c r="I513" s="70">
        <f t="shared" si="214"/>
        <v>0</v>
      </c>
      <c r="J513" s="73" t="str">
        <f t="shared" si="215"/>
        <v>--</v>
      </c>
      <c r="K513" s="32"/>
      <c r="L513" s="233"/>
      <c r="M513" s="278"/>
      <c r="N513" s="278"/>
      <c r="O513" s="278"/>
      <c r="P513" s="278"/>
      <c r="Q513" s="278"/>
      <c r="R513" s="278"/>
      <c r="S513" s="278"/>
      <c r="T513" s="278"/>
      <c r="U513" s="279"/>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8</v>
      </c>
    </row>
    <row r="514" spans="1:53" ht="15" thickBot="1" x14ac:dyDescent="0.35">
      <c r="A514" s="88"/>
      <c r="B514" s="66" t="s">
        <v>294</v>
      </c>
      <c r="C514" s="67"/>
      <c r="D514" s="102"/>
      <c r="E514" s="32"/>
      <c r="F514" s="32"/>
      <c r="G514" s="68" t="s">
        <v>285</v>
      </c>
      <c r="H514" s="69">
        <f t="shared" si="213"/>
        <v>0</v>
      </c>
      <c r="I514" s="70">
        <f t="shared" si="214"/>
        <v>0</v>
      </c>
      <c r="J514" s="73" t="str">
        <f t="shared" si="215"/>
        <v>--</v>
      </c>
      <c r="K514" s="32"/>
      <c r="L514" s="233"/>
      <c r="M514" s="278"/>
      <c r="N514" s="278"/>
      <c r="O514" s="278"/>
      <c r="P514" s="278"/>
      <c r="Q514" s="278"/>
      <c r="R514" s="278"/>
      <c r="S514" s="278"/>
      <c r="T514" s="278"/>
      <c r="U514" s="279"/>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 thickBot="1" x14ac:dyDescent="0.35">
      <c r="A515" s="88"/>
      <c r="B515" s="66" t="s">
        <v>295</v>
      </c>
      <c r="C515" s="67"/>
      <c r="D515" s="102"/>
      <c r="E515" s="32"/>
      <c r="F515" s="32"/>
      <c r="G515" s="68" t="s">
        <v>285</v>
      </c>
      <c r="H515" s="69">
        <f t="shared" si="213"/>
        <v>0</v>
      </c>
      <c r="I515" s="70">
        <f t="shared" si="214"/>
        <v>0</v>
      </c>
      <c r="J515" s="73" t="str">
        <f t="shared" si="215"/>
        <v>--</v>
      </c>
      <c r="K515" s="32"/>
      <c r="L515" s="233"/>
      <c r="M515" s="278"/>
      <c r="N515" s="278"/>
      <c r="O515" s="278"/>
      <c r="P515" s="278"/>
      <c r="Q515" s="278"/>
      <c r="R515" s="278"/>
      <c r="S515" s="278"/>
      <c r="T515" s="278"/>
      <c r="U515" s="279"/>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8</v>
      </c>
    </row>
    <row r="516" spans="1:53" ht="15" thickBot="1" x14ac:dyDescent="0.35">
      <c r="A516" s="88"/>
      <c r="B516" s="66" t="s">
        <v>296</v>
      </c>
      <c r="C516" s="67"/>
      <c r="D516" s="102"/>
      <c r="E516" s="32"/>
      <c r="F516" s="32"/>
      <c r="G516" s="68" t="s">
        <v>285</v>
      </c>
      <c r="H516" s="69">
        <f t="shared" si="213"/>
        <v>0</v>
      </c>
      <c r="I516" s="70">
        <f t="shared" si="214"/>
        <v>0</v>
      </c>
      <c r="J516" s="73" t="str">
        <f t="shared" si="215"/>
        <v>--</v>
      </c>
      <c r="K516" s="32"/>
      <c r="L516" s="233"/>
      <c r="M516" s="278"/>
      <c r="N516" s="278"/>
      <c r="O516" s="278"/>
      <c r="P516" s="278"/>
      <c r="Q516" s="278"/>
      <c r="R516" s="278"/>
      <c r="S516" s="278"/>
      <c r="T516" s="278"/>
      <c r="U516" s="279"/>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8</v>
      </c>
    </row>
    <row r="517" spans="1:53" ht="15" thickBot="1" x14ac:dyDescent="0.35">
      <c r="A517" s="88"/>
      <c r="B517" s="66" t="s">
        <v>297</v>
      </c>
      <c r="C517" s="67"/>
      <c r="D517" s="102"/>
      <c r="E517" s="32"/>
      <c r="F517" s="32"/>
      <c r="G517" s="68" t="s">
        <v>285</v>
      </c>
      <c r="H517" s="69">
        <f t="shared" si="213"/>
        <v>0</v>
      </c>
      <c r="I517" s="70">
        <f t="shared" si="214"/>
        <v>0</v>
      </c>
      <c r="J517" s="73" t="str">
        <f t="shared" si="215"/>
        <v>--</v>
      </c>
      <c r="K517" s="32"/>
      <c r="L517" s="233"/>
      <c r="M517" s="278"/>
      <c r="N517" s="278"/>
      <c r="O517" s="278"/>
      <c r="P517" s="278"/>
      <c r="Q517" s="278"/>
      <c r="R517" s="278"/>
      <c r="S517" s="278"/>
      <c r="T517" s="278"/>
      <c r="U517" s="27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8</v>
      </c>
    </row>
    <row r="518" spans="1:53" ht="15" thickBot="1" x14ac:dyDescent="0.35">
      <c r="A518" s="88"/>
      <c r="B518" s="66" t="s">
        <v>298</v>
      </c>
      <c r="C518" s="67"/>
      <c r="D518" s="102"/>
      <c r="E518" s="32"/>
      <c r="F518" s="32"/>
      <c r="G518" s="68" t="s">
        <v>285</v>
      </c>
      <c r="H518" s="69">
        <f t="shared" si="213"/>
        <v>0</v>
      </c>
      <c r="I518" s="70">
        <f t="shared" si="214"/>
        <v>0</v>
      </c>
      <c r="J518" s="73" t="str">
        <f t="shared" si="215"/>
        <v>--</v>
      </c>
      <c r="K518" s="32"/>
      <c r="L518" s="233"/>
      <c r="M518" s="278"/>
      <c r="N518" s="278"/>
      <c r="O518" s="278"/>
      <c r="P518" s="278"/>
      <c r="Q518" s="278"/>
      <c r="R518" s="278"/>
      <c r="S518" s="278"/>
      <c r="T518" s="278"/>
      <c r="U518" s="27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8</v>
      </c>
    </row>
    <row r="519" spans="1:53" ht="15" thickBot="1" x14ac:dyDescent="0.35">
      <c r="A519" s="88"/>
      <c r="B519" s="66" t="s">
        <v>299</v>
      </c>
      <c r="C519" s="67"/>
      <c r="D519" s="102"/>
      <c r="E519" s="32"/>
      <c r="F519" s="32"/>
      <c r="G519" s="68" t="s">
        <v>285</v>
      </c>
      <c r="H519" s="69">
        <f t="shared" si="213"/>
        <v>0</v>
      </c>
      <c r="I519" s="70">
        <f t="shared" si="214"/>
        <v>0</v>
      </c>
      <c r="J519" s="73" t="str">
        <f t="shared" si="215"/>
        <v>--</v>
      </c>
      <c r="K519" s="32"/>
      <c r="L519" s="233"/>
      <c r="M519" s="278"/>
      <c r="N519" s="278"/>
      <c r="O519" s="278"/>
      <c r="P519" s="278"/>
      <c r="Q519" s="278"/>
      <c r="R519" s="278"/>
      <c r="S519" s="278"/>
      <c r="T519" s="278"/>
      <c r="U519" s="279"/>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8</v>
      </c>
    </row>
    <row r="520" spans="1:53" ht="15" thickBot="1" x14ac:dyDescent="0.35">
      <c r="A520" s="88"/>
      <c r="B520" s="66" t="s">
        <v>300</v>
      </c>
      <c r="C520" s="67"/>
      <c r="D520" s="102"/>
      <c r="E520" s="32"/>
      <c r="F520" s="32"/>
      <c r="G520" s="68" t="s">
        <v>285</v>
      </c>
      <c r="H520" s="69">
        <f t="shared" si="213"/>
        <v>0</v>
      </c>
      <c r="I520" s="70">
        <f t="shared" si="214"/>
        <v>0</v>
      </c>
      <c r="J520" s="73" t="str">
        <f t="shared" si="215"/>
        <v>--</v>
      </c>
      <c r="K520" s="32"/>
      <c r="L520" s="233"/>
      <c r="M520" s="278"/>
      <c r="N520" s="278"/>
      <c r="O520" s="278"/>
      <c r="P520" s="278"/>
      <c r="Q520" s="278"/>
      <c r="R520" s="278"/>
      <c r="S520" s="278"/>
      <c r="T520" s="278"/>
      <c r="U520" s="279"/>
      <c r="V520" s="103"/>
      <c r="W520" s="84">
        <f>Y520+1</f>
        <v>9</v>
      </c>
      <c r="X520" s="84"/>
      <c r="Y520" s="78">
        <f>SUM(E509:E520)</f>
        <v>8</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8</v>
      </c>
    </row>
    <row r="521" spans="1:53" ht="15" thickBot="1" x14ac:dyDescent="0.35">
      <c r="A521" s="88"/>
      <c r="B521" s="66" t="s">
        <v>301</v>
      </c>
      <c r="C521" s="67"/>
      <c r="D521" s="102"/>
      <c r="E521" s="32"/>
      <c r="F521" s="32"/>
      <c r="G521" s="68" t="s">
        <v>285</v>
      </c>
      <c r="H521" s="69">
        <f t="shared" si="213"/>
        <v>0</v>
      </c>
      <c r="I521" s="70">
        <f t="shared" si="214"/>
        <v>0</v>
      </c>
      <c r="J521" s="73" t="str">
        <f t="shared" si="215"/>
        <v>--</v>
      </c>
      <c r="K521" s="32"/>
      <c r="L521" s="233"/>
      <c r="M521" s="278"/>
      <c r="N521" s="278"/>
      <c r="O521" s="278"/>
      <c r="P521" s="278"/>
      <c r="Q521" s="278"/>
      <c r="R521" s="278"/>
      <c r="S521" s="278"/>
      <c r="T521" s="278"/>
      <c r="U521" s="279"/>
      <c r="V521" s="103"/>
      <c r="W521" s="84">
        <f>Y521+1</f>
        <v>9</v>
      </c>
      <c r="X521" s="84"/>
      <c r="Y521" s="78">
        <f>SUM(E509:E521)</f>
        <v>8</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8</v>
      </c>
    </row>
    <row r="522" spans="1:53" ht="15" thickBot="1" x14ac:dyDescent="0.35">
      <c r="A522" s="88"/>
      <c r="B522" s="66" t="s">
        <v>302</v>
      </c>
      <c r="C522" s="67"/>
      <c r="D522" s="102"/>
      <c r="E522" s="32"/>
      <c r="F522" s="32"/>
      <c r="G522" s="68" t="s">
        <v>285</v>
      </c>
      <c r="H522" s="69">
        <f t="shared" si="213"/>
        <v>0</v>
      </c>
      <c r="I522" s="70">
        <f t="shared" si="214"/>
        <v>0</v>
      </c>
      <c r="J522" s="73" t="str">
        <f t="shared" si="215"/>
        <v>--</v>
      </c>
      <c r="K522" s="32"/>
      <c r="L522" s="233"/>
      <c r="M522" s="278"/>
      <c r="N522" s="278"/>
      <c r="O522" s="278"/>
      <c r="P522" s="278"/>
      <c r="Q522" s="278"/>
      <c r="R522" s="278"/>
      <c r="S522" s="278"/>
      <c r="T522" s="278"/>
      <c r="U522" s="279"/>
      <c r="V522" s="103"/>
      <c r="W522" s="84">
        <f>Y522+1</f>
        <v>9</v>
      </c>
      <c r="X522" s="84"/>
      <c r="Y522" s="78">
        <f>SUM(E509:E522)</f>
        <v>8</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8</v>
      </c>
    </row>
    <row r="523" spans="1:53" ht="15" thickBot="1" x14ac:dyDescent="0.35">
      <c r="A523" s="88"/>
      <c r="B523" s="66" t="s">
        <v>303</v>
      </c>
      <c r="C523" s="67"/>
      <c r="D523" s="102"/>
      <c r="E523" s="32"/>
      <c r="F523" s="32"/>
      <c r="G523" s="68" t="s">
        <v>285</v>
      </c>
      <c r="H523" s="69">
        <f t="shared" si="213"/>
        <v>0</v>
      </c>
      <c r="I523" s="70">
        <f t="shared" si="214"/>
        <v>0</v>
      </c>
      <c r="J523" s="73" t="str">
        <f t="shared" si="215"/>
        <v>--</v>
      </c>
      <c r="K523" s="32"/>
      <c r="L523" s="233"/>
      <c r="M523" s="278"/>
      <c r="N523" s="278"/>
      <c r="O523" s="278"/>
      <c r="P523" s="278"/>
      <c r="Q523" s="278"/>
      <c r="R523" s="278"/>
      <c r="S523" s="278"/>
      <c r="T523" s="278"/>
      <c r="U523" s="279"/>
      <c r="V523" s="103"/>
      <c r="W523" s="84">
        <f>Y523+1</f>
        <v>9</v>
      </c>
      <c r="X523" s="84"/>
      <c r="Y523" s="78">
        <f>SUM(E509:E523)</f>
        <v>8</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8</v>
      </c>
    </row>
    <row r="524" spans="1:53" ht="15" thickBot="1" x14ac:dyDescent="0.35">
      <c r="A524" s="88"/>
      <c r="B524" s="66" t="s">
        <v>304</v>
      </c>
      <c r="C524" s="67"/>
      <c r="D524" s="102"/>
      <c r="E524" s="32"/>
      <c r="F524" s="32"/>
      <c r="G524" s="68" t="s">
        <v>285</v>
      </c>
      <c r="H524" s="69">
        <f t="shared" si="213"/>
        <v>0</v>
      </c>
      <c r="I524" s="70">
        <f t="shared" si="214"/>
        <v>0</v>
      </c>
      <c r="J524" s="73" t="str">
        <f t="shared" si="215"/>
        <v>--</v>
      </c>
      <c r="K524" s="32"/>
      <c r="L524" s="233"/>
      <c r="M524" s="278"/>
      <c r="N524" s="278"/>
      <c r="O524" s="278"/>
      <c r="P524" s="278"/>
      <c r="Q524" s="278"/>
      <c r="R524" s="278"/>
      <c r="S524" s="278"/>
      <c r="T524" s="278"/>
      <c r="U524" s="279"/>
      <c r="V524" s="103"/>
      <c r="W524" s="84">
        <f t="shared" ref="W524:W532" si="220">Y524+1</f>
        <v>9</v>
      </c>
      <c r="X524" s="84"/>
      <c r="Y524" s="78">
        <f>SUM(E509:E524)</f>
        <v>8</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8</v>
      </c>
    </row>
    <row r="525" spans="1:53" ht="15" thickBot="1" x14ac:dyDescent="0.35">
      <c r="A525" s="88"/>
      <c r="B525" s="66" t="s">
        <v>305</v>
      </c>
      <c r="C525" s="67"/>
      <c r="D525" s="102"/>
      <c r="E525" s="32"/>
      <c r="F525" s="32"/>
      <c r="G525" s="68" t="s">
        <v>285</v>
      </c>
      <c r="H525" s="69">
        <f t="shared" si="213"/>
        <v>0</v>
      </c>
      <c r="I525" s="70">
        <f t="shared" si="214"/>
        <v>0</v>
      </c>
      <c r="J525" s="73" t="str">
        <f t="shared" si="215"/>
        <v>--</v>
      </c>
      <c r="K525" s="32"/>
      <c r="L525" s="233"/>
      <c r="M525" s="278"/>
      <c r="N525" s="278"/>
      <c r="O525" s="278"/>
      <c r="P525" s="278"/>
      <c r="Q525" s="278"/>
      <c r="R525" s="278"/>
      <c r="S525" s="278"/>
      <c r="T525" s="278"/>
      <c r="U525" s="279"/>
      <c r="V525" s="103"/>
      <c r="W525" s="84">
        <f t="shared" si="220"/>
        <v>9</v>
      </c>
      <c r="X525" s="84"/>
      <c r="Y525" s="78">
        <f>SUM(E509:E525)</f>
        <v>8</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8</v>
      </c>
    </row>
    <row r="526" spans="1:53" ht="15" thickBot="1" x14ac:dyDescent="0.35">
      <c r="A526" s="88"/>
      <c r="B526" s="66" t="s">
        <v>306</v>
      </c>
      <c r="C526" s="67"/>
      <c r="D526" s="102"/>
      <c r="E526" s="32"/>
      <c r="F526" s="32"/>
      <c r="G526" s="68" t="s">
        <v>285</v>
      </c>
      <c r="H526" s="69">
        <f t="shared" si="213"/>
        <v>0</v>
      </c>
      <c r="I526" s="70">
        <f t="shared" si="214"/>
        <v>0</v>
      </c>
      <c r="J526" s="73" t="str">
        <f t="shared" si="215"/>
        <v>--</v>
      </c>
      <c r="K526" s="32"/>
      <c r="L526" s="233"/>
      <c r="M526" s="278"/>
      <c r="N526" s="278"/>
      <c r="O526" s="278"/>
      <c r="P526" s="278"/>
      <c r="Q526" s="278"/>
      <c r="R526" s="278"/>
      <c r="S526" s="278"/>
      <c r="T526" s="278"/>
      <c r="U526" s="279"/>
      <c r="V526" s="103"/>
      <c r="W526" s="84">
        <f t="shared" si="220"/>
        <v>9</v>
      </c>
      <c r="X526" s="84"/>
      <c r="Y526" s="78">
        <f>SUM(E509:E526)</f>
        <v>8</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8</v>
      </c>
    </row>
    <row r="527" spans="1:53" ht="15" thickBot="1" x14ac:dyDescent="0.35">
      <c r="A527" s="88"/>
      <c r="B527" s="66" t="s">
        <v>307</v>
      </c>
      <c r="C527" s="67"/>
      <c r="D527" s="102"/>
      <c r="E527" s="32"/>
      <c r="F527" s="32"/>
      <c r="G527" s="68" t="s">
        <v>285</v>
      </c>
      <c r="H527" s="69">
        <f t="shared" si="213"/>
        <v>0</v>
      </c>
      <c r="I527" s="70">
        <f t="shared" si="214"/>
        <v>0</v>
      </c>
      <c r="J527" s="73" t="str">
        <f t="shared" si="215"/>
        <v>--</v>
      </c>
      <c r="K527" s="32"/>
      <c r="L527" s="233"/>
      <c r="M527" s="278"/>
      <c r="N527" s="278"/>
      <c r="O527" s="278"/>
      <c r="P527" s="278"/>
      <c r="Q527" s="278"/>
      <c r="R527" s="278"/>
      <c r="S527" s="278"/>
      <c r="T527" s="278"/>
      <c r="U527" s="279"/>
      <c r="V527" s="103"/>
      <c r="W527" s="84">
        <f t="shared" si="220"/>
        <v>9</v>
      </c>
      <c r="X527" s="84"/>
      <c r="Y527" s="78">
        <f>SUM(E509:E527)</f>
        <v>8</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8</v>
      </c>
    </row>
    <row r="528" spans="1:53" ht="15" thickBot="1" x14ac:dyDescent="0.35">
      <c r="A528" s="88"/>
      <c r="B528" s="66" t="s">
        <v>308</v>
      </c>
      <c r="C528" s="67"/>
      <c r="D528" s="102"/>
      <c r="E528" s="32"/>
      <c r="F528" s="32"/>
      <c r="G528" s="68" t="s">
        <v>285</v>
      </c>
      <c r="H528" s="69">
        <f t="shared" si="213"/>
        <v>0</v>
      </c>
      <c r="I528" s="70">
        <f t="shared" si="214"/>
        <v>0</v>
      </c>
      <c r="J528" s="73" t="str">
        <f t="shared" si="215"/>
        <v>--</v>
      </c>
      <c r="K528" s="32"/>
      <c r="L528" s="233"/>
      <c r="M528" s="278"/>
      <c r="N528" s="278"/>
      <c r="O528" s="278"/>
      <c r="P528" s="278"/>
      <c r="Q528" s="278"/>
      <c r="R528" s="278"/>
      <c r="S528" s="278"/>
      <c r="T528" s="278"/>
      <c r="U528" s="279"/>
      <c r="V528" s="103"/>
      <c r="W528" s="84">
        <f t="shared" si="220"/>
        <v>9</v>
      </c>
      <c r="X528" s="84"/>
      <c r="Y528" s="78">
        <f>SUM(E509:E528)</f>
        <v>8</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8</v>
      </c>
    </row>
    <row r="529" spans="1:53" ht="15" thickBot="1" x14ac:dyDescent="0.35">
      <c r="A529" s="88"/>
      <c r="B529" s="66" t="s">
        <v>309</v>
      </c>
      <c r="C529" s="67"/>
      <c r="D529" s="102"/>
      <c r="E529" s="32"/>
      <c r="F529" s="32"/>
      <c r="G529" s="68" t="s">
        <v>285</v>
      </c>
      <c r="H529" s="69">
        <f t="shared" si="213"/>
        <v>0</v>
      </c>
      <c r="I529" s="70">
        <f t="shared" si="214"/>
        <v>0</v>
      </c>
      <c r="J529" s="73" t="str">
        <f t="shared" si="215"/>
        <v>--</v>
      </c>
      <c r="K529" s="32"/>
      <c r="L529" s="233"/>
      <c r="M529" s="278"/>
      <c r="N529" s="278"/>
      <c r="O529" s="278"/>
      <c r="P529" s="278"/>
      <c r="Q529" s="278"/>
      <c r="R529" s="278"/>
      <c r="S529" s="278"/>
      <c r="T529" s="278"/>
      <c r="U529" s="279"/>
      <c r="V529" s="103"/>
      <c r="W529" s="84">
        <f t="shared" si="220"/>
        <v>9</v>
      </c>
      <c r="X529" s="84"/>
      <c r="Y529" s="78">
        <f>SUM(E509:E529)</f>
        <v>8</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8</v>
      </c>
    </row>
    <row r="530" spans="1:53" ht="15" thickBot="1" x14ac:dyDescent="0.35">
      <c r="A530" s="88"/>
      <c r="B530" s="66" t="s">
        <v>310</v>
      </c>
      <c r="C530" s="67"/>
      <c r="D530" s="102"/>
      <c r="E530" s="32"/>
      <c r="F530" s="32"/>
      <c r="G530" s="68" t="s">
        <v>285</v>
      </c>
      <c r="H530" s="69">
        <f t="shared" si="213"/>
        <v>0</v>
      </c>
      <c r="I530" s="70">
        <f t="shared" si="214"/>
        <v>0</v>
      </c>
      <c r="J530" s="73" t="str">
        <f t="shared" si="215"/>
        <v>--</v>
      </c>
      <c r="K530" s="32"/>
      <c r="L530" s="233"/>
      <c r="M530" s="278"/>
      <c r="N530" s="278"/>
      <c r="O530" s="278"/>
      <c r="P530" s="278"/>
      <c r="Q530" s="278"/>
      <c r="R530" s="278"/>
      <c r="S530" s="278"/>
      <c r="T530" s="278"/>
      <c r="U530" s="279"/>
      <c r="V530" s="103"/>
      <c r="W530" s="84">
        <f t="shared" si="220"/>
        <v>9</v>
      </c>
      <c r="X530" s="84"/>
      <c r="Y530" s="78">
        <f>SUM(E509:E530)</f>
        <v>8</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8</v>
      </c>
    </row>
    <row r="531" spans="1:53" ht="15" thickBot="1" x14ac:dyDescent="0.35">
      <c r="A531" s="88"/>
      <c r="B531" s="66" t="s">
        <v>311</v>
      </c>
      <c r="C531" s="67"/>
      <c r="D531" s="102"/>
      <c r="E531" s="32"/>
      <c r="F531" s="32"/>
      <c r="G531" s="68" t="s">
        <v>285</v>
      </c>
      <c r="H531" s="69">
        <f t="shared" si="213"/>
        <v>0</v>
      </c>
      <c r="I531" s="70">
        <f t="shared" si="214"/>
        <v>0</v>
      </c>
      <c r="J531" s="73" t="str">
        <f t="shared" si="215"/>
        <v>--</v>
      </c>
      <c r="K531" s="32"/>
      <c r="L531" s="233"/>
      <c r="M531" s="278"/>
      <c r="N531" s="278"/>
      <c r="O531" s="278"/>
      <c r="P531" s="278"/>
      <c r="Q531" s="278"/>
      <c r="R531" s="278"/>
      <c r="S531" s="278"/>
      <c r="T531" s="278"/>
      <c r="U531" s="279"/>
      <c r="V531" s="103"/>
      <c r="W531" s="84">
        <f t="shared" si="220"/>
        <v>9</v>
      </c>
      <c r="X531" s="84"/>
      <c r="Y531" s="78">
        <f>SUM(E509:E531)</f>
        <v>8</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8</v>
      </c>
    </row>
    <row r="532" spans="1:53" ht="15" thickBot="1" x14ac:dyDescent="0.35">
      <c r="A532" s="88"/>
      <c r="B532" s="66" t="s">
        <v>312</v>
      </c>
      <c r="C532" s="67"/>
      <c r="D532" s="102"/>
      <c r="E532" s="32"/>
      <c r="F532" s="32"/>
      <c r="G532" s="68" t="s">
        <v>285</v>
      </c>
      <c r="H532" s="69">
        <f t="shared" si="213"/>
        <v>0</v>
      </c>
      <c r="I532" s="70">
        <f t="shared" si="214"/>
        <v>0</v>
      </c>
      <c r="J532" s="73" t="str">
        <f t="shared" si="215"/>
        <v>--</v>
      </c>
      <c r="K532" s="32"/>
      <c r="L532" s="233"/>
      <c r="M532" s="278"/>
      <c r="N532" s="278"/>
      <c r="O532" s="278"/>
      <c r="P532" s="278"/>
      <c r="Q532" s="278"/>
      <c r="R532" s="278"/>
      <c r="S532" s="278"/>
      <c r="T532" s="278"/>
      <c r="U532" s="279"/>
      <c r="V532" s="103"/>
      <c r="W532" s="84">
        <f t="shared" si="220"/>
        <v>9</v>
      </c>
      <c r="X532" s="84"/>
      <c r="Y532" s="78">
        <f>SUM(E509:E532)</f>
        <v>8</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8</v>
      </c>
    </row>
    <row r="533" spans="1:53" ht="15" thickBot="1" x14ac:dyDescent="0.35">
      <c r="A533" s="88"/>
      <c r="B533" s="66" t="s">
        <v>313</v>
      </c>
      <c r="C533" s="67"/>
      <c r="D533" s="102"/>
      <c r="E533" s="32"/>
      <c r="F533" s="32"/>
      <c r="G533" s="68" t="s">
        <v>285</v>
      </c>
      <c r="H533" s="69">
        <f t="shared" si="213"/>
        <v>0</v>
      </c>
      <c r="I533" s="70">
        <f t="shared" si="214"/>
        <v>0</v>
      </c>
      <c r="J533" s="73" t="str">
        <f t="shared" si="215"/>
        <v>--</v>
      </c>
      <c r="K533" s="32"/>
      <c r="L533" s="234"/>
      <c r="M533" s="278"/>
      <c r="N533" s="278"/>
      <c r="O533" s="278"/>
      <c r="P533" s="278"/>
      <c r="Q533" s="278"/>
      <c r="R533" s="278"/>
      <c r="S533" s="278"/>
      <c r="T533" s="278"/>
      <c r="U533" s="279"/>
      <c r="V533" s="103"/>
      <c r="W533" s="72"/>
      <c r="X533" s="72"/>
      <c r="Y533" s="78">
        <f>SUM(E509:E533)</f>
        <v>8</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2" thickBot="1" x14ac:dyDescent="0.35">
      <c r="A534" s="88"/>
      <c r="B534" s="319" t="s">
        <v>394</v>
      </c>
      <c r="C534" s="320"/>
      <c r="D534" s="79"/>
      <c r="E534" s="80"/>
      <c r="F534" s="80"/>
      <c r="G534" s="81"/>
      <c r="H534" s="192"/>
      <c r="I534" s="192"/>
      <c r="J534" s="192"/>
      <c r="K534" s="82"/>
      <c r="L534" s="319" t="s">
        <v>319</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23</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2" thickBot="1" x14ac:dyDescent="0.35">
      <c r="A535" s="88"/>
      <c r="B535" s="319" t="s">
        <v>320</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3">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 thickBot="1" x14ac:dyDescent="0.35">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5">
      <c r="A538" s="88"/>
      <c r="B538" s="85" t="s">
        <v>395</v>
      </c>
      <c r="C538" s="25"/>
      <c r="D538" s="25"/>
      <c r="E538" s="25"/>
      <c r="F538" s="88"/>
      <c r="G538" s="25"/>
      <c r="H538" s="25"/>
      <c r="I538" s="87"/>
      <c r="J538" s="26"/>
      <c r="K538" s="25"/>
      <c r="L538" s="25"/>
      <c r="M538" s="196" t="s">
        <v>217</v>
      </c>
      <c r="N538" s="196" t="s">
        <v>218</v>
      </c>
      <c r="O538" s="196" t="s">
        <v>219</v>
      </c>
      <c r="P538" s="196" t="s">
        <v>220</v>
      </c>
      <c r="Q538" s="196" t="s">
        <v>221</v>
      </c>
      <c r="R538" s="196" t="s">
        <v>222</v>
      </c>
      <c r="S538" s="196" t="s">
        <v>223</v>
      </c>
      <c r="T538" s="196" t="s">
        <v>224</v>
      </c>
      <c r="U538" s="196" t="s">
        <v>225</v>
      </c>
      <c r="V538" s="196" t="s">
        <v>226</v>
      </c>
      <c r="W538" s="113" t="s">
        <v>227</v>
      </c>
      <c r="X538" s="196" t="s">
        <v>228</v>
      </c>
      <c r="Y538" s="25"/>
      <c r="Z538" s="25"/>
      <c r="AA538" s="25"/>
      <c r="AB538" s="25"/>
      <c r="AC538" s="25"/>
      <c r="AD538" s="25"/>
      <c r="BA538" s="226"/>
    </row>
    <row r="539" spans="1:53" ht="15.6" thickTop="1" thickBot="1" x14ac:dyDescent="0.35">
      <c r="A539" s="88"/>
      <c r="B539" s="312" t="s">
        <v>229</v>
      </c>
      <c r="C539" s="313"/>
      <c r="D539" s="314" t="s">
        <v>230</v>
      </c>
      <c r="E539" s="305"/>
      <c r="F539" s="88"/>
      <c r="G539" s="315" t="s">
        <v>231</v>
      </c>
      <c r="H539" s="316"/>
      <c r="I539" s="28">
        <f>SUM(E550:E574)</f>
        <v>120</v>
      </c>
      <c r="J539" s="317" t="s">
        <v>232</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233</v>
      </c>
      <c r="AA539" s="296"/>
      <c r="AB539" s="297"/>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234</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5">
      <c r="A540" s="88"/>
      <c r="B540" s="29" t="s">
        <v>235</v>
      </c>
      <c r="C540" s="30">
        <v>0</v>
      </c>
      <c r="D540" s="31" t="s">
        <v>236</v>
      </c>
      <c r="E540" s="66" t="str">
        <f>TEXT(IF('Cable Calculator'!BQ7="","",'Cable Calculator'!BQ7),)</f>
        <v>RPX</v>
      </c>
      <c r="F540" s="88"/>
      <c r="G540" s="304" t="s">
        <v>237</v>
      </c>
      <c r="H540" s="305"/>
      <c r="I540" s="33">
        <f>E541-I539</f>
        <v>24</v>
      </c>
      <c r="J540" s="289" t="s">
        <v>238</v>
      </c>
      <c r="K540" s="290"/>
      <c r="L540" s="34">
        <f>I544</f>
        <v>121</v>
      </c>
      <c r="M540" s="196">
        <v>4</v>
      </c>
      <c r="N540" s="35">
        <f>SUM(AI540,AI551)</f>
        <v>0</v>
      </c>
      <c r="O540" s="35">
        <v>0</v>
      </c>
      <c r="P540" s="35">
        <f>SUM(AJ540,AJ551)</f>
        <v>1</v>
      </c>
      <c r="Q540" s="35">
        <v>0</v>
      </c>
      <c r="R540" s="35">
        <f>COUNTIFS($E550:$E574,"4",$F550:$F574,"Pole",$C550:$C574,"FST")</f>
        <v>1</v>
      </c>
      <c r="S540" s="35">
        <f>SUM(AL540,AK551)</f>
        <v>0</v>
      </c>
      <c r="T540" s="35">
        <v>0</v>
      </c>
      <c r="U540" s="35">
        <f>SUM(AK540,AL551)</f>
        <v>0</v>
      </c>
      <c r="V540" s="35">
        <v>0</v>
      </c>
      <c r="W540" s="34">
        <f>COUNTIFS($E550:$E574,"4",$F550:$F574,"HH",$C550:$C574,"FST")</f>
        <v>0</v>
      </c>
      <c r="X540" s="35">
        <f>COUNTIFS($E550:$E574,"4",$F550:$F574,"Ped",$C550:$C574,"FST")</f>
        <v>0</v>
      </c>
      <c r="Y540" s="25"/>
      <c r="Z540" s="298" t="s">
        <v>239</v>
      </c>
      <c r="AA540" s="300" t="s">
        <v>240</v>
      </c>
      <c r="AB540" s="301"/>
      <c r="AC540" s="25"/>
      <c r="AD540" s="25"/>
      <c r="AH540" s="109">
        <v>4</v>
      </c>
      <c r="AI540" s="109" t="str">
        <f>IF($E540="SS",COUNTIFS($C550:$C574,"FST",$E550:$E574,"4"),"0")</f>
        <v>0</v>
      </c>
      <c r="AJ540" s="109">
        <f>IF($E540="RPX",COUNTIFS($C550:$C574,"FST",$E550:$E574,"4"),"0")</f>
        <v>1</v>
      </c>
      <c r="AK540" s="109" t="str">
        <f>IF($E540="EUC",COUNTIFS($C550:$C574,"FST",$E550:$E574,"4"),"0")</f>
        <v>0</v>
      </c>
      <c r="AL540" s="109" t="str">
        <f>IF($E540="RPX-T",COUNTIFS($C550:$C574,"FST",$E550:$E574,"4"),"0")</f>
        <v>0</v>
      </c>
      <c r="AS540" s="109" t="str">
        <f>IF(AND(E545="Y",E541=24,E542=0),"Y","N")</f>
        <v>N</v>
      </c>
      <c r="AT540" s="110" t="s">
        <v>241</v>
      </c>
      <c r="AU540" s="109">
        <f>COUNTIFS($E540,"SS",$AS540,"Y")</f>
        <v>0</v>
      </c>
      <c r="AV540" s="111">
        <f>COUNTIFS($E540,"RPX",$AS540,"Y")</f>
        <v>0</v>
      </c>
      <c r="AW540" s="111">
        <f>COUNTIFS($E540,"EUC",$AS540,"Y")</f>
        <v>0</v>
      </c>
      <c r="AX540" s="109">
        <f>COUNTIFS($E540,"RPX-T",$AS540,"Y")</f>
        <v>0</v>
      </c>
      <c r="BA540" s="227"/>
    </row>
    <row r="541" spans="1:53" ht="15.6" thickTop="1" thickBot="1" x14ac:dyDescent="0.35">
      <c r="A541" s="88"/>
      <c r="B541" s="36" t="s">
        <v>242</v>
      </c>
      <c r="C541" s="37">
        <v>0</v>
      </c>
      <c r="D541" s="38" t="s">
        <v>243</v>
      </c>
      <c r="E541" s="32">
        <v>144</v>
      </c>
      <c r="F541" s="88"/>
      <c r="G541" s="291" t="s">
        <v>244</v>
      </c>
      <c r="H541" s="292"/>
      <c r="I541" s="35">
        <f>IF(E541=0,0,12-(MOD(I539,12)))</f>
        <v>12</v>
      </c>
      <c r="J541" s="289" t="s">
        <v>245</v>
      </c>
      <c r="K541" s="290"/>
      <c r="L541" s="39">
        <f>I545-I539</f>
        <v>120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246</v>
      </c>
      <c r="AU541" s="109">
        <f>COUNTIFS($E540,"SS",$AS541,"Y")</f>
        <v>0</v>
      </c>
      <c r="AV541" s="108">
        <f>COUNTIFS($E540,"RPX",$AS541,"Y")</f>
        <v>0</v>
      </c>
      <c r="AW541" s="108">
        <f>COUNTIFS($E540,"EUC",$AS541,"Y")</f>
        <v>0</v>
      </c>
      <c r="AX541" s="109">
        <f>COUNTIFS($E540,"RPX-T",$AS541,"Y")</f>
        <v>0</v>
      </c>
      <c r="BA541" s="227"/>
    </row>
    <row r="542" spans="1:53" ht="16.5" customHeight="1" thickTop="1" thickBot="1" x14ac:dyDescent="0.35">
      <c r="A542" s="88"/>
      <c r="B542" s="40" t="s">
        <v>247</v>
      </c>
      <c r="C542" s="30">
        <v>0</v>
      </c>
      <c r="D542" s="41" t="s">
        <v>248</v>
      </c>
      <c r="E542" s="42">
        <v>24</v>
      </c>
      <c r="F542" s="88"/>
      <c r="G542" s="321" t="s">
        <v>249</v>
      </c>
      <c r="H542" s="43" t="s">
        <v>250</v>
      </c>
      <c r="I542" s="35">
        <f>IF(E542&lt;&gt;0,1,0)</f>
        <v>1</v>
      </c>
      <c r="J542" s="291" t="s">
        <v>251</v>
      </c>
      <c r="K542" s="292"/>
      <c r="L542" s="44">
        <f>'Cable Calculator'!BQ3</f>
        <v>872</v>
      </c>
      <c r="M542" s="196">
        <v>8</v>
      </c>
      <c r="N542" s="35">
        <f>SUM(AI542,AI553)</f>
        <v>0</v>
      </c>
      <c r="O542" s="35">
        <v>0</v>
      </c>
      <c r="P542" s="35">
        <f>SUM(AJ542,AJ553)</f>
        <v>1</v>
      </c>
      <c r="Q542" s="35">
        <v>0</v>
      </c>
      <c r="R542" s="35">
        <f>COUNTIFS($E550:$E574,"8",$F550:$F574,"Pole",$C550:$C574,"FST")</f>
        <v>1</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1</v>
      </c>
      <c r="AK542" s="109" t="str">
        <f>IF($E540="EUC",COUNTIFS($C550:$C574,"FST",$E550:$E574,"8"),"0")</f>
        <v>0</v>
      </c>
      <c r="AL542" s="109" t="str">
        <f>IF($E540="RPX-T",COUNTIFS($C550:$C574,"FST",$E550:$E574,"8"),"0")</f>
        <v>0</v>
      </c>
      <c r="AS542" s="109" t="str">
        <f>IF(AND(E545="Y",E541=48,E542=0),"Y","N")</f>
        <v>N</v>
      </c>
      <c r="AT542" s="110" t="s">
        <v>252</v>
      </c>
      <c r="AU542" s="109">
        <f>COUNTIFS($E540,"SS",$AS542,"Y")</f>
        <v>0</v>
      </c>
      <c r="AV542" s="108">
        <f>COUNTIFS($E540,"RPX",$AS542,"Y")</f>
        <v>0</v>
      </c>
      <c r="AW542" s="108">
        <f>COUNTIFS($E540,"EUC",$AS542,"Y")</f>
        <v>0</v>
      </c>
      <c r="AX542" s="109">
        <f>COUNTIFS($E540,"RPX-T",$AS542,"Y")</f>
        <v>0</v>
      </c>
      <c r="BA542" s="227"/>
    </row>
    <row r="543" spans="1:53" ht="15.6" thickTop="1" thickBot="1" x14ac:dyDescent="0.35">
      <c r="A543" s="88"/>
      <c r="B543" s="29" t="s">
        <v>253</v>
      </c>
      <c r="C543" s="37">
        <v>0</v>
      </c>
      <c r="D543" s="41" t="s">
        <v>254</v>
      </c>
      <c r="E543" s="42">
        <v>121</v>
      </c>
      <c r="F543" s="88"/>
      <c r="G543" s="322"/>
      <c r="H543" s="47" t="s">
        <v>255</v>
      </c>
      <c r="I543" s="35">
        <f>IF(E542&lt;&gt;0,E542,0)</f>
        <v>24</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5">
      <c r="A544" s="88"/>
      <c r="B544" s="36" t="s">
        <v>256</v>
      </c>
      <c r="C544" s="30">
        <v>0</v>
      </c>
      <c r="D544" s="49" t="s">
        <v>257</v>
      </c>
      <c r="E544" s="50">
        <f>E541/12</f>
        <v>12</v>
      </c>
      <c r="F544" s="88"/>
      <c r="G544" s="321" t="s">
        <v>258</v>
      </c>
      <c r="H544" s="51" t="s">
        <v>259</v>
      </c>
      <c r="I544" s="112">
        <f>E543</f>
        <v>121</v>
      </c>
      <c r="J544" s="323" t="s">
        <v>260</v>
      </c>
      <c r="K544" s="324"/>
      <c r="L544" s="325"/>
      <c r="M544" s="52" t="s">
        <v>261</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5.6" thickTop="1" thickBot="1" x14ac:dyDescent="0.35">
      <c r="A545" s="88"/>
      <c r="B545" s="36" t="s">
        <v>262</v>
      </c>
      <c r="C545" s="30">
        <v>0</v>
      </c>
      <c r="D545" s="31" t="s">
        <v>263</v>
      </c>
      <c r="E545" s="101" t="str">
        <f>IF('Cable Calculator'!BQ5="","",'Cable Calculator'!BQ5)</f>
        <v>N</v>
      </c>
      <c r="F545" s="88"/>
      <c r="G545" s="322"/>
      <c r="H545" s="47" t="s">
        <v>264</v>
      </c>
      <c r="I545" s="35">
        <f>IF(E543="","0",IF(AND(E540="EUC",E541=432), I544+(203-E542),IF(E543=0,0,(E543+(E541-E542)-1))))</f>
        <v>240</v>
      </c>
      <c r="J545" s="286" t="str">
        <f>IFERROR(IF(OR(E540="EUC",E540="SS"),"---",IF(OR(P539,S539),"NO 2F Tethers for RPX!",IF(OR(P541,S541),"NO 6F Tethers for RPX!","---"))),"---")</f>
        <v>---</v>
      </c>
      <c r="K545" s="287"/>
      <c r="L545" s="288"/>
      <c r="M545" s="286" t="str">
        <f>IF(E542&gt;60,"Dead Count &gt;60: Consider Downsize","---")</f>
        <v>---</v>
      </c>
      <c r="N545" s="287"/>
      <c r="O545" s="287"/>
      <c r="P545" s="287"/>
      <c r="Q545" s="287"/>
      <c r="R545" s="287"/>
      <c r="S545" s="287"/>
      <c r="T545" s="287"/>
      <c r="U545" s="288"/>
      <c r="V545" s="100"/>
      <c r="W545" s="54">
        <f>SUM(P545:U545)</f>
        <v>0</v>
      </c>
      <c r="X545" s="54"/>
      <c r="Y545" s="25"/>
      <c r="Z545" s="45">
        <v>4</v>
      </c>
      <c r="AA545" s="46">
        <v>37</v>
      </c>
      <c r="AB545" s="46">
        <v>48</v>
      </c>
      <c r="AC545" s="25"/>
      <c r="AD545" s="25"/>
      <c r="BA545" s="227"/>
    </row>
    <row r="546" spans="1:53" ht="15.6" thickTop="1" thickBot="1" x14ac:dyDescent="0.35">
      <c r="A546" s="88"/>
      <c r="B546" s="55" t="s">
        <v>265</v>
      </c>
      <c r="C546" s="56">
        <f>SUM(C540:C545)+I539</f>
        <v>120</v>
      </c>
      <c r="D546" s="31" t="s">
        <v>266</v>
      </c>
      <c r="E546" s="101" t="str">
        <f>IF(AS540="Y","DBL",IF(AS541="Y","TRPL",IF(AS542="Y","QUAD","")))</f>
        <v/>
      </c>
      <c r="F546" s="88"/>
      <c r="G546" s="192"/>
      <c r="H546" s="57"/>
      <c r="I546" s="192"/>
      <c r="J546" s="286"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7"/>
      <c r="L546" s="288"/>
      <c r="M546" s="286" t="str">
        <f>IF(AND(OR(E540="SS",E540="RPX",E540="EUC",E540="RPX-T"),(OR(C550="",C550="Field SPL"))),"Cannot have FlexNap cables without tethers","---")</f>
        <v>---</v>
      </c>
      <c r="N546" s="287"/>
      <c r="O546" s="287"/>
      <c r="P546" s="287"/>
      <c r="Q546" s="287"/>
      <c r="R546" s="287"/>
      <c r="S546" s="287"/>
      <c r="T546" s="287"/>
      <c r="U546" s="288"/>
      <c r="V546" s="25"/>
      <c r="W546" s="58"/>
      <c r="X546" s="58"/>
      <c r="Y546" s="25"/>
      <c r="Z546" s="45">
        <v>5</v>
      </c>
      <c r="AA546" s="46">
        <v>49</v>
      </c>
      <c r="AB546" s="46">
        <v>60</v>
      </c>
      <c r="AC546" s="25"/>
      <c r="AD546" s="25"/>
      <c r="BA546" s="227"/>
    </row>
    <row r="547" spans="1:53" ht="15.6" thickTop="1" thickBot="1" x14ac:dyDescent="0.35">
      <c r="A547" s="88"/>
      <c r="B547" s="59"/>
      <c r="C547" s="60"/>
      <c r="D547" s="61"/>
      <c r="E547" s="62"/>
      <c r="F547" s="88"/>
      <c r="G547" s="63"/>
      <c r="H547" s="64"/>
      <c r="I547" s="63"/>
      <c r="J547" s="286" t="str">
        <f>IF(AND(OR(E540="RPX", E540="RPX-T", E540="SS"),E541=216),"NO 216 For RPX, RPX-T, OR SS CABLE","---")</f>
        <v>---</v>
      </c>
      <c r="K547" s="287"/>
      <c r="L547" s="288"/>
      <c r="M547" s="286" t="str" cm="1">
        <f t="array" ref="M547">IF(AND(E540="",OR(C550:C574="FST",C550:C574="REV T",C550:C574="DBL REV",C550:C574="TPL REV", C550:C574="QD REV")),"Non-FlexNap cables cannot have tethers","---")</f>
        <v>---</v>
      </c>
      <c r="N547" s="287"/>
      <c r="O547" s="287"/>
      <c r="P547" s="287"/>
      <c r="Q547" s="287"/>
      <c r="R547" s="287"/>
      <c r="S547" s="287"/>
      <c r="T547" s="287"/>
      <c r="U547" s="288"/>
      <c r="V547" s="25"/>
      <c r="W547" s="58"/>
      <c r="X547" s="58"/>
      <c r="Y547" s="25"/>
      <c r="Z547" s="45">
        <v>6</v>
      </c>
      <c r="AA547" s="65">
        <v>61</v>
      </c>
      <c r="AB547" s="65">
        <v>72</v>
      </c>
      <c r="AC547" s="25"/>
      <c r="AD547" s="25"/>
      <c r="BA547" s="226"/>
    </row>
    <row r="548" spans="1:53" ht="15.75" customHeight="1" thickBot="1" x14ac:dyDescent="0.35">
      <c r="A548" s="88"/>
      <c r="B548" s="321" t="s">
        <v>267</v>
      </c>
      <c r="C548" s="293" t="s">
        <v>268</v>
      </c>
      <c r="D548" s="293" t="s">
        <v>269</v>
      </c>
      <c r="E548" s="306" t="s">
        <v>270</v>
      </c>
      <c r="F548" s="293" t="s">
        <v>271</v>
      </c>
      <c r="G548" s="308" t="s">
        <v>272</v>
      </c>
      <c r="H548" s="308" t="s">
        <v>273</v>
      </c>
      <c r="I548" s="308" t="s">
        <v>274</v>
      </c>
      <c r="J548" s="310" t="s">
        <v>275</v>
      </c>
      <c r="K548" s="293" t="s">
        <v>276</v>
      </c>
      <c r="L548" s="280" t="s">
        <v>277</v>
      </c>
      <c r="M548" s="282" t="s">
        <v>278</v>
      </c>
      <c r="N548" s="282"/>
      <c r="O548" s="282"/>
      <c r="P548" s="282"/>
      <c r="Q548" s="282"/>
      <c r="R548" s="282"/>
      <c r="S548" s="282"/>
      <c r="T548" s="282"/>
      <c r="U548" s="283"/>
      <c r="V548" s="107"/>
      <c r="W548" s="72"/>
      <c r="X548" s="72"/>
      <c r="Y548" s="72"/>
      <c r="Z548" s="45">
        <v>7</v>
      </c>
      <c r="AA548" s="65">
        <v>73</v>
      </c>
      <c r="AB548" s="65">
        <v>84</v>
      </c>
      <c r="AC548" s="25"/>
      <c r="AD548" s="25"/>
      <c r="BA548" s="228"/>
    </row>
    <row r="549" spans="1:53" ht="15" thickBot="1" x14ac:dyDescent="0.35">
      <c r="A549" s="88"/>
      <c r="B549" s="322"/>
      <c r="C549" s="294"/>
      <c r="D549" s="294"/>
      <c r="E549" s="307"/>
      <c r="F549" s="294"/>
      <c r="G549" s="309"/>
      <c r="H549" s="309"/>
      <c r="I549" s="309"/>
      <c r="J549" s="311"/>
      <c r="K549" s="294"/>
      <c r="L549" s="281"/>
      <c r="M549" s="284"/>
      <c r="N549" s="284"/>
      <c r="O549" s="284"/>
      <c r="P549" s="284"/>
      <c r="Q549" s="284"/>
      <c r="R549" s="284"/>
      <c r="S549" s="284"/>
      <c r="T549" s="284"/>
      <c r="U549" s="285"/>
      <c r="V549" s="107"/>
      <c r="W549" s="72"/>
      <c r="X549" s="72"/>
      <c r="Y549" s="72"/>
      <c r="Z549" s="45">
        <v>8</v>
      </c>
      <c r="AA549" s="46">
        <v>85</v>
      </c>
      <c r="AB549" s="46">
        <v>96</v>
      </c>
      <c r="AC549" s="25"/>
      <c r="AD549" s="25"/>
      <c r="AI549" s="109" t="s">
        <v>279</v>
      </c>
      <c r="AJ549" s="109" t="s">
        <v>280</v>
      </c>
      <c r="AK549" s="109" t="s">
        <v>281</v>
      </c>
      <c r="AL549" s="109" t="s">
        <v>282</v>
      </c>
      <c r="BA549" s="228"/>
    </row>
    <row r="550" spans="1:53" ht="15" thickBot="1" x14ac:dyDescent="0.35">
      <c r="A550" s="88"/>
      <c r="B550" s="66" t="s">
        <v>283</v>
      </c>
      <c r="C550" s="67" t="s">
        <v>322</v>
      </c>
      <c r="D550" s="102" t="s">
        <v>396</v>
      </c>
      <c r="E550" s="32">
        <v>4</v>
      </c>
      <c r="F550" s="32" t="s">
        <v>339</v>
      </c>
      <c r="G550" s="68" t="s">
        <v>285</v>
      </c>
      <c r="H550" s="69">
        <f>IF(I550=0,0,I550-(E550-1))</f>
        <v>237</v>
      </c>
      <c r="I550" s="70">
        <f>IF(E550=0,0,I545)</f>
        <v>240</v>
      </c>
      <c r="J550" s="71" t="s">
        <v>286</v>
      </c>
      <c r="K550" s="32"/>
      <c r="L550" s="233"/>
      <c r="M550" s="278"/>
      <c r="N550" s="278"/>
      <c r="O550" s="278"/>
      <c r="P550" s="278"/>
      <c r="Q550" s="278"/>
      <c r="R550" s="278"/>
      <c r="S550" s="278"/>
      <c r="T550" s="278"/>
      <c r="U550" s="27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237-240</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 thickBot="1" x14ac:dyDescent="0.35">
      <c r="A551" s="88"/>
      <c r="B551" s="66" t="s">
        <v>288</v>
      </c>
      <c r="C551" s="67" t="s">
        <v>322</v>
      </c>
      <c r="D551" s="102" t="s">
        <v>397</v>
      </c>
      <c r="E551" s="32">
        <v>8</v>
      </c>
      <c r="F551" s="32" t="s">
        <v>339</v>
      </c>
      <c r="G551" s="68" t="s">
        <v>285</v>
      </c>
      <c r="H551" s="69">
        <f t="shared" ref="H551:H574" si="230">IF(E551=0,0,I551-(E551-1))</f>
        <v>229</v>
      </c>
      <c r="I551" s="70">
        <f t="shared" ref="I551:I574" si="231">IF(E551=0,0,H550-1)</f>
        <v>236</v>
      </c>
      <c r="J551" s="73" t="str">
        <f>IF(C551="","--",IF(AND(C551&lt;&gt;"FST",C551&lt;&gt;"TCF",BA550&lt;&gt;0),BA550,"--"))</f>
        <v>--</v>
      </c>
      <c r="K551" s="32"/>
      <c r="L551" s="233"/>
      <c r="M551" s="278"/>
      <c r="N551" s="278"/>
      <c r="O551" s="278"/>
      <c r="P551" s="278"/>
      <c r="Q551" s="278"/>
      <c r="R551" s="278"/>
      <c r="S551" s="278"/>
      <c r="T551" s="278"/>
      <c r="U551" s="279"/>
      <c r="V551" s="103"/>
      <c r="W551" s="72"/>
      <c r="X551" s="72"/>
      <c r="Y551" s="72"/>
      <c r="Z551" s="45">
        <v>10</v>
      </c>
      <c r="AA551" s="46">
        <v>109</v>
      </c>
      <c r="AB551" s="46">
        <v>120</v>
      </c>
      <c r="AC551" s="72">
        <f t="shared" si="221"/>
        <v>1</v>
      </c>
      <c r="AD551" s="72">
        <f t="shared" si="222"/>
        <v>0</v>
      </c>
      <c r="AE551" s="109" t="str">
        <f t="shared" si="223"/>
        <v>229-236</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 thickBot="1" x14ac:dyDescent="0.35">
      <c r="A552" s="88"/>
      <c r="B552" s="74" t="s">
        <v>290</v>
      </c>
      <c r="C552" s="67" t="s">
        <v>284</v>
      </c>
      <c r="D552" s="102"/>
      <c r="E552" s="32">
        <v>12</v>
      </c>
      <c r="F552" s="32"/>
      <c r="G552" s="75" t="s">
        <v>285</v>
      </c>
      <c r="H552" s="69">
        <f t="shared" si="230"/>
        <v>217</v>
      </c>
      <c r="I552" s="70">
        <f t="shared" si="231"/>
        <v>228</v>
      </c>
      <c r="J552" s="73" t="str">
        <f t="shared" ref="J552:J574" si="232">IF(C552="","--",IF(AND(C552&lt;&gt;"FST",C552&lt;&gt;"TCF",BA551&lt;&gt;0),BA551,"--"))</f>
        <v>--</v>
      </c>
      <c r="K552" s="32"/>
      <c r="L552" s="233"/>
      <c r="M552" s="278" t="s">
        <v>479</v>
      </c>
      <c r="N552" s="278"/>
      <c r="O552" s="278"/>
      <c r="P552" s="278"/>
      <c r="Q552" s="278"/>
      <c r="R552" s="278"/>
      <c r="S552" s="278"/>
      <c r="T552" s="278"/>
      <c r="U552" s="279"/>
      <c r="V552" s="103"/>
      <c r="W552" s="72"/>
      <c r="X552" s="72"/>
      <c r="Y552" s="72"/>
      <c r="Z552" s="45">
        <v>11</v>
      </c>
      <c r="AA552" s="46">
        <v>121</v>
      </c>
      <c r="AB552" s="46">
        <v>132</v>
      </c>
      <c r="AC552" s="72">
        <f t="shared" si="221"/>
        <v>1</v>
      </c>
      <c r="AD552" s="72">
        <f t="shared" si="222"/>
        <v>1</v>
      </c>
      <c r="AE552" s="109" t="str">
        <f t="shared" si="223"/>
        <v>217-228</v>
      </c>
      <c r="AF552" s="109" t="str">
        <f t="shared" si="224"/>
        <v>N</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 thickBot="1" x14ac:dyDescent="0.35">
      <c r="A553" s="88"/>
      <c r="B553" s="66" t="s">
        <v>292</v>
      </c>
      <c r="C553" s="67" t="s">
        <v>284</v>
      </c>
      <c r="D553" s="102"/>
      <c r="E553" s="32">
        <v>96</v>
      </c>
      <c r="F553" s="32"/>
      <c r="G553" s="68" t="s">
        <v>285</v>
      </c>
      <c r="H553" s="69">
        <f t="shared" si="230"/>
        <v>121</v>
      </c>
      <c r="I553" s="70">
        <f t="shared" si="231"/>
        <v>216</v>
      </c>
      <c r="J553" s="73" t="str">
        <f t="shared" si="232"/>
        <v>--</v>
      </c>
      <c r="K553" s="32"/>
      <c r="L553" s="233"/>
      <c r="M553" s="278" t="s">
        <v>399</v>
      </c>
      <c r="N553" s="278"/>
      <c r="O553" s="278"/>
      <c r="P553" s="278"/>
      <c r="Q553" s="278"/>
      <c r="R553" s="278"/>
      <c r="S553" s="278"/>
      <c r="T553" s="278"/>
      <c r="U553" s="279"/>
      <c r="V553" s="103"/>
      <c r="W553" s="72"/>
      <c r="X553" s="72"/>
      <c r="Y553" s="72"/>
      <c r="Z553" s="45">
        <v>12</v>
      </c>
      <c r="AA553" s="76">
        <v>133</v>
      </c>
      <c r="AB553" s="76">
        <v>144</v>
      </c>
      <c r="AC553" s="72">
        <f t="shared" si="221"/>
        <v>1</v>
      </c>
      <c r="AD553" s="72">
        <f t="shared" si="222"/>
        <v>1</v>
      </c>
      <c r="AE553" s="109" t="str">
        <f t="shared" si="223"/>
        <v>121-216</v>
      </c>
      <c r="AF553" s="109" t="str">
        <f t="shared" si="224"/>
        <v>N</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 thickBot="1" x14ac:dyDescent="0.35">
      <c r="A554" s="88"/>
      <c r="B554" s="66" t="s">
        <v>293</v>
      </c>
      <c r="C554" s="67"/>
      <c r="D554" s="102"/>
      <c r="E554" s="32"/>
      <c r="F554" s="32"/>
      <c r="G554" s="68" t="s">
        <v>285</v>
      </c>
      <c r="H554" s="69">
        <f t="shared" si="230"/>
        <v>0</v>
      </c>
      <c r="I554" s="70">
        <f t="shared" si="231"/>
        <v>0</v>
      </c>
      <c r="J554" s="73" t="str">
        <f t="shared" si="232"/>
        <v>--</v>
      </c>
      <c r="K554" s="32"/>
      <c r="L554" s="233"/>
      <c r="M554" s="278"/>
      <c r="N554" s="278"/>
      <c r="O554" s="278"/>
      <c r="P554" s="278"/>
      <c r="Q554" s="278"/>
      <c r="R554" s="278"/>
      <c r="S554" s="278"/>
      <c r="T554" s="278"/>
      <c r="U554" s="27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 thickBot="1" x14ac:dyDescent="0.35">
      <c r="A555" s="88"/>
      <c r="B555" s="66" t="s">
        <v>294</v>
      </c>
      <c r="C555" s="67"/>
      <c r="D555" s="102"/>
      <c r="E555" s="32"/>
      <c r="F555" s="32"/>
      <c r="G555" s="68" t="s">
        <v>285</v>
      </c>
      <c r="H555" s="69">
        <f t="shared" si="230"/>
        <v>0</v>
      </c>
      <c r="I555" s="70">
        <f t="shared" si="231"/>
        <v>0</v>
      </c>
      <c r="J555" s="73" t="str">
        <f t="shared" si="232"/>
        <v>--</v>
      </c>
      <c r="K555" s="32"/>
      <c r="L555" s="233"/>
      <c r="M555" s="278"/>
      <c r="N555" s="278"/>
      <c r="O555" s="278"/>
      <c r="P555" s="278"/>
      <c r="Q555" s="278"/>
      <c r="R555" s="278"/>
      <c r="S555" s="278"/>
      <c r="T555" s="278"/>
      <c r="U555" s="279"/>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 thickBot="1" x14ac:dyDescent="0.35">
      <c r="A556" s="88"/>
      <c r="B556" s="66" t="s">
        <v>295</v>
      </c>
      <c r="C556" s="67"/>
      <c r="D556" s="102"/>
      <c r="E556" s="32"/>
      <c r="F556" s="32"/>
      <c r="G556" s="68" t="s">
        <v>285</v>
      </c>
      <c r="H556" s="69">
        <f t="shared" si="230"/>
        <v>0</v>
      </c>
      <c r="I556" s="70">
        <f t="shared" si="231"/>
        <v>0</v>
      </c>
      <c r="J556" s="73" t="str">
        <f t="shared" si="232"/>
        <v>--</v>
      </c>
      <c r="K556" s="32"/>
      <c r="L556" s="233"/>
      <c r="M556" s="278"/>
      <c r="N556" s="278"/>
      <c r="O556" s="278"/>
      <c r="P556" s="278"/>
      <c r="Q556" s="278"/>
      <c r="R556" s="278"/>
      <c r="S556" s="278"/>
      <c r="T556" s="278"/>
      <c r="U556" s="27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 thickBot="1" x14ac:dyDescent="0.35">
      <c r="A557" s="88"/>
      <c r="B557" s="66" t="s">
        <v>296</v>
      </c>
      <c r="C557" s="67"/>
      <c r="D557" s="102"/>
      <c r="E557" s="32"/>
      <c r="F557" s="32"/>
      <c r="G557" s="68" t="s">
        <v>285</v>
      </c>
      <c r="H557" s="69">
        <f t="shared" si="230"/>
        <v>0</v>
      </c>
      <c r="I557" s="70">
        <f t="shared" si="231"/>
        <v>0</v>
      </c>
      <c r="J557" s="73" t="str">
        <f t="shared" si="232"/>
        <v>--</v>
      </c>
      <c r="K557" s="32"/>
      <c r="L557" s="233"/>
      <c r="M557" s="278"/>
      <c r="N557" s="278"/>
      <c r="O557" s="278"/>
      <c r="P557" s="278"/>
      <c r="Q557" s="278"/>
      <c r="R557" s="278"/>
      <c r="S557" s="278"/>
      <c r="T557" s="278"/>
      <c r="U557" s="27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 thickBot="1" x14ac:dyDescent="0.35">
      <c r="A558" s="88"/>
      <c r="B558" s="66" t="s">
        <v>297</v>
      </c>
      <c r="C558" s="67"/>
      <c r="D558" s="102"/>
      <c r="E558" s="32"/>
      <c r="F558" s="32"/>
      <c r="G558" s="68" t="s">
        <v>285</v>
      </c>
      <c r="H558" s="69">
        <f t="shared" si="230"/>
        <v>0</v>
      </c>
      <c r="I558" s="70">
        <f t="shared" si="231"/>
        <v>0</v>
      </c>
      <c r="J558" s="73" t="str">
        <f t="shared" si="232"/>
        <v>--</v>
      </c>
      <c r="K558" s="32"/>
      <c r="L558" s="233"/>
      <c r="M558" s="278"/>
      <c r="N558" s="278"/>
      <c r="O558" s="278"/>
      <c r="P558" s="278"/>
      <c r="Q558" s="278"/>
      <c r="R558" s="278"/>
      <c r="S558" s="278"/>
      <c r="T558" s="278"/>
      <c r="U558" s="27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 thickBot="1" x14ac:dyDescent="0.35">
      <c r="A559" s="88"/>
      <c r="B559" s="66" t="s">
        <v>298</v>
      </c>
      <c r="C559" s="67"/>
      <c r="D559" s="102"/>
      <c r="E559" s="32"/>
      <c r="F559" s="32"/>
      <c r="G559" s="68" t="s">
        <v>285</v>
      </c>
      <c r="H559" s="69">
        <f t="shared" si="230"/>
        <v>0</v>
      </c>
      <c r="I559" s="70">
        <f t="shared" si="231"/>
        <v>0</v>
      </c>
      <c r="J559" s="73" t="str">
        <f t="shared" si="232"/>
        <v>--</v>
      </c>
      <c r="K559" s="32"/>
      <c r="L559" s="233"/>
      <c r="M559" s="278"/>
      <c r="N559" s="278"/>
      <c r="O559" s="278"/>
      <c r="P559" s="278"/>
      <c r="Q559" s="278"/>
      <c r="R559" s="278"/>
      <c r="S559" s="278"/>
      <c r="T559" s="278"/>
      <c r="U559" s="27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 thickBot="1" x14ac:dyDescent="0.35">
      <c r="A560" s="88"/>
      <c r="B560" s="66" t="s">
        <v>299</v>
      </c>
      <c r="C560" s="67"/>
      <c r="D560" s="102"/>
      <c r="E560" s="32"/>
      <c r="F560" s="32"/>
      <c r="G560" s="68" t="s">
        <v>285</v>
      </c>
      <c r="H560" s="69">
        <f t="shared" si="230"/>
        <v>0</v>
      </c>
      <c r="I560" s="70">
        <f t="shared" si="231"/>
        <v>0</v>
      </c>
      <c r="J560" s="73" t="str">
        <f t="shared" si="232"/>
        <v>--</v>
      </c>
      <c r="K560" s="32"/>
      <c r="L560" s="233"/>
      <c r="M560" s="278"/>
      <c r="N560" s="278"/>
      <c r="O560" s="278"/>
      <c r="P560" s="278"/>
      <c r="Q560" s="278"/>
      <c r="R560" s="278"/>
      <c r="S560" s="278"/>
      <c r="T560" s="278"/>
      <c r="U560" s="279"/>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 thickBot="1" x14ac:dyDescent="0.35">
      <c r="A561" s="88"/>
      <c r="B561" s="66" t="s">
        <v>300</v>
      </c>
      <c r="C561" s="67"/>
      <c r="D561" s="102"/>
      <c r="E561" s="32"/>
      <c r="F561" s="32"/>
      <c r="G561" s="68" t="s">
        <v>285</v>
      </c>
      <c r="H561" s="69">
        <f t="shared" si="230"/>
        <v>0</v>
      </c>
      <c r="I561" s="70">
        <f t="shared" si="231"/>
        <v>0</v>
      </c>
      <c r="J561" s="73" t="str">
        <f t="shared" si="232"/>
        <v>--</v>
      </c>
      <c r="K561" s="32"/>
      <c r="L561" s="233"/>
      <c r="M561" s="278"/>
      <c r="N561" s="278"/>
      <c r="O561" s="278"/>
      <c r="P561" s="278"/>
      <c r="Q561" s="278"/>
      <c r="R561" s="278"/>
      <c r="S561" s="278"/>
      <c r="T561" s="278"/>
      <c r="U561" s="279"/>
      <c r="V561" s="103"/>
      <c r="W561" s="84">
        <f>Y561+1</f>
        <v>121</v>
      </c>
      <c r="X561" s="84"/>
      <c r="Y561" s="78">
        <f>SUM(E550:E561)</f>
        <v>120</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 thickBot="1" x14ac:dyDescent="0.35">
      <c r="A562" s="88"/>
      <c r="B562" s="66" t="s">
        <v>301</v>
      </c>
      <c r="C562" s="67"/>
      <c r="D562" s="102"/>
      <c r="E562" s="32"/>
      <c r="F562" s="32"/>
      <c r="G562" s="68" t="s">
        <v>285</v>
      </c>
      <c r="H562" s="69">
        <f t="shared" si="230"/>
        <v>0</v>
      </c>
      <c r="I562" s="70">
        <f t="shared" si="231"/>
        <v>0</v>
      </c>
      <c r="J562" s="73" t="str">
        <f t="shared" si="232"/>
        <v>--</v>
      </c>
      <c r="K562" s="32"/>
      <c r="L562" s="233"/>
      <c r="M562" s="278"/>
      <c r="N562" s="278"/>
      <c r="O562" s="278"/>
      <c r="P562" s="278"/>
      <c r="Q562" s="278"/>
      <c r="R562" s="278"/>
      <c r="S562" s="278"/>
      <c r="T562" s="278"/>
      <c r="U562" s="279"/>
      <c r="V562" s="103"/>
      <c r="W562" s="84">
        <f>Y562+1</f>
        <v>121</v>
      </c>
      <c r="X562" s="84"/>
      <c r="Y562" s="78">
        <f>SUM(E550:E562)</f>
        <v>120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 thickBot="1" x14ac:dyDescent="0.35">
      <c r="A563" s="88"/>
      <c r="B563" s="66" t="s">
        <v>302</v>
      </c>
      <c r="C563" s="67"/>
      <c r="D563" s="102"/>
      <c r="E563" s="32"/>
      <c r="F563" s="32"/>
      <c r="G563" s="68" t="s">
        <v>285</v>
      </c>
      <c r="H563" s="69">
        <f t="shared" si="230"/>
        <v>0</v>
      </c>
      <c r="I563" s="70">
        <f t="shared" si="231"/>
        <v>0</v>
      </c>
      <c r="J563" s="73" t="str">
        <f t="shared" si="232"/>
        <v>--</v>
      </c>
      <c r="K563" s="32"/>
      <c r="L563" s="233"/>
      <c r="M563" s="278"/>
      <c r="N563" s="278"/>
      <c r="O563" s="278"/>
      <c r="P563" s="278"/>
      <c r="Q563" s="278"/>
      <c r="R563" s="278"/>
      <c r="S563" s="278"/>
      <c r="T563" s="278"/>
      <c r="U563" s="279"/>
      <c r="V563" s="103"/>
      <c r="W563" s="84">
        <f>Y563+1</f>
        <v>121</v>
      </c>
      <c r="X563" s="84"/>
      <c r="Y563" s="78">
        <f>SUM(E550:E563)</f>
        <v>120</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 thickBot="1" x14ac:dyDescent="0.35">
      <c r="A564" s="88"/>
      <c r="B564" s="66" t="s">
        <v>303</v>
      </c>
      <c r="C564" s="67"/>
      <c r="D564" s="102"/>
      <c r="E564" s="32"/>
      <c r="F564" s="32"/>
      <c r="G564" s="68" t="s">
        <v>285</v>
      </c>
      <c r="H564" s="69">
        <f t="shared" si="230"/>
        <v>0</v>
      </c>
      <c r="I564" s="70">
        <f t="shared" si="231"/>
        <v>0</v>
      </c>
      <c r="J564" s="73" t="str">
        <f t="shared" si="232"/>
        <v>--</v>
      </c>
      <c r="K564" s="32"/>
      <c r="L564" s="233"/>
      <c r="M564" s="278"/>
      <c r="N564" s="278"/>
      <c r="O564" s="278"/>
      <c r="P564" s="278"/>
      <c r="Q564" s="278"/>
      <c r="R564" s="278"/>
      <c r="S564" s="278"/>
      <c r="T564" s="278"/>
      <c r="U564" s="279"/>
      <c r="V564" s="103"/>
      <c r="W564" s="84">
        <f>Y564+1</f>
        <v>121</v>
      </c>
      <c r="X564" s="84"/>
      <c r="Y564" s="78">
        <f>SUM(E550:E564)</f>
        <v>120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 thickBot="1" x14ac:dyDescent="0.35">
      <c r="A565" s="88"/>
      <c r="B565" s="66" t="s">
        <v>304</v>
      </c>
      <c r="C565" s="67"/>
      <c r="D565" s="102"/>
      <c r="E565" s="32"/>
      <c r="F565" s="32"/>
      <c r="G565" s="68" t="s">
        <v>285</v>
      </c>
      <c r="H565" s="69">
        <f t="shared" si="230"/>
        <v>0</v>
      </c>
      <c r="I565" s="70">
        <f t="shared" si="231"/>
        <v>0</v>
      </c>
      <c r="J565" s="73" t="str">
        <f t="shared" si="232"/>
        <v>--</v>
      </c>
      <c r="K565" s="32"/>
      <c r="L565" s="233"/>
      <c r="M565" s="278"/>
      <c r="N565" s="278"/>
      <c r="O565" s="278"/>
      <c r="P565" s="278"/>
      <c r="Q565" s="278"/>
      <c r="R565" s="278"/>
      <c r="S565" s="278"/>
      <c r="T565" s="278"/>
      <c r="U565" s="279"/>
      <c r="V565" s="103"/>
      <c r="W565" s="84">
        <f t="shared" ref="W565:W573" si="237">Y565+1</f>
        <v>121</v>
      </c>
      <c r="X565" s="84"/>
      <c r="Y565" s="78">
        <f>SUM(E550:E565)</f>
        <v>120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 thickBot="1" x14ac:dyDescent="0.35">
      <c r="A566" s="88"/>
      <c r="B566" s="66" t="s">
        <v>305</v>
      </c>
      <c r="C566" s="67"/>
      <c r="D566" s="102"/>
      <c r="E566" s="32"/>
      <c r="F566" s="32"/>
      <c r="G566" s="68" t="s">
        <v>285</v>
      </c>
      <c r="H566" s="69">
        <f t="shared" si="230"/>
        <v>0</v>
      </c>
      <c r="I566" s="70">
        <f t="shared" si="231"/>
        <v>0</v>
      </c>
      <c r="J566" s="73" t="str">
        <f t="shared" si="232"/>
        <v>--</v>
      </c>
      <c r="K566" s="32"/>
      <c r="L566" s="233"/>
      <c r="M566" s="278"/>
      <c r="N566" s="278"/>
      <c r="O566" s="278"/>
      <c r="P566" s="278"/>
      <c r="Q566" s="278"/>
      <c r="R566" s="278"/>
      <c r="S566" s="278"/>
      <c r="T566" s="278"/>
      <c r="U566" s="279"/>
      <c r="V566" s="103"/>
      <c r="W566" s="84">
        <f t="shared" si="237"/>
        <v>121</v>
      </c>
      <c r="X566" s="84"/>
      <c r="Y566" s="78">
        <f>SUM(E550:E566)</f>
        <v>120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 thickBot="1" x14ac:dyDescent="0.35">
      <c r="A567" s="88"/>
      <c r="B567" s="66" t="s">
        <v>306</v>
      </c>
      <c r="C567" s="67"/>
      <c r="D567" s="102"/>
      <c r="E567" s="32"/>
      <c r="F567" s="32"/>
      <c r="G567" s="68" t="s">
        <v>285</v>
      </c>
      <c r="H567" s="69">
        <f t="shared" si="230"/>
        <v>0</v>
      </c>
      <c r="I567" s="70">
        <f t="shared" si="231"/>
        <v>0</v>
      </c>
      <c r="J567" s="73" t="str">
        <f t="shared" si="232"/>
        <v>--</v>
      </c>
      <c r="K567" s="32"/>
      <c r="L567" s="233"/>
      <c r="M567" s="278"/>
      <c r="N567" s="278"/>
      <c r="O567" s="278"/>
      <c r="P567" s="278"/>
      <c r="Q567" s="278"/>
      <c r="R567" s="278"/>
      <c r="S567" s="278"/>
      <c r="T567" s="278"/>
      <c r="U567" s="279"/>
      <c r="V567" s="103"/>
      <c r="W567" s="84">
        <f t="shared" si="237"/>
        <v>121</v>
      </c>
      <c r="X567" s="84"/>
      <c r="Y567" s="78">
        <f>SUM(E550:E567)</f>
        <v>120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 thickBot="1" x14ac:dyDescent="0.35">
      <c r="A568" s="88"/>
      <c r="B568" s="66" t="s">
        <v>307</v>
      </c>
      <c r="C568" s="67"/>
      <c r="D568" s="102"/>
      <c r="E568" s="32"/>
      <c r="F568" s="32"/>
      <c r="G568" s="68" t="s">
        <v>285</v>
      </c>
      <c r="H568" s="69">
        <f t="shared" si="230"/>
        <v>0</v>
      </c>
      <c r="I568" s="70">
        <f t="shared" si="231"/>
        <v>0</v>
      </c>
      <c r="J568" s="73" t="str">
        <f t="shared" si="232"/>
        <v>--</v>
      </c>
      <c r="K568" s="32"/>
      <c r="L568" s="233"/>
      <c r="M568" s="278"/>
      <c r="N568" s="278"/>
      <c r="O568" s="278"/>
      <c r="P568" s="278"/>
      <c r="Q568" s="278"/>
      <c r="R568" s="278"/>
      <c r="S568" s="278"/>
      <c r="T568" s="278"/>
      <c r="U568" s="279"/>
      <c r="V568" s="103"/>
      <c r="W568" s="84">
        <f t="shared" si="237"/>
        <v>121</v>
      </c>
      <c r="X568" s="84"/>
      <c r="Y568" s="78">
        <f>SUM(E550:E568)</f>
        <v>120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 thickBot="1" x14ac:dyDescent="0.35">
      <c r="A569" s="88"/>
      <c r="B569" s="66" t="s">
        <v>308</v>
      </c>
      <c r="C569" s="67"/>
      <c r="D569" s="102"/>
      <c r="E569" s="32"/>
      <c r="F569" s="32"/>
      <c r="G569" s="68" t="s">
        <v>285</v>
      </c>
      <c r="H569" s="69">
        <f t="shared" si="230"/>
        <v>0</v>
      </c>
      <c r="I569" s="70">
        <f t="shared" si="231"/>
        <v>0</v>
      </c>
      <c r="J569" s="73" t="str">
        <f t="shared" si="232"/>
        <v>--</v>
      </c>
      <c r="K569" s="32"/>
      <c r="L569" s="233"/>
      <c r="M569" s="278"/>
      <c r="N569" s="278"/>
      <c r="O569" s="278"/>
      <c r="P569" s="278"/>
      <c r="Q569" s="278"/>
      <c r="R569" s="278"/>
      <c r="S569" s="278"/>
      <c r="T569" s="278"/>
      <c r="U569" s="279"/>
      <c r="V569" s="103"/>
      <c r="W569" s="84">
        <f t="shared" si="237"/>
        <v>121</v>
      </c>
      <c r="X569" s="84"/>
      <c r="Y569" s="78">
        <f>SUM(E550:E569)</f>
        <v>120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 thickBot="1" x14ac:dyDescent="0.35">
      <c r="A570" s="88"/>
      <c r="B570" s="66" t="s">
        <v>309</v>
      </c>
      <c r="C570" s="67"/>
      <c r="D570" s="102"/>
      <c r="E570" s="32"/>
      <c r="F570" s="32"/>
      <c r="G570" s="68" t="s">
        <v>285</v>
      </c>
      <c r="H570" s="69">
        <f t="shared" si="230"/>
        <v>0</v>
      </c>
      <c r="I570" s="70">
        <f t="shared" si="231"/>
        <v>0</v>
      </c>
      <c r="J570" s="73" t="str">
        <f t="shared" si="232"/>
        <v>--</v>
      </c>
      <c r="K570" s="32"/>
      <c r="L570" s="233"/>
      <c r="M570" s="278"/>
      <c r="N570" s="278"/>
      <c r="O570" s="278"/>
      <c r="P570" s="278"/>
      <c r="Q570" s="278"/>
      <c r="R570" s="278"/>
      <c r="S570" s="278"/>
      <c r="T570" s="278"/>
      <c r="U570" s="279"/>
      <c r="V570" s="103"/>
      <c r="W570" s="84">
        <f t="shared" si="237"/>
        <v>121</v>
      </c>
      <c r="X570" s="84"/>
      <c r="Y570" s="78">
        <f>SUM(E550:E570)</f>
        <v>120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 thickBot="1" x14ac:dyDescent="0.35">
      <c r="A571" s="88"/>
      <c r="B571" s="66" t="s">
        <v>310</v>
      </c>
      <c r="C571" s="67"/>
      <c r="D571" s="102"/>
      <c r="E571" s="32"/>
      <c r="F571" s="32"/>
      <c r="G571" s="68" t="s">
        <v>285</v>
      </c>
      <c r="H571" s="69">
        <f t="shared" si="230"/>
        <v>0</v>
      </c>
      <c r="I571" s="70">
        <f t="shared" si="231"/>
        <v>0</v>
      </c>
      <c r="J571" s="73" t="str">
        <f t="shared" si="232"/>
        <v>--</v>
      </c>
      <c r="K571" s="32"/>
      <c r="L571" s="233"/>
      <c r="M571" s="278"/>
      <c r="N571" s="278"/>
      <c r="O571" s="278"/>
      <c r="P571" s="278"/>
      <c r="Q571" s="278"/>
      <c r="R571" s="278"/>
      <c r="S571" s="278"/>
      <c r="T571" s="278"/>
      <c r="U571" s="279"/>
      <c r="V571" s="103"/>
      <c r="W571" s="84">
        <f t="shared" si="237"/>
        <v>121</v>
      </c>
      <c r="X571" s="84"/>
      <c r="Y571" s="78">
        <f>SUM(E550:E571)</f>
        <v>120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 thickBot="1" x14ac:dyDescent="0.35">
      <c r="A572" s="88"/>
      <c r="B572" s="66" t="s">
        <v>311</v>
      </c>
      <c r="C572" s="67"/>
      <c r="D572" s="102"/>
      <c r="E572" s="32"/>
      <c r="F572" s="32"/>
      <c r="G572" s="68" t="s">
        <v>285</v>
      </c>
      <c r="H572" s="69">
        <f t="shared" si="230"/>
        <v>0</v>
      </c>
      <c r="I572" s="70">
        <f t="shared" si="231"/>
        <v>0</v>
      </c>
      <c r="J572" s="73" t="str">
        <f t="shared" si="232"/>
        <v>--</v>
      </c>
      <c r="K572" s="32"/>
      <c r="L572" s="233"/>
      <c r="M572" s="278"/>
      <c r="N572" s="278"/>
      <c r="O572" s="278"/>
      <c r="P572" s="278"/>
      <c r="Q572" s="278"/>
      <c r="R572" s="278"/>
      <c r="S572" s="278"/>
      <c r="T572" s="278"/>
      <c r="U572" s="279"/>
      <c r="V572" s="103"/>
      <c r="W572" s="84">
        <f t="shared" si="237"/>
        <v>121</v>
      </c>
      <c r="X572" s="84"/>
      <c r="Y572" s="78">
        <f>SUM(E550:E572)</f>
        <v>120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 thickBot="1" x14ac:dyDescent="0.35">
      <c r="A573" s="88"/>
      <c r="B573" s="66" t="s">
        <v>312</v>
      </c>
      <c r="C573" s="67"/>
      <c r="D573" s="102"/>
      <c r="E573" s="32"/>
      <c r="F573" s="32"/>
      <c r="G573" s="68" t="s">
        <v>285</v>
      </c>
      <c r="H573" s="69">
        <f t="shared" si="230"/>
        <v>0</v>
      </c>
      <c r="I573" s="70">
        <f t="shared" si="231"/>
        <v>0</v>
      </c>
      <c r="J573" s="73" t="str">
        <f t="shared" si="232"/>
        <v>--</v>
      </c>
      <c r="K573" s="32"/>
      <c r="L573" s="233"/>
      <c r="M573" s="278"/>
      <c r="N573" s="278"/>
      <c r="O573" s="278"/>
      <c r="P573" s="278"/>
      <c r="Q573" s="278"/>
      <c r="R573" s="278"/>
      <c r="S573" s="278"/>
      <c r="T573" s="278"/>
      <c r="U573" s="279"/>
      <c r="V573" s="103"/>
      <c r="W573" s="84">
        <f t="shared" si="237"/>
        <v>121</v>
      </c>
      <c r="X573" s="84"/>
      <c r="Y573" s="78">
        <f>SUM(E550:E573)</f>
        <v>120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 thickBot="1" x14ac:dyDescent="0.35">
      <c r="A574" s="88"/>
      <c r="B574" s="66" t="s">
        <v>313</v>
      </c>
      <c r="C574" s="67"/>
      <c r="D574" s="102"/>
      <c r="E574" s="32"/>
      <c r="F574" s="32"/>
      <c r="G574" s="68" t="s">
        <v>285</v>
      </c>
      <c r="H574" s="69">
        <f t="shared" si="230"/>
        <v>0</v>
      </c>
      <c r="I574" s="70">
        <f t="shared" si="231"/>
        <v>0</v>
      </c>
      <c r="J574" s="73" t="str">
        <f t="shared" si="232"/>
        <v>--</v>
      </c>
      <c r="K574" s="32"/>
      <c r="L574" s="234"/>
      <c r="M574" s="278"/>
      <c r="N574" s="278"/>
      <c r="O574" s="278"/>
      <c r="P574" s="278"/>
      <c r="Q574" s="278"/>
      <c r="R574" s="278"/>
      <c r="S574" s="278"/>
      <c r="T574" s="278"/>
      <c r="U574" s="279"/>
      <c r="V574" s="103"/>
      <c r="W574" s="72"/>
      <c r="X574" s="72"/>
      <c r="Y574" s="78">
        <f>SUM(E550:E574)</f>
        <v>120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2" thickBot="1" x14ac:dyDescent="0.35">
      <c r="A575" s="88"/>
      <c r="B575" s="319" t="s">
        <v>400</v>
      </c>
      <c r="C575" s="320"/>
      <c r="D575" s="79"/>
      <c r="E575" s="80"/>
      <c r="F575" s="80"/>
      <c r="G575" s="81"/>
      <c r="H575" s="192"/>
      <c r="I575" s="192"/>
      <c r="J575" s="192"/>
      <c r="K575" s="82"/>
      <c r="L575" s="319" t="s">
        <v>319</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23</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2" thickBot="1" x14ac:dyDescent="0.35">
      <c r="A576" s="88"/>
      <c r="B576" s="319" t="s">
        <v>320</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3">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 thickBot="1" x14ac:dyDescent="0.35">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5">
      <c r="A579" s="88"/>
      <c r="B579" s="85" t="s">
        <v>401</v>
      </c>
      <c r="C579" s="25"/>
      <c r="D579" s="25"/>
      <c r="E579" s="25"/>
      <c r="F579" s="88"/>
      <c r="G579" s="25"/>
      <c r="H579" s="25"/>
      <c r="I579" s="87"/>
      <c r="J579" s="26"/>
      <c r="K579" s="25"/>
      <c r="L579" s="25"/>
      <c r="M579" s="196" t="s">
        <v>217</v>
      </c>
      <c r="N579" s="196" t="s">
        <v>218</v>
      </c>
      <c r="O579" s="196" t="s">
        <v>219</v>
      </c>
      <c r="P579" s="196" t="s">
        <v>220</v>
      </c>
      <c r="Q579" s="196" t="s">
        <v>221</v>
      </c>
      <c r="R579" s="196" t="s">
        <v>222</v>
      </c>
      <c r="S579" s="196" t="s">
        <v>223</v>
      </c>
      <c r="T579" s="196" t="s">
        <v>224</v>
      </c>
      <c r="U579" s="196" t="s">
        <v>225</v>
      </c>
      <c r="V579" s="196" t="s">
        <v>226</v>
      </c>
      <c r="W579" s="113" t="s">
        <v>227</v>
      </c>
      <c r="X579" s="196" t="s">
        <v>228</v>
      </c>
      <c r="Y579" s="25"/>
      <c r="Z579" s="25"/>
      <c r="AA579" s="25"/>
      <c r="AB579" s="25"/>
      <c r="AC579" s="25"/>
      <c r="AD579" s="25"/>
      <c r="BA579" s="226"/>
    </row>
    <row r="580" spans="1:53" ht="15.6" thickTop="1" thickBot="1" x14ac:dyDescent="0.35">
      <c r="A580" s="88"/>
      <c r="B580" s="312" t="s">
        <v>229</v>
      </c>
      <c r="C580" s="313"/>
      <c r="D580" s="314" t="s">
        <v>230</v>
      </c>
      <c r="E580" s="305"/>
      <c r="F580" s="88"/>
      <c r="G580" s="315" t="s">
        <v>231</v>
      </c>
      <c r="H580" s="316"/>
      <c r="I580" s="28">
        <f>SUM(E591:E615)</f>
        <v>12</v>
      </c>
      <c r="J580" s="317" t="s">
        <v>232</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233</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234</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5">
      <c r="A581" s="88"/>
      <c r="B581" s="29" t="s">
        <v>235</v>
      </c>
      <c r="C581" s="30">
        <v>0</v>
      </c>
      <c r="D581" s="31" t="s">
        <v>236</v>
      </c>
      <c r="E581" s="66" t="str">
        <f>TEXT(IF('Cable Calculator'!BV7="","",'Cable Calculator'!BV7),)</f>
        <v>EUC</v>
      </c>
      <c r="F581" s="88"/>
      <c r="G581" s="304" t="s">
        <v>237</v>
      </c>
      <c r="H581" s="305"/>
      <c r="I581" s="33">
        <f>E582-I580</f>
        <v>12</v>
      </c>
      <c r="J581" s="289" t="s">
        <v>238</v>
      </c>
      <c r="K581" s="290"/>
      <c r="L581" s="34">
        <f>I585</f>
        <v>181</v>
      </c>
      <c r="M581" s="196">
        <v>4</v>
      </c>
      <c r="N581" s="35">
        <f>SUM(AI581,AI592)</f>
        <v>0</v>
      </c>
      <c r="O581" s="35">
        <v>0</v>
      </c>
      <c r="P581" s="35">
        <f>SUM(AJ581,AJ592)</f>
        <v>0</v>
      </c>
      <c r="Q581" s="35">
        <v>0</v>
      </c>
      <c r="R581" s="35">
        <f>COUNTIFS($E591:$E615,"4",$F591:$F615,"Pole",$C591:$C615,"FST")</f>
        <v>0</v>
      </c>
      <c r="S581" s="35">
        <f>SUM(AL581,AK592)</f>
        <v>0</v>
      </c>
      <c r="T581" s="35">
        <v>0</v>
      </c>
      <c r="U581" s="35">
        <f>SUM(AK581,AL592)</f>
        <v>3</v>
      </c>
      <c r="V581" s="35">
        <v>0</v>
      </c>
      <c r="W581" s="34">
        <f>COUNTIFS($E591:$E615,"4",$F591:$F615,"HH",$C591:$C615,"FST")</f>
        <v>3</v>
      </c>
      <c r="X581" s="35">
        <f>COUNTIFS($E591:$E615,"4",$F591:$F615,"Ped",$C591:$C615,"FST")</f>
        <v>0</v>
      </c>
      <c r="Y581" s="25"/>
      <c r="Z581" s="298" t="s">
        <v>239</v>
      </c>
      <c r="AA581" s="300" t="s">
        <v>240</v>
      </c>
      <c r="AB581" s="301"/>
      <c r="AC581" s="25"/>
      <c r="AD581" s="25"/>
      <c r="AH581" s="109">
        <v>4</v>
      </c>
      <c r="AI581" s="109" t="str">
        <f>IF($E581="SS",COUNTIFS($C591:$C615,"FST",$E591:$E615,"4"),"0")</f>
        <v>0</v>
      </c>
      <c r="AJ581" s="109" t="str">
        <f>IF($E581="RPX",COUNTIFS($C591:$C615,"FST",$E591:$E615,"4"),"0")</f>
        <v>0</v>
      </c>
      <c r="AK581" s="109">
        <f>IF($E581="EUC",COUNTIFS($C591:$C615,"FST",$E591:$E615,"4"),"0")</f>
        <v>3</v>
      </c>
      <c r="AL581" s="109" t="str">
        <f>IF($E581="RPX-T",COUNTIFS($C591:$C615,"FST",$E591:$E615,"4"),"0")</f>
        <v>0</v>
      </c>
      <c r="AS581" s="109" t="str">
        <f>IF(AND(E586="Y",E582=24,E583=0),"Y","N")</f>
        <v>N</v>
      </c>
      <c r="AT581" s="110" t="s">
        <v>241</v>
      </c>
      <c r="AU581" s="109">
        <f>COUNTIFS($E581,"SS",$AS581,"Y")</f>
        <v>0</v>
      </c>
      <c r="AV581" s="111">
        <f>COUNTIFS($E581,"RPX",$AS581,"Y")</f>
        <v>0</v>
      </c>
      <c r="AW581" s="111">
        <f>COUNTIFS($E581,"EUC",$AS581,"Y")</f>
        <v>0</v>
      </c>
      <c r="AX581" s="109">
        <f>COUNTIFS($E581,"RPX-T",$AS581,"Y")</f>
        <v>0</v>
      </c>
      <c r="BA581" s="227"/>
    </row>
    <row r="582" spans="1:53" ht="15.6" thickTop="1" thickBot="1" x14ac:dyDescent="0.35">
      <c r="A582" s="88"/>
      <c r="B582" s="36" t="s">
        <v>242</v>
      </c>
      <c r="C582" s="37">
        <v>0</v>
      </c>
      <c r="D582" s="38" t="s">
        <v>243</v>
      </c>
      <c r="E582" s="32">
        <v>24</v>
      </c>
      <c r="F582" s="88"/>
      <c r="G582" s="291" t="s">
        <v>244</v>
      </c>
      <c r="H582" s="292"/>
      <c r="I582" s="35">
        <f>IF(E582=0,0,12-(MOD(I580,12)))</f>
        <v>12</v>
      </c>
      <c r="J582" s="289" t="s">
        <v>245</v>
      </c>
      <c r="K582" s="290"/>
      <c r="L582" s="39">
        <f>I586-I580</f>
        <v>180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246</v>
      </c>
      <c r="AU582" s="109">
        <f>COUNTIFS($E581,"SS",$AS582,"Y")</f>
        <v>0</v>
      </c>
      <c r="AV582" s="108">
        <f>COUNTIFS($E581,"RPX",$AS582,"Y")</f>
        <v>0</v>
      </c>
      <c r="AW582" s="108">
        <f>COUNTIFS($E581,"EUC",$AS582,"Y")</f>
        <v>0</v>
      </c>
      <c r="AX582" s="109">
        <f>COUNTIFS($E581,"RPX-T",$AS582,"Y")</f>
        <v>0</v>
      </c>
      <c r="BA582" s="227"/>
    </row>
    <row r="583" spans="1:53" ht="16.5" customHeight="1" thickTop="1" thickBot="1" x14ac:dyDescent="0.35">
      <c r="A583" s="88"/>
      <c r="B583" s="40" t="s">
        <v>247</v>
      </c>
      <c r="C583" s="30">
        <v>0</v>
      </c>
      <c r="D583" s="41" t="s">
        <v>248</v>
      </c>
      <c r="E583" s="42">
        <v>12</v>
      </c>
      <c r="F583" s="88"/>
      <c r="G583" s="321" t="s">
        <v>249</v>
      </c>
      <c r="H583" s="43" t="s">
        <v>250</v>
      </c>
      <c r="I583" s="35">
        <f>IF(E583&lt;&gt;0,1,0)</f>
        <v>1</v>
      </c>
      <c r="J583" s="291" t="s">
        <v>251</v>
      </c>
      <c r="K583" s="292"/>
      <c r="L583" s="44">
        <f>'Cable Calculator'!BV3</f>
        <v>1190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252</v>
      </c>
      <c r="AU583" s="109">
        <f>COUNTIFS($E581,"SS",$AS583,"Y")</f>
        <v>0</v>
      </c>
      <c r="AV583" s="108">
        <f>COUNTIFS($E581,"RPX",$AS583,"Y")</f>
        <v>0</v>
      </c>
      <c r="AW583" s="108">
        <f>COUNTIFS($E581,"EUC",$AS583,"Y")</f>
        <v>0</v>
      </c>
      <c r="AX583" s="109">
        <f>COUNTIFS($E581,"RPX-T",$AS583,"Y")</f>
        <v>0</v>
      </c>
      <c r="BA583" s="227"/>
    </row>
    <row r="584" spans="1:53" ht="15.6" thickTop="1" thickBot="1" x14ac:dyDescent="0.35">
      <c r="A584" s="88"/>
      <c r="B584" s="29" t="s">
        <v>253</v>
      </c>
      <c r="C584" s="37">
        <v>0</v>
      </c>
      <c r="D584" s="41" t="s">
        <v>254</v>
      </c>
      <c r="E584" s="42">
        <v>181</v>
      </c>
      <c r="F584" s="88"/>
      <c r="G584" s="322"/>
      <c r="H584" s="47" t="s">
        <v>255</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5">
      <c r="A585" s="88"/>
      <c r="B585" s="36" t="s">
        <v>256</v>
      </c>
      <c r="C585" s="30">
        <v>0</v>
      </c>
      <c r="D585" s="49" t="s">
        <v>257</v>
      </c>
      <c r="E585" s="50">
        <f>E582/12</f>
        <v>2</v>
      </c>
      <c r="F585" s="88"/>
      <c r="G585" s="321" t="s">
        <v>258</v>
      </c>
      <c r="H585" s="51" t="s">
        <v>259</v>
      </c>
      <c r="I585" s="112">
        <f>E584</f>
        <v>181</v>
      </c>
      <c r="J585" s="323" t="s">
        <v>260</v>
      </c>
      <c r="K585" s="324"/>
      <c r="L585" s="325"/>
      <c r="M585" s="52" t="s">
        <v>261</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5.6" thickTop="1" thickBot="1" x14ac:dyDescent="0.35">
      <c r="A586" s="88"/>
      <c r="B586" s="36" t="s">
        <v>262</v>
      </c>
      <c r="C586" s="30">
        <v>0</v>
      </c>
      <c r="D586" s="31" t="s">
        <v>263</v>
      </c>
      <c r="E586" s="101" t="str">
        <f>IF('Cable Calculator'!BV5="","",'Cable Calculator'!BV5)</f>
        <v>Y</v>
      </c>
      <c r="F586" s="88"/>
      <c r="G586" s="322"/>
      <c r="H586" s="47" t="s">
        <v>264</v>
      </c>
      <c r="I586" s="35">
        <f>IF(E584="","0",IF(AND(E581="EUC",E582=432), I585+(203-E583),IF(E584=0,0,(E584+(E582-E583)-1))))</f>
        <v>192</v>
      </c>
      <c r="J586" s="286" t="str">
        <f>IFERROR(IF(OR(E581="EUC",E581="SS"),"---",IF(OR(P580,S580),"NO 2F Tethers for RPX!",IF(OR(P582,S582),"NO 6F Tethers for RPX!","---"))),"---")</f>
        <v>---</v>
      </c>
      <c r="K586" s="287"/>
      <c r="L586" s="288"/>
      <c r="M586" s="286" t="str">
        <f>IF(E583&gt;60,"Dead Count &gt;60: Consider Downsize","---")</f>
        <v>---</v>
      </c>
      <c r="N586" s="287"/>
      <c r="O586" s="287"/>
      <c r="P586" s="287"/>
      <c r="Q586" s="287"/>
      <c r="R586" s="287"/>
      <c r="S586" s="287"/>
      <c r="T586" s="287"/>
      <c r="U586" s="288"/>
      <c r="V586" s="100"/>
      <c r="W586" s="54">
        <f>SUM(P586:U586)</f>
        <v>0</v>
      </c>
      <c r="X586" s="54"/>
      <c r="Y586" s="25"/>
      <c r="Z586" s="45">
        <v>4</v>
      </c>
      <c r="AA586" s="46">
        <v>37</v>
      </c>
      <c r="AB586" s="46">
        <v>48</v>
      </c>
      <c r="AC586" s="25"/>
      <c r="AD586" s="25"/>
      <c r="BA586" s="227"/>
    </row>
    <row r="587" spans="1:53" ht="15.6" thickTop="1" thickBot="1" x14ac:dyDescent="0.35">
      <c r="A587" s="88"/>
      <c r="B587" s="55" t="s">
        <v>265</v>
      </c>
      <c r="C587" s="56">
        <f>SUM(C581:C586)+I580</f>
        <v>12</v>
      </c>
      <c r="D587" s="31" t="s">
        <v>266</v>
      </c>
      <c r="E587" s="101" t="str">
        <f>IF(AS581="Y","DBL",IF(AS582="Y","TRPL",IF(AS583="Y","QUAD","")))</f>
        <v/>
      </c>
      <c r="F587" s="88"/>
      <c r="G587" s="192"/>
      <c r="H587" s="57"/>
      <c r="I587" s="192"/>
      <c r="J587" s="286"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7"/>
      <c r="L587" s="288"/>
      <c r="M587" s="286" t="str">
        <f>IF(AND(OR(E581="SS",E581="RPX",E581="EUC",E581="RPX-T"),(OR(C591="",C591="Field SPL"))),"Cannot have FlexNap cables without tethers","---")</f>
        <v>---</v>
      </c>
      <c r="N587" s="287"/>
      <c r="O587" s="287"/>
      <c r="P587" s="287"/>
      <c r="Q587" s="287"/>
      <c r="R587" s="287"/>
      <c r="S587" s="287"/>
      <c r="T587" s="287"/>
      <c r="U587" s="288"/>
      <c r="V587" s="25"/>
      <c r="W587" s="58"/>
      <c r="X587" s="58"/>
      <c r="Y587" s="25"/>
      <c r="Z587" s="45">
        <v>5</v>
      </c>
      <c r="AA587" s="46">
        <v>49</v>
      </c>
      <c r="AB587" s="46">
        <v>60</v>
      </c>
      <c r="AC587" s="25"/>
      <c r="AD587" s="25"/>
      <c r="BA587" s="227"/>
    </row>
    <row r="588" spans="1:53" ht="15.6" thickTop="1" thickBot="1" x14ac:dyDescent="0.35">
      <c r="A588" s="88"/>
      <c r="B588" s="59"/>
      <c r="C588" s="60"/>
      <c r="D588" s="61"/>
      <c r="E588" s="62"/>
      <c r="F588" s="88"/>
      <c r="G588" s="63"/>
      <c r="H588" s="64"/>
      <c r="I588" s="63"/>
      <c r="J588" s="286" t="str">
        <f>IF(AND(OR(E581="RPX", E581="RPX-T", E581="SS"),E582=216),"NO 216 For RPX, RPX-T, OR SS CABLE","---")</f>
        <v>---</v>
      </c>
      <c r="K588" s="287"/>
      <c r="L588" s="288"/>
      <c r="M588" s="286" t="str" cm="1">
        <f t="array" ref="M588">IF(AND(E581="",OR(C591:C615="FST",C591:C615="REV T",C591:C615="DBL REV",C591:C615="TPL REV", C591:C615="QD REV")),"Non-FlexNap cables cannot have tethers","---")</f>
        <v>---</v>
      </c>
      <c r="N588" s="287"/>
      <c r="O588" s="287"/>
      <c r="P588" s="287"/>
      <c r="Q588" s="287"/>
      <c r="R588" s="287"/>
      <c r="S588" s="287"/>
      <c r="T588" s="287"/>
      <c r="U588" s="288"/>
      <c r="V588" s="25"/>
      <c r="W588" s="58"/>
      <c r="X588" s="58"/>
      <c r="Y588" s="25"/>
      <c r="Z588" s="45">
        <v>6</v>
      </c>
      <c r="AA588" s="65">
        <v>61</v>
      </c>
      <c r="AB588" s="65">
        <v>72</v>
      </c>
      <c r="AC588" s="25"/>
      <c r="AD588" s="25"/>
      <c r="BA588" s="226"/>
    </row>
    <row r="589" spans="1:53" ht="15.75" customHeight="1" thickBot="1" x14ac:dyDescent="0.35">
      <c r="A589" s="88"/>
      <c r="B589" s="321" t="s">
        <v>267</v>
      </c>
      <c r="C589" s="293" t="s">
        <v>268</v>
      </c>
      <c r="D589" s="293" t="s">
        <v>269</v>
      </c>
      <c r="E589" s="306" t="s">
        <v>270</v>
      </c>
      <c r="F589" s="293" t="s">
        <v>271</v>
      </c>
      <c r="G589" s="308" t="s">
        <v>272</v>
      </c>
      <c r="H589" s="308" t="s">
        <v>273</v>
      </c>
      <c r="I589" s="308" t="s">
        <v>274</v>
      </c>
      <c r="J589" s="310" t="s">
        <v>275</v>
      </c>
      <c r="K589" s="293" t="s">
        <v>276</v>
      </c>
      <c r="L589" s="280" t="s">
        <v>277</v>
      </c>
      <c r="M589" s="282" t="s">
        <v>278</v>
      </c>
      <c r="N589" s="282"/>
      <c r="O589" s="282"/>
      <c r="P589" s="282"/>
      <c r="Q589" s="282"/>
      <c r="R589" s="282"/>
      <c r="S589" s="282"/>
      <c r="T589" s="282"/>
      <c r="U589" s="283"/>
      <c r="V589" s="107"/>
      <c r="W589" s="72"/>
      <c r="X589" s="72"/>
      <c r="Y589" s="72"/>
      <c r="Z589" s="45">
        <v>7</v>
      </c>
      <c r="AA589" s="65">
        <v>73</v>
      </c>
      <c r="AB589" s="65">
        <v>84</v>
      </c>
      <c r="AC589" s="25"/>
      <c r="AD589" s="25"/>
      <c r="BA589" s="228"/>
    </row>
    <row r="590" spans="1:53" ht="15" thickBot="1" x14ac:dyDescent="0.35">
      <c r="A590" s="88"/>
      <c r="B590" s="322"/>
      <c r="C590" s="294"/>
      <c r="D590" s="294"/>
      <c r="E590" s="307"/>
      <c r="F590" s="294"/>
      <c r="G590" s="309"/>
      <c r="H590" s="309"/>
      <c r="I590" s="309"/>
      <c r="J590" s="311"/>
      <c r="K590" s="294"/>
      <c r="L590" s="281"/>
      <c r="M590" s="284"/>
      <c r="N590" s="284"/>
      <c r="O590" s="284"/>
      <c r="P590" s="284"/>
      <c r="Q590" s="284"/>
      <c r="R590" s="284"/>
      <c r="S590" s="284"/>
      <c r="T590" s="284"/>
      <c r="U590" s="285"/>
      <c r="V590" s="107"/>
      <c r="W590" s="72"/>
      <c r="X590" s="72"/>
      <c r="Y590" s="72"/>
      <c r="Z590" s="45">
        <v>8</v>
      </c>
      <c r="AA590" s="46">
        <v>85</v>
      </c>
      <c r="AB590" s="46">
        <v>96</v>
      </c>
      <c r="AC590" s="25"/>
      <c r="AD590" s="25"/>
      <c r="AI590" s="109" t="s">
        <v>279</v>
      </c>
      <c r="AJ590" s="109" t="s">
        <v>280</v>
      </c>
      <c r="AK590" s="109" t="s">
        <v>281</v>
      </c>
      <c r="AL590" s="109" t="s">
        <v>282</v>
      </c>
      <c r="BA590" s="228"/>
    </row>
    <row r="591" spans="1:53" ht="15" thickBot="1" x14ac:dyDescent="0.35">
      <c r="A591" s="88"/>
      <c r="B591" s="66" t="s">
        <v>283</v>
      </c>
      <c r="C591" s="67" t="s">
        <v>322</v>
      </c>
      <c r="D591" s="102" t="s">
        <v>788</v>
      </c>
      <c r="E591" s="32">
        <v>4</v>
      </c>
      <c r="F591" s="32" t="s">
        <v>324</v>
      </c>
      <c r="G591" s="68" t="s">
        <v>285</v>
      </c>
      <c r="H591" s="69">
        <f>IF(I591=0,0,I591-(E591-1))</f>
        <v>189</v>
      </c>
      <c r="I591" s="70">
        <f>IF(E591=0,0,I586)</f>
        <v>192</v>
      </c>
      <c r="J591" s="71" t="s">
        <v>286</v>
      </c>
      <c r="K591" s="32"/>
      <c r="L591" s="233"/>
      <c r="M591" s="278"/>
      <c r="N591" s="278"/>
      <c r="O591" s="278"/>
      <c r="P591" s="278"/>
      <c r="Q591" s="278"/>
      <c r="R591" s="278"/>
      <c r="S591" s="278"/>
      <c r="T591" s="278"/>
      <c r="U591" s="27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189-192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 thickBot="1" x14ac:dyDescent="0.35">
      <c r="A592" s="88"/>
      <c r="B592" s="66" t="s">
        <v>288</v>
      </c>
      <c r="C592" s="67" t="s">
        <v>322</v>
      </c>
      <c r="D592" s="102" t="s">
        <v>789</v>
      </c>
      <c r="E592" s="32">
        <v>4</v>
      </c>
      <c r="F592" s="32" t="s">
        <v>324</v>
      </c>
      <c r="G592" s="68" t="s">
        <v>285</v>
      </c>
      <c r="H592" s="69">
        <f t="shared" ref="H592:H615" si="247">IF(E592=0,0,I592-(E592-1))</f>
        <v>185</v>
      </c>
      <c r="I592" s="70">
        <f t="shared" ref="I592:I615" si="248">IF(E592=0,0,H591-1)</f>
        <v>188</v>
      </c>
      <c r="J592" s="73" t="str">
        <f>IF(C592="","--",IF(AND(C592&lt;&gt;"FST",C592&lt;&gt;"TCF",BA591&lt;&gt;0),BA591,"--"))</f>
        <v>--</v>
      </c>
      <c r="K592" s="32"/>
      <c r="L592" s="233"/>
      <c r="M592" s="278"/>
      <c r="N592" s="278"/>
      <c r="O592" s="278"/>
      <c r="P592" s="278"/>
      <c r="Q592" s="278"/>
      <c r="R592" s="278"/>
      <c r="S592" s="278"/>
      <c r="T592" s="278"/>
      <c r="U592" s="279"/>
      <c r="V592" s="103"/>
      <c r="W592" s="72"/>
      <c r="X592" s="72"/>
      <c r="Y592" s="72"/>
      <c r="Z592" s="45">
        <v>10</v>
      </c>
      <c r="AA592" s="46">
        <v>109</v>
      </c>
      <c r="AB592" s="46">
        <v>120</v>
      </c>
      <c r="AC592" s="72">
        <f t="shared" si="238"/>
        <v>1</v>
      </c>
      <c r="AD592" s="72">
        <f t="shared" si="239"/>
        <v>0</v>
      </c>
      <c r="AE592" s="109" t="str">
        <f t="shared" si="240"/>
        <v>185-188</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8</v>
      </c>
    </row>
    <row r="593" spans="1:53" ht="15" thickBot="1" x14ac:dyDescent="0.35">
      <c r="A593" s="88"/>
      <c r="B593" s="74" t="s">
        <v>290</v>
      </c>
      <c r="C593" s="67" t="s">
        <v>322</v>
      </c>
      <c r="D593" s="102" t="s">
        <v>790</v>
      </c>
      <c r="E593" s="32">
        <v>4</v>
      </c>
      <c r="F593" s="32" t="s">
        <v>324</v>
      </c>
      <c r="G593" s="75" t="s">
        <v>285</v>
      </c>
      <c r="H593" s="69">
        <f t="shared" si="247"/>
        <v>181</v>
      </c>
      <c r="I593" s="70">
        <f t="shared" si="248"/>
        <v>184</v>
      </c>
      <c r="J593" s="73" t="str">
        <f t="shared" ref="J593:J615" si="249">IF(C593="","--",IF(AND(C593&lt;&gt;"FST",C593&lt;&gt;"TCF",BA592&lt;&gt;0),BA592,"--"))</f>
        <v>--</v>
      </c>
      <c r="K593" s="32"/>
      <c r="L593" s="233"/>
      <c r="M593" s="278"/>
      <c r="N593" s="278"/>
      <c r="O593" s="278"/>
      <c r="P593" s="278"/>
      <c r="Q593" s="278"/>
      <c r="R593" s="278"/>
      <c r="S593" s="278"/>
      <c r="T593" s="278"/>
      <c r="U593" s="279"/>
      <c r="V593" s="103"/>
      <c r="W593" s="72"/>
      <c r="X593" s="72"/>
      <c r="Y593" s="72"/>
      <c r="Z593" s="45">
        <v>11</v>
      </c>
      <c r="AA593" s="46">
        <v>121</v>
      </c>
      <c r="AB593" s="46">
        <v>132</v>
      </c>
      <c r="AC593" s="72">
        <f t="shared" si="238"/>
        <v>1</v>
      </c>
      <c r="AD593" s="72">
        <f t="shared" si="239"/>
        <v>0</v>
      </c>
      <c r="AE593" s="109" t="str">
        <f t="shared" si="240"/>
        <v>181-184</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 thickBot="1" x14ac:dyDescent="0.35">
      <c r="A594" s="88"/>
      <c r="B594" s="66" t="s">
        <v>292</v>
      </c>
      <c r="C594" s="67"/>
      <c r="D594" s="102"/>
      <c r="E594" s="32"/>
      <c r="F594" s="32"/>
      <c r="G594" s="68" t="s">
        <v>285</v>
      </c>
      <c r="H594" s="69">
        <f t="shared" si="247"/>
        <v>0</v>
      </c>
      <c r="I594" s="70">
        <f t="shared" si="248"/>
        <v>0</v>
      </c>
      <c r="J594" s="73" t="str">
        <f t="shared" si="249"/>
        <v>--</v>
      </c>
      <c r="K594" s="32"/>
      <c r="L594" s="233"/>
      <c r="M594" s="278"/>
      <c r="N594" s="278"/>
      <c r="O594" s="278"/>
      <c r="P594" s="278"/>
      <c r="Q594" s="278"/>
      <c r="R594" s="278"/>
      <c r="S594" s="278"/>
      <c r="T594" s="278"/>
      <c r="U594" s="279"/>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 thickBot="1" x14ac:dyDescent="0.35">
      <c r="A595" s="88"/>
      <c r="B595" s="66" t="s">
        <v>293</v>
      </c>
      <c r="C595" s="67"/>
      <c r="D595" s="102"/>
      <c r="E595" s="32"/>
      <c r="F595" s="32"/>
      <c r="G595" s="68" t="s">
        <v>285</v>
      </c>
      <c r="H595" s="69">
        <f t="shared" si="247"/>
        <v>0</v>
      </c>
      <c r="I595" s="70">
        <f t="shared" si="248"/>
        <v>0</v>
      </c>
      <c r="J595" s="73" t="str">
        <f t="shared" si="249"/>
        <v>--</v>
      </c>
      <c r="K595" s="32"/>
      <c r="L595" s="233"/>
      <c r="M595" s="278"/>
      <c r="N595" s="278"/>
      <c r="O595" s="278"/>
      <c r="P595" s="278"/>
      <c r="Q595" s="278"/>
      <c r="R595" s="278"/>
      <c r="S595" s="278"/>
      <c r="T595" s="278"/>
      <c r="U595" s="279"/>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 thickBot="1" x14ac:dyDescent="0.35">
      <c r="A596" s="88"/>
      <c r="B596" s="66" t="s">
        <v>294</v>
      </c>
      <c r="C596" s="67"/>
      <c r="D596" s="102"/>
      <c r="E596" s="32"/>
      <c r="F596" s="32"/>
      <c r="G596" s="68" t="s">
        <v>285</v>
      </c>
      <c r="H596" s="69">
        <f t="shared" si="247"/>
        <v>0</v>
      </c>
      <c r="I596" s="70">
        <f t="shared" si="248"/>
        <v>0</v>
      </c>
      <c r="J596" s="73" t="str">
        <f t="shared" si="249"/>
        <v>--</v>
      </c>
      <c r="K596" s="32"/>
      <c r="L596" s="233"/>
      <c r="M596" s="278"/>
      <c r="N596" s="278"/>
      <c r="O596" s="278"/>
      <c r="P596" s="278"/>
      <c r="Q596" s="278"/>
      <c r="R596" s="278"/>
      <c r="S596" s="278"/>
      <c r="T596" s="278"/>
      <c r="U596" s="279"/>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 thickBot="1" x14ac:dyDescent="0.35">
      <c r="A597" s="88"/>
      <c r="B597" s="66" t="s">
        <v>295</v>
      </c>
      <c r="C597" s="67"/>
      <c r="D597" s="102"/>
      <c r="E597" s="32"/>
      <c r="F597" s="32"/>
      <c r="G597" s="68" t="s">
        <v>285</v>
      </c>
      <c r="H597" s="69">
        <f t="shared" si="247"/>
        <v>0</v>
      </c>
      <c r="I597" s="70">
        <f t="shared" si="248"/>
        <v>0</v>
      </c>
      <c r="J597" s="73" t="str">
        <f t="shared" si="249"/>
        <v>--</v>
      </c>
      <c r="K597" s="32"/>
      <c r="L597" s="233"/>
      <c r="M597" s="278"/>
      <c r="N597" s="278"/>
      <c r="O597" s="278"/>
      <c r="P597" s="278"/>
      <c r="Q597" s="278"/>
      <c r="R597" s="278"/>
      <c r="S597" s="278"/>
      <c r="T597" s="278"/>
      <c r="U597" s="279"/>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 thickBot="1" x14ac:dyDescent="0.35">
      <c r="A598" s="88"/>
      <c r="B598" s="66" t="s">
        <v>296</v>
      </c>
      <c r="C598" s="67"/>
      <c r="D598" s="102"/>
      <c r="E598" s="32"/>
      <c r="F598" s="32"/>
      <c r="G598" s="68" t="s">
        <v>285</v>
      </c>
      <c r="H598" s="69">
        <f t="shared" si="247"/>
        <v>0</v>
      </c>
      <c r="I598" s="70">
        <f t="shared" si="248"/>
        <v>0</v>
      </c>
      <c r="J598" s="73" t="str">
        <f t="shared" si="249"/>
        <v>--</v>
      </c>
      <c r="K598" s="32"/>
      <c r="L598" s="233"/>
      <c r="M598" s="278"/>
      <c r="N598" s="278"/>
      <c r="O598" s="278"/>
      <c r="P598" s="278"/>
      <c r="Q598" s="278"/>
      <c r="R598" s="278"/>
      <c r="S598" s="278"/>
      <c r="T598" s="278"/>
      <c r="U598" s="279"/>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 thickBot="1" x14ac:dyDescent="0.35">
      <c r="A599" s="88"/>
      <c r="B599" s="66" t="s">
        <v>297</v>
      </c>
      <c r="C599" s="67"/>
      <c r="D599" s="102"/>
      <c r="E599" s="32"/>
      <c r="F599" s="32"/>
      <c r="G599" s="68" t="s">
        <v>285</v>
      </c>
      <c r="H599" s="69">
        <f t="shared" si="247"/>
        <v>0</v>
      </c>
      <c r="I599" s="70">
        <f t="shared" si="248"/>
        <v>0</v>
      </c>
      <c r="J599" s="73" t="str">
        <f t="shared" si="249"/>
        <v>--</v>
      </c>
      <c r="K599" s="32"/>
      <c r="L599" s="233"/>
      <c r="M599" s="278"/>
      <c r="N599" s="278"/>
      <c r="O599" s="278"/>
      <c r="P599" s="278"/>
      <c r="Q599" s="278"/>
      <c r="R599" s="278"/>
      <c r="S599" s="278"/>
      <c r="T599" s="278"/>
      <c r="U599" s="279"/>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 thickBot="1" x14ac:dyDescent="0.35">
      <c r="A600" s="88"/>
      <c r="B600" s="66" t="s">
        <v>298</v>
      </c>
      <c r="C600" s="67"/>
      <c r="D600" s="102"/>
      <c r="E600" s="32"/>
      <c r="F600" s="32"/>
      <c r="G600" s="68" t="s">
        <v>285</v>
      </c>
      <c r="H600" s="69">
        <f t="shared" si="247"/>
        <v>0</v>
      </c>
      <c r="I600" s="70">
        <f t="shared" si="248"/>
        <v>0</v>
      </c>
      <c r="J600" s="73" t="str">
        <f t="shared" si="249"/>
        <v>--</v>
      </c>
      <c r="K600" s="32"/>
      <c r="L600" s="233"/>
      <c r="M600" s="278"/>
      <c r="N600" s="278"/>
      <c r="O600" s="278"/>
      <c r="P600" s="278"/>
      <c r="Q600" s="278"/>
      <c r="R600" s="278"/>
      <c r="S600" s="278"/>
      <c r="T600" s="278"/>
      <c r="U600" s="279"/>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 thickBot="1" x14ac:dyDescent="0.35">
      <c r="A601" s="88"/>
      <c r="B601" s="66" t="s">
        <v>299</v>
      </c>
      <c r="C601" s="67"/>
      <c r="D601" s="102"/>
      <c r="E601" s="32"/>
      <c r="F601" s="32"/>
      <c r="G601" s="68" t="s">
        <v>285</v>
      </c>
      <c r="H601" s="69">
        <f t="shared" si="247"/>
        <v>0</v>
      </c>
      <c r="I601" s="70">
        <f t="shared" si="248"/>
        <v>0</v>
      </c>
      <c r="J601" s="73" t="str">
        <f t="shared" si="249"/>
        <v>--</v>
      </c>
      <c r="K601" s="32"/>
      <c r="L601" s="233"/>
      <c r="M601" s="278"/>
      <c r="N601" s="278"/>
      <c r="O601" s="278"/>
      <c r="P601" s="278"/>
      <c r="Q601" s="278"/>
      <c r="R601" s="278"/>
      <c r="S601" s="278"/>
      <c r="T601" s="278"/>
      <c r="U601" s="279"/>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 thickBot="1" x14ac:dyDescent="0.35">
      <c r="A602" s="88"/>
      <c r="B602" s="66" t="s">
        <v>300</v>
      </c>
      <c r="C602" s="67"/>
      <c r="D602" s="102"/>
      <c r="E602" s="32"/>
      <c r="F602" s="32"/>
      <c r="G602" s="68" t="s">
        <v>285</v>
      </c>
      <c r="H602" s="69">
        <f t="shared" si="247"/>
        <v>0</v>
      </c>
      <c r="I602" s="70">
        <f t="shared" si="248"/>
        <v>0</v>
      </c>
      <c r="J602" s="73" t="str">
        <f t="shared" si="249"/>
        <v>--</v>
      </c>
      <c r="K602" s="32"/>
      <c r="L602" s="233"/>
      <c r="M602" s="278"/>
      <c r="N602" s="278"/>
      <c r="O602" s="278"/>
      <c r="P602" s="278"/>
      <c r="Q602" s="278"/>
      <c r="R602" s="278"/>
      <c r="S602" s="278"/>
      <c r="T602" s="278"/>
      <c r="U602" s="279"/>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 thickBot="1" x14ac:dyDescent="0.35">
      <c r="A603" s="88"/>
      <c r="B603" s="66" t="s">
        <v>301</v>
      </c>
      <c r="C603" s="67"/>
      <c r="D603" s="102"/>
      <c r="E603" s="32"/>
      <c r="F603" s="32"/>
      <c r="G603" s="68" t="s">
        <v>285</v>
      </c>
      <c r="H603" s="69">
        <f t="shared" si="247"/>
        <v>0</v>
      </c>
      <c r="I603" s="70">
        <f t="shared" si="248"/>
        <v>0</v>
      </c>
      <c r="J603" s="73" t="str">
        <f t="shared" si="249"/>
        <v>--</v>
      </c>
      <c r="K603" s="32"/>
      <c r="L603" s="233"/>
      <c r="M603" s="278"/>
      <c r="N603" s="278"/>
      <c r="O603" s="278"/>
      <c r="P603" s="278"/>
      <c r="Q603" s="278"/>
      <c r="R603" s="278"/>
      <c r="S603" s="278"/>
      <c r="T603" s="278"/>
      <c r="U603" s="279"/>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 thickBot="1" x14ac:dyDescent="0.35">
      <c r="A604" s="88"/>
      <c r="B604" s="66" t="s">
        <v>302</v>
      </c>
      <c r="C604" s="67"/>
      <c r="D604" s="102"/>
      <c r="E604" s="32"/>
      <c r="F604" s="32"/>
      <c r="G604" s="68" t="s">
        <v>285</v>
      </c>
      <c r="H604" s="69">
        <f t="shared" si="247"/>
        <v>0</v>
      </c>
      <c r="I604" s="70">
        <f t="shared" si="248"/>
        <v>0</v>
      </c>
      <c r="J604" s="73" t="str">
        <f t="shared" si="249"/>
        <v>--</v>
      </c>
      <c r="K604" s="32"/>
      <c r="L604" s="233"/>
      <c r="M604" s="278"/>
      <c r="N604" s="278"/>
      <c r="O604" s="278"/>
      <c r="P604" s="278"/>
      <c r="Q604" s="278"/>
      <c r="R604" s="278"/>
      <c r="S604" s="278"/>
      <c r="T604" s="278"/>
      <c r="U604" s="279"/>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 thickBot="1" x14ac:dyDescent="0.35">
      <c r="A605" s="88"/>
      <c r="B605" s="66" t="s">
        <v>303</v>
      </c>
      <c r="C605" s="67"/>
      <c r="D605" s="102"/>
      <c r="E605" s="32"/>
      <c r="F605" s="32"/>
      <c r="G605" s="68" t="s">
        <v>285</v>
      </c>
      <c r="H605" s="69">
        <f t="shared" si="247"/>
        <v>0</v>
      </c>
      <c r="I605" s="70">
        <f t="shared" si="248"/>
        <v>0</v>
      </c>
      <c r="J605" s="73" t="str">
        <f t="shared" si="249"/>
        <v>--</v>
      </c>
      <c r="K605" s="32"/>
      <c r="L605" s="233"/>
      <c r="M605" s="278"/>
      <c r="N605" s="278"/>
      <c r="O605" s="278"/>
      <c r="P605" s="278"/>
      <c r="Q605" s="278"/>
      <c r="R605" s="278"/>
      <c r="S605" s="278"/>
      <c r="T605" s="278"/>
      <c r="U605" s="279"/>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 thickBot="1" x14ac:dyDescent="0.35">
      <c r="A606" s="88"/>
      <c r="B606" s="66" t="s">
        <v>304</v>
      </c>
      <c r="C606" s="67"/>
      <c r="D606" s="102"/>
      <c r="E606" s="32"/>
      <c r="F606" s="32"/>
      <c r="G606" s="68" t="s">
        <v>285</v>
      </c>
      <c r="H606" s="69">
        <f t="shared" si="247"/>
        <v>0</v>
      </c>
      <c r="I606" s="70">
        <f t="shared" si="248"/>
        <v>0</v>
      </c>
      <c r="J606" s="73" t="str">
        <f t="shared" si="249"/>
        <v>--</v>
      </c>
      <c r="K606" s="32"/>
      <c r="L606" s="233"/>
      <c r="M606" s="278"/>
      <c r="N606" s="278"/>
      <c r="O606" s="278"/>
      <c r="P606" s="278"/>
      <c r="Q606" s="278"/>
      <c r="R606" s="278"/>
      <c r="S606" s="278"/>
      <c r="T606" s="278"/>
      <c r="U606" s="279"/>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 thickBot="1" x14ac:dyDescent="0.35">
      <c r="A607" s="88"/>
      <c r="B607" s="66" t="s">
        <v>305</v>
      </c>
      <c r="C607" s="67"/>
      <c r="D607" s="102"/>
      <c r="E607" s="32"/>
      <c r="F607" s="32"/>
      <c r="G607" s="68" t="s">
        <v>285</v>
      </c>
      <c r="H607" s="69">
        <f t="shared" si="247"/>
        <v>0</v>
      </c>
      <c r="I607" s="70">
        <f t="shared" si="248"/>
        <v>0</v>
      </c>
      <c r="J607" s="73" t="str">
        <f t="shared" si="249"/>
        <v>--</v>
      </c>
      <c r="K607" s="32"/>
      <c r="L607" s="233"/>
      <c r="M607" s="278"/>
      <c r="N607" s="278"/>
      <c r="O607" s="278"/>
      <c r="P607" s="278"/>
      <c r="Q607" s="278"/>
      <c r="R607" s="278"/>
      <c r="S607" s="278"/>
      <c r="T607" s="278"/>
      <c r="U607" s="279"/>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 thickBot="1" x14ac:dyDescent="0.35">
      <c r="A608" s="88"/>
      <c r="B608" s="66" t="s">
        <v>306</v>
      </c>
      <c r="C608" s="67"/>
      <c r="D608" s="102"/>
      <c r="E608" s="32"/>
      <c r="F608" s="32"/>
      <c r="G608" s="68" t="s">
        <v>285</v>
      </c>
      <c r="H608" s="69">
        <f t="shared" si="247"/>
        <v>0</v>
      </c>
      <c r="I608" s="70">
        <f t="shared" si="248"/>
        <v>0</v>
      </c>
      <c r="J608" s="73" t="str">
        <f t="shared" si="249"/>
        <v>--</v>
      </c>
      <c r="K608" s="32"/>
      <c r="L608" s="233"/>
      <c r="M608" s="278"/>
      <c r="N608" s="278"/>
      <c r="O608" s="278"/>
      <c r="P608" s="278"/>
      <c r="Q608" s="278"/>
      <c r="R608" s="278"/>
      <c r="S608" s="278"/>
      <c r="T608" s="278"/>
      <c r="U608" s="279"/>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 thickBot="1" x14ac:dyDescent="0.35">
      <c r="A609" s="88"/>
      <c r="B609" s="66" t="s">
        <v>307</v>
      </c>
      <c r="C609" s="67"/>
      <c r="D609" s="102"/>
      <c r="E609" s="32"/>
      <c r="F609" s="32"/>
      <c r="G609" s="68" t="s">
        <v>285</v>
      </c>
      <c r="H609" s="69">
        <f t="shared" si="247"/>
        <v>0</v>
      </c>
      <c r="I609" s="70">
        <f t="shared" si="248"/>
        <v>0</v>
      </c>
      <c r="J609" s="73" t="str">
        <f t="shared" si="249"/>
        <v>--</v>
      </c>
      <c r="K609" s="32"/>
      <c r="L609" s="233"/>
      <c r="M609" s="278"/>
      <c r="N609" s="278"/>
      <c r="O609" s="278"/>
      <c r="P609" s="278"/>
      <c r="Q609" s="278"/>
      <c r="R609" s="278"/>
      <c r="S609" s="278"/>
      <c r="T609" s="278"/>
      <c r="U609" s="279"/>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 thickBot="1" x14ac:dyDescent="0.35">
      <c r="A610" s="88"/>
      <c r="B610" s="66" t="s">
        <v>308</v>
      </c>
      <c r="C610" s="67"/>
      <c r="D610" s="102"/>
      <c r="E610" s="32"/>
      <c r="F610" s="32"/>
      <c r="G610" s="68" t="s">
        <v>285</v>
      </c>
      <c r="H610" s="69">
        <f t="shared" si="247"/>
        <v>0</v>
      </c>
      <c r="I610" s="70">
        <f t="shared" si="248"/>
        <v>0</v>
      </c>
      <c r="J610" s="73" t="str">
        <f t="shared" si="249"/>
        <v>--</v>
      </c>
      <c r="K610" s="32"/>
      <c r="L610" s="233"/>
      <c r="M610" s="278"/>
      <c r="N610" s="278"/>
      <c r="O610" s="278"/>
      <c r="P610" s="278"/>
      <c r="Q610" s="278"/>
      <c r="R610" s="278"/>
      <c r="S610" s="278"/>
      <c r="T610" s="278"/>
      <c r="U610" s="279"/>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 thickBot="1" x14ac:dyDescent="0.35">
      <c r="A611" s="88"/>
      <c r="B611" s="66" t="s">
        <v>309</v>
      </c>
      <c r="C611" s="67"/>
      <c r="D611" s="102"/>
      <c r="E611" s="32"/>
      <c r="F611" s="32"/>
      <c r="G611" s="68" t="s">
        <v>285</v>
      </c>
      <c r="H611" s="69">
        <f t="shared" si="247"/>
        <v>0</v>
      </c>
      <c r="I611" s="70">
        <f t="shared" si="248"/>
        <v>0</v>
      </c>
      <c r="J611" s="73" t="str">
        <f t="shared" si="249"/>
        <v>--</v>
      </c>
      <c r="K611" s="32"/>
      <c r="L611" s="233"/>
      <c r="M611" s="278"/>
      <c r="N611" s="278"/>
      <c r="O611" s="278"/>
      <c r="P611" s="278"/>
      <c r="Q611" s="278"/>
      <c r="R611" s="278"/>
      <c r="S611" s="278"/>
      <c r="T611" s="278"/>
      <c r="U611" s="279"/>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 thickBot="1" x14ac:dyDescent="0.35">
      <c r="A612" s="88"/>
      <c r="B612" s="66" t="s">
        <v>310</v>
      </c>
      <c r="C612" s="67"/>
      <c r="D612" s="102"/>
      <c r="E612" s="32"/>
      <c r="F612" s="32"/>
      <c r="G612" s="68" t="s">
        <v>285</v>
      </c>
      <c r="H612" s="69">
        <f t="shared" si="247"/>
        <v>0</v>
      </c>
      <c r="I612" s="70">
        <f t="shared" si="248"/>
        <v>0</v>
      </c>
      <c r="J612" s="73" t="str">
        <f t="shared" si="249"/>
        <v>--</v>
      </c>
      <c r="K612" s="32"/>
      <c r="L612" s="233"/>
      <c r="M612" s="278"/>
      <c r="N612" s="278"/>
      <c r="O612" s="278"/>
      <c r="P612" s="278"/>
      <c r="Q612" s="278"/>
      <c r="R612" s="278"/>
      <c r="S612" s="278"/>
      <c r="T612" s="278"/>
      <c r="U612" s="279"/>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 thickBot="1" x14ac:dyDescent="0.35">
      <c r="A613" s="88"/>
      <c r="B613" s="66" t="s">
        <v>311</v>
      </c>
      <c r="C613" s="67"/>
      <c r="D613" s="102"/>
      <c r="E613" s="32"/>
      <c r="F613" s="32"/>
      <c r="G613" s="68" t="s">
        <v>285</v>
      </c>
      <c r="H613" s="69">
        <f t="shared" si="247"/>
        <v>0</v>
      </c>
      <c r="I613" s="70">
        <f t="shared" si="248"/>
        <v>0</v>
      </c>
      <c r="J613" s="73" t="str">
        <f t="shared" si="249"/>
        <v>--</v>
      </c>
      <c r="K613" s="32"/>
      <c r="L613" s="233"/>
      <c r="M613" s="278"/>
      <c r="N613" s="278"/>
      <c r="O613" s="278"/>
      <c r="P613" s="278"/>
      <c r="Q613" s="278"/>
      <c r="R613" s="278"/>
      <c r="S613" s="278"/>
      <c r="T613" s="278"/>
      <c r="U613" s="279"/>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 thickBot="1" x14ac:dyDescent="0.35">
      <c r="A614" s="88"/>
      <c r="B614" s="66" t="s">
        <v>312</v>
      </c>
      <c r="C614" s="67"/>
      <c r="D614" s="102"/>
      <c r="E614" s="32"/>
      <c r="F614" s="32"/>
      <c r="G614" s="68" t="s">
        <v>285</v>
      </c>
      <c r="H614" s="69">
        <f t="shared" si="247"/>
        <v>0</v>
      </c>
      <c r="I614" s="70">
        <f t="shared" si="248"/>
        <v>0</v>
      </c>
      <c r="J614" s="73" t="str">
        <f t="shared" si="249"/>
        <v>--</v>
      </c>
      <c r="K614" s="32"/>
      <c r="L614" s="233"/>
      <c r="M614" s="278"/>
      <c r="N614" s="278"/>
      <c r="O614" s="278"/>
      <c r="P614" s="278"/>
      <c r="Q614" s="278"/>
      <c r="R614" s="278"/>
      <c r="S614" s="278"/>
      <c r="T614" s="278"/>
      <c r="U614" s="279"/>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 thickBot="1" x14ac:dyDescent="0.35">
      <c r="A615" s="88"/>
      <c r="B615" s="66" t="s">
        <v>313</v>
      </c>
      <c r="C615" s="67"/>
      <c r="D615" s="102"/>
      <c r="E615" s="32"/>
      <c r="F615" s="32"/>
      <c r="G615" s="68" t="s">
        <v>285</v>
      </c>
      <c r="H615" s="69">
        <f t="shared" si="247"/>
        <v>0</v>
      </c>
      <c r="I615" s="70">
        <f t="shared" si="248"/>
        <v>0</v>
      </c>
      <c r="J615" s="73" t="str">
        <f t="shared" si="249"/>
        <v>--</v>
      </c>
      <c r="K615" s="32"/>
      <c r="L615" s="234"/>
      <c r="M615" s="278"/>
      <c r="N615" s="278"/>
      <c r="O615" s="278"/>
      <c r="P615" s="278"/>
      <c r="Q615" s="278"/>
      <c r="R615" s="278"/>
      <c r="S615" s="278"/>
      <c r="T615" s="278"/>
      <c r="U615" s="279"/>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2" thickBot="1" x14ac:dyDescent="0.35">
      <c r="A616" s="88"/>
      <c r="B616" s="319" t="s">
        <v>404</v>
      </c>
      <c r="C616" s="320"/>
      <c r="D616" s="79"/>
      <c r="E616" s="80"/>
      <c r="F616" s="80"/>
      <c r="G616" s="81"/>
      <c r="H616" s="192"/>
      <c r="I616" s="192"/>
      <c r="J616" s="192"/>
      <c r="K616" s="82"/>
      <c r="L616" s="319" t="s">
        <v>319</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2" thickBot="1" x14ac:dyDescent="0.35">
      <c r="A617" s="88"/>
      <c r="B617" s="319" t="s">
        <v>320</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3">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 thickBot="1" x14ac:dyDescent="0.35">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5">
      <c r="A620" s="88"/>
      <c r="B620" s="85" t="s">
        <v>405</v>
      </c>
      <c r="C620" s="25"/>
      <c r="D620" s="25"/>
      <c r="E620" s="25"/>
      <c r="F620" s="88"/>
      <c r="G620" s="25"/>
      <c r="H620" s="25"/>
      <c r="I620" s="87"/>
      <c r="J620" s="26"/>
      <c r="K620" s="25"/>
      <c r="L620" s="25"/>
      <c r="M620" s="196" t="s">
        <v>217</v>
      </c>
      <c r="N620" s="196" t="s">
        <v>218</v>
      </c>
      <c r="O620" s="196" t="s">
        <v>219</v>
      </c>
      <c r="P620" s="196" t="s">
        <v>220</v>
      </c>
      <c r="Q620" s="196" t="s">
        <v>221</v>
      </c>
      <c r="R620" s="196" t="s">
        <v>222</v>
      </c>
      <c r="S620" s="196" t="s">
        <v>223</v>
      </c>
      <c r="T620" s="196" t="s">
        <v>224</v>
      </c>
      <c r="U620" s="196" t="s">
        <v>225</v>
      </c>
      <c r="V620" s="196" t="s">
        <v>226</v>
      </c>
      <c r="W620" s="113" t="s">
        <v>227</v>
      </c>
      <c r="X620" s="196" t="s">
        <v>228</v>
      </c>
      <c r="Y620" s="25"/>
      <c r="Z620" s="25"/>
      <c r="AA620" s="25"/>
      <c r="AB620" s="25"/>
      <c r="AC620" s="25"/>
      <c r="AD620" s="25"/>
      <c r="BA620" s="226"/>
    </row>
    <row r="621" spans="1:53" ht="15.6" thickTop="1" thickBot="1" x14ac:dyDescent="0.35">
      <c r="A621" s="88"/>
      <c r="B621" s="312" t="s">
        <v>229</v>
      </c>
      <c r="C621" s="313"/>
      <c r="D621" s="314" t="s">
        <v>230</v>
      </c>
      <c r="E621" s="305"/>
      <c r="F621" s="88"/>
      <c r="G621" s="315" t="s">
        <v>231</v>
      </c>
      <c r="H621" s="316"/>
      <c r="I621" s="28">
        <f>SUM(E632:E656)</f>
        <v>12</v>
      </c>
      <c r="J621" s="317" t="s">
        <v>232</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233</v>
      </c>
      <c r="AA621" s="296"/>
      <c r="AB621" s="297"/>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234</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5">
      <c r="A622" s="88"/>
      <c r="B622" s="29" t="s">
        <v>235</v>
      </c>
      <c r="C622" s="30">
        <v>0</v>
      </c>
      <c r="D622" s="31" t="s">
        <v>236</v>
      </c>
      <c r="E622" s="66" t="str">
        <f>TEXT(IF('Cable Calculator'!CA7="","",'Cable Calculator'!CA7),)</f>
        <v/>
      </c>
      <c r="F622" s="88"/>
      <c r="G622" s="304" t="s">
        <v>237</v>
      </c>
      <c r="H622" s="305"/>
      <c r="I622" s="33">
        <f>E623-I621</f>
        <v>12</v>
      </c>
      <c r="J622" s="289" t="s">
        <v>238</v>
      </c>
      <c r="K622" s="290"/>
      <c r="L622" s="34">
        <f>I626</f>
        <v>217</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8" t="s">
        <v>239</v>
      </c>
      <c r="AA622" s="300" t="s">
        <v>240</v>
      </c>
      <c r="AB622" s="301"/>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241</v>
      </c>
      <c r="AU622" s="109">
        <f>COUNTIFS($E622,"SS",$AS622,"Y")</f>
        <v>0</v>
      </c>
      <c r="AV622" s="111">
        <f>COUNTIFS($E622,"RPX",$AS622,"Y")</f>
        <v>0</v>
      </c>
      <c r="AW622" s="111">
        <f>COUNTIFS($E622,"EUC",$AS622,"Y")</f>
        <v>0</v>
      </c>
      <c r="AX622" s="109">
        <f>COUNTIFS($E622,"RPX-T",$AS622,"Y")</f>
        <v>0</v>
      </c>
      <c r="BA622" s="227"/>
    </row>
    <row r="623" spans="1:53" ht="15.6" thickTop="1" thickBot="1" x14ac:dyDescent="0.35">
      <c r="A623" s="88"/>
      <c r="B623" s="36" t="s">
        <v>242</v>
      </c>
      <c r="C623" s="37">
        <v>0</v>
      </c>
      <c r="D623" s="38" t="s">
        <v>243</v>
      </c>
      <c r="E623" s="32">
        <v>24</v>
      </c>
      <c r="F623" s="88"/>
      <c r="G623" s="291" t="s">
        <v>244</v>
      </c>
      <c r="H623" s="292"/>
      <c r="I623" s="35">
        <f>IF(E623=0,0,12-(MOD(I621,12)))</f>
        <v>12</v>
      </c>
      <c r="J623" s="289" t="s">
        <v>245</v>
      </c>
      <c r="K623" s="290"/>
      <c r="L623" s="39">
        <f>I627-I621</f>
        <v>216</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246</v>
      </c>
      <c r="AU623" s="109">
        <f>COUNTIFS($E622,"SS",$AS623,"Y")</f>
        <v>0</v>
      </c>
      <c r="AV623" s="108">
        <f>COUNTIFS($E622,"RPX",$AS623,"Y")</f>
        <v>0</v>
      </c>
      <c r="AW623" s="108">
        <f>COUNTIFS($E622,"EUC",$AS623,"Y")</f>
        <v>0</v>
      </c>
      <c r="AX623" s="109">
        <f>COUNTIFS($E622,"RPX-T",$AS623,"Y")</f>
        <v>0</v>
      </c>
      <c r="BA623" s="227"/>
    </row>
    <row r="624" spans="1:53" ht="16.5" customHeight="1" thickTop="1" thickBot="1" x14ac:dyDescent="0.35">
      <c r="A624" s="88"/>
      <c r="B624" s="40" t="s">
        <v>247</v>
      </c>
      <c r="C624" s="30">
        <v>0</v>
      </c>
      <c r="D624" s="41" t="s">
        <v>248</v>
      </c>
      <c r="E624" s="42">
        <v>12</v>
      </c>
      <c r="F624" s="88"/>
      <c r="G624" s="321" t="s">
        <v>249</v>
      </c>
      <c r="H624" s="43" t="s">
        <v>250</v>
      </c>
      <c r="I624" s="35">
        <f>IF(E624&lt;&gt;0,1,0)</f>
        <v>1</v>
      </c>
      <c r="J624" s="291" t="s">
        <v>251</v>
      </c>
      <c r="K624" s="292"/>
      <c r="L624" s="44">
        <f>'Cable Calculator'!CA3</f>
        <v>270</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252</v>
      </c>
      <c r="AU624" s="109">
        <f>COUNTIFS($E622,"SS",$AS624,"Y")</f>
        <v>0</v>
      </c>
      <c r="AV624" s="108">
        <f>COUNTIFS($E622,"RPX",$AS624,"Y")</f>
        <v>0</v>
      </c>
      <c r="AW624" s="108">
        <f>COUNTIFS($E622,"EUC",$AS624,"Y")</f>
        <v>0</v>
      </c>
      <c r="AX624" s="109">
        <f>COUNTIFS($E622,"RPX-T",$AS624,"Y")</f>
        <v>0</v>
      </c>
      <c r="BA624" s="227"/>
    </row>
    <row r="625" spans="1:53" ht="15.6" thickTop="1" thickBot="1" x14ac:dyDescent="0.35">
      <c r="A625" s="88"/>
      <c r="B625" s="29" t="s">
        <v>253</v>
      </c>
      <c r="C625" s="37">
        <v>0</v>
      </c>
      <c r="D625" s="41" t="s">
        <v>254</v>
      </c>
      <c r="E625" s="42">
        <v>217</v>
      </c>
      <c r="F625" s="88"/>
      <c r="G625" s="322"/>
      <c r="H625" s="47" t="s">
        <v>255</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5">
      <c r="A626" s="88"/>
      <c r="B626" s="36" t="s">
        <v>256</v>
      </c>
      <c r="C626" s="30">
        <v>0</v>
      </c>
      <c r="D626" s="49" t="s">
        <v>257</v>
      </c>
      <c r="E626" s="50">
        <f>E623/12</f>
        <v>2</v>
      </c>
      <c r="F626" s="88"/>
      <c r="G626" s="321" t="s">
        <v>258</v>
      </c>
      <c r="H626" s="51" t="s">
        <v>259</v>
      </c>
      <c r="I626" s="112">
        <f>E625</f>
        <v>217</v>
      </c>
      <c r="J626" s="323" t="s">
        <v>260</v>
      </c>
      <c r="K626" s="324"/>
      <c r="L626" s="325"/>
      <c r="M626" s="52" t="s">
        <v>261</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5.6" thickTop="1" thickBot="1" x14ac:dyDescent="0.35">
      <c r="A627" s="88"/>
      <c r="B627" s="36" t="s">
        <v>262</v>
      </c>
      <c r="C627" s="30">
        <v>0</v>
      </c>
      <c r="D627" s="31" t="s">
        <v>263</v>
      </c>
      <c r="E627" s="101" t="str">
        <f>IF('Cable Calculator'!CA5="","",'Cable Calculator'!CA5)</f>
        <v>N</v>
      </c>
      <c r="F627" s="88"/>
      <c r="G627" s="322"/>
      <c r="H627" s="47" t="s">
        <v>264</v>
      </c>
      <c r="I627" s="35">
        <f>IF(E625="","0",IF(AND(E622="EUC",E623=432), I626+(203-E624),IF(E625=0,0,(E625+(E623-E624)-1))))</f>
        <v>228</v>
      </c>
      <c r="J627" s="286" t="str">
        <f>IFERROR(IF(OR(E622="EUC",E622="SS"),"---",IF(OR(P621,S621),"NO 2F Tethers for RPX!",IF(OR(P623,S623),"NO 6F Tethers for RPX!","---"))),"---")</f>
        <v>---</v>
      </c>
      <c r="K627" s="287"/>
      <c r="L627" s="288"/>
      <c r="M627" s="286" t="str">
        <f>IF(E624&gt;60,"Dead Count &gt;60: Consider Downsize","---")</f>
        <v>---</v>
      </c>
      <c r="N627" s="287"/>
      <c r="O627" s="287"/>
      <c r="P627" s="287"/>
      <c r="Q627" s="287"/>
      <c r="R627" s="287"/>
      <c r="S627" s="287"/>
      <c r="T627" s="287"/>
      <c r="U627" s="288"/>
      <c r="V627" s="100"/>
      <c r="W627" s="54">
        <f>SUM(P627:U627)</f>
        <v>0</v>
      </c>
      <c r="X627" s="54"/>
      <c r="Y627" s="25"/>
      <c r="Z627" s="45">
        <v>4</v>
      </c>
      <c r="AA627" s="46">
        <v>37</v>
      </c>
      <c r="AB627" s="46">
        <v>48</v>
      </c>
      <c r="AC627" s="25"/>
      <c r="AD627" s="25"/>
      <c r="BA627" s="227"/>
    </row>
    <row r="628" spans="1:53" ht="15.6" thickTop="1" thickBot="1" x14ac:dyDescent="0.35">
      <c r="A628" s="88"/>
      <c r="B628" s="55" t="s">
        <v>265</v>
      </c>
      <c r="C628" s="56">
        <f>SUM(C622:C627)+I621</f>
        <v>12</v>
      </c>
      <c r="D628" s="31" t="s">
        <v>266</v>
      </c>
      <c r="E628" s="101" t="str">
        <f>IF(AS622="Y","DBL",IF(AS623="Y","TRPL",IF(AS624="Y","QUAD","")))</f>
        <v/>
      </c>
      <c r="F628" s="88"/>
      <c r="G628" s="192"/>
      <c r="H628" s="57"/>
      <c r="I628" s="192"/>
      <c r="J628" s="286"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7"/>
      <c r="L628" s="288"/>
      <c r="M628" s="286" t="str">
        <f>IF(AND(OR(E622="SS",E622="RPX",E622="EUC",E622="RPX-T"),(OR(C632="",C632="Field SPL"))),"Cannot have FlexNap cables without tethers","---")</f>
        <v>---</v>
      </c>
      <c r="N628" s="287"/>
      <c r="O628" s="287"/>
      <c r="P628" s="287"/>
      <c r="Q628" s="287"/>
      <c r="R628" s="287"/>
      <c r="S628" s="287"/>
      <c r="T628" s="287"/>
      <c r="U628" s="288"/>
      <c r="V628" s="25"/>
      <c r="W628" s="58"/>
      <c r="X628" s="58"/>
      <c r="Y628" s="25"/>
      <c r="Z628" s="45">
        <v>5</v>
      </c>
      <c r="AA628" s="46">
        <v>49</v>
      </c>
      <c r="AB628" s="46">
        <v>60</v>
      </c>
      <c r="AC628" s="25"/>
      <c r="AD628" s="25"/>
      <c r="BA628" s="227"/>
    </row>
    <row r="629" spans="1:53" ht="15.6" thickTop="1" thickBot="1" x14ac:dyDescent="0.35">
      <c r="A629" s="88"/>
      <c r="B629" s="59"/>
      <c r="C629" s="60"/>
      <c r="D629" s="61"/>
      <c r="E629" s="62"/>
      <c r="F629" s="88"/>
      <c r="G629" s="63"/>
      <c r="H629" s="64"/>
      <c r="I629" s="63"/>
      <c r="J629" s="286" t="str">
        <f>IF(AND(OR(E622="RPX", E622="RPX-T", E622="SS"),E623=216),"NO 216 For RPX, RPX-T, OR SS CABLE","---")</f>
        <v>---</v>
      </c>
      <c r="K629" s="287"/>
      <c r="L629" s="288"/>
      <c r="M629" s="286" t="str" cm="1">
        <f t="array" ref="M629">IF(AND(E622="",OR(C632:C656="FST",C632:C656="REV T",C632:C656="DBL REV",C632:C656="TPL REV", C632:C656="QD REV")),"Non-FlexNap cables cannot have tethers","---")</f>
        <v>---</v>
      </c>
      <c r="N629" s="287"/>
      <c r="O629" s="287"/>
      <c r="P629" s="287"/>
      <c r="Q629" s="287"/>
      <c r="R629" s="287"/>
      <c r="S629" s="287"/>
      <c r="T629" s="287"/>
      <c r="U629" s="288"/>
      <c r="V629" s="25"/>
      <c r="W629" s="58"/>
      <c r="X629" s="58"/>
      <c r="Y629" s="25"/>
      <c r="Z629" s="45">
        <v>6</v>
      </c>
      <c r="AA629" s="65">
        <v>61</v>
      </c>
      <c r="AB629" s="65">
        <v>72</v>
      </c>
      <c r="AC629" s="25"/>
      <c r="AD629" s="25"/>
      <c r="BA629" s="226"/>
    </row>
    <row r="630" spans="1:53" ht="15.75" customHeight="1" thickBot="1" x14ac:dyDescent="0.35">
      <c r="A630" s="88"/>
      <c r="B630" s="321" t="s">
        <v>267</v>
      </c>
      <c r="C630" s="293" t="s">
        <v>268</v>
      </c>
      <c r="D630" s="293" t="s">
        <v>269</v>
      </c>
      <c r="E630" s="306" t="s">
        <v>270</v>
      </c>
      <c r="F630" s="293" t="s">
        <v>271</v>
      </c>
      <c r="G630" s="308" t="s">
        <v>272</v>
      </c>
      <c r="H630" s="308" t="s">
        <v>273</v>
      </c>
      <c r="I630" s="308" t="s">
        <v>274</v>
      </c>
      <c r="J630" s="310" t="s">
        <v>275</v>
      </c>
      <c r="K630" s="293" t="s">
        <v>276</v>
      </c>
      <c r="L630" s="280" t="s">
        <v>277</v>
      </c>
      <c r="M630" s="282" t="s">
        <v>278</v>
      </c>
      <c r="N630" s="282"/>
      <c r="O630" s="282"/>
      <c r="P630" s="282"/>
      <c r="Q630" s="282"/>
      <c r="R630" s="282"/>
      <c r="S630" s="282"/>
      <c r="T630" s="282"/>
      <c r="U630" s="283"/>
      <c r="V630" s="107"/>
      <c r="W630" s="72"/>
      <c r="X630" s="72"/>
      <c r="Y630" s="72"/>
      <c r="Z630" s="45">
        <v>7</v>
      </c>
      <c r="AA630" s="65">
        <v>73</v>
      </c>
      <c r="AB630" s="65">
        <v>84</v>
      </c>
      <c r="AC630" s="25"/>
      <c r="AD630" s="25"/>
      <c r="BA630" s="228"/>
    </row>
    <row r="631" spans="1:53" ht="15" thickBot="1" x14ac:dyDescent="0.35">
      <c r="A631" s="88"/>
      <c r="B631" s="322"/>
      <c r="C631" s="294"/>
      <c r="D631" s="294"/>
      <c r="E631" s="307"/>
      <c r="F631" s="294"/>
      <c r="G631" s="309"/>
      <c r="H631" s="309"/>
      <c r="I631" s="309"/>
      <c r="J631" s="311"/>
      <c r="K631" s="294"/>
      <c r="L631" s="281"/>
      <c r="M631" s="284"/>
      <c r="N631" s="284"/>
      <c r="O631" s="284"/>
      <c r="P631" s="284"/>
      <c r="Q631" s="284"/>
      <c r="R631" s="284"/>
      <c r="S631" s="284"/>
      <c r="T631" s="284"/>
      <c r="U631" s="285"/>
      <c r="V631" s="107"/>
      <c r="W631" s="72"/>
      <c r="X631" s="72"/>
      <c r="Y631" s="72"/>
      <c r="Z631" s="45">
        <v>8</v>
      </c>
      <c r="AA631" s="46">
        <v>85</v>
      </c>
      <c r="AB631" s="46">
        <v>96</v>
      </c>
      <c r="AC631" s="25"/>
      <c r="AD631" s="25"/>
      <c r="AI631" s="109" t="s">
        <v>279</v>
      </c>
      <c r="AJ631" s="109" t="s">
        <v>280</v>
      </c>
      <c r="AK631" s="109" t="s">
        <v>281</v>
      </c>
      <c r="AL631" s="109" t="s">
        <v>282</v>
      </c>
      <c r="BA631" s="228"/>
    </row>
    <row r="632" spans="1:53" ht="15" thickBot="1" x14ac:dyDescent="0.35">
      <c r="A632" s="88"/>
      <c r="B632" s="66" t="s">
        <v>283</v>
      </c>
      <c r="C632" s="67" t="s">
        <v>284</v>
      </c>
      <c r="D632" s="102"/>
      <c r="E632" s="32">
        <v>12</v>
      </c>
      <c r="F632" s="32"/>
      <c r="G632" s="68" t="s">
        <v>285</v>
      </c>
      <c r="H632" s="69">
        <f>IF(I632=0,0,I632-(E632-1))</f>
        <v>217</v>
      </c>
      <c r="I632" s="70">
        <f>IF(E632=0,0,I627)</f>
        <v>228</v>
      </c>
      <c r="J632" s="71" t="s">
        <v>286</v>
      </c>
      <c r="K632" s="32"/>
      <c r="L632" s="233"/>
      <c r="M632" s="278" t="s">
        <v>398</v>
      </c>
      <c r="N632" s="278"/>
      <c r="O632" s="278"/>
      <c r="P632" s="278"/>
      <c r="Q632" s="278"/>
      <c r="R632" s="278"/>
      <c r="S632" s="278"/>
      <c r="T632" s="278"/>
      <c r="U632" s="279"/>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217-228</v>
      </c>
      <c r="AF632" s="109" t="str">
        <f t="shared" ref="AF632:AF656" si="258">IF(C632="Field SPL","N","Y")</f>
        <v>N</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 thickBot="1" x14ac:dyDescent="0.35">
      <c r="A633" s="88"/>
      <c r="B633" s="66" t="s">
        <v>288</v>
      </c>
      <c r="C633" s="67"/>
      <c r="D633" s="102"/>
      <c r="E633" s="32"/>
      <c r="F633" s="32"/>
      <c r="G633" s="68" t="s">
        <v>285</v>
      </c>
      <c r="H633" s="69">
        <f t="shared" ref="H633:H656" si="264">IF(E633=0,0,I633-(E633-1))</f>
        <v>0</v>
      </c>
      <c r="I633" s="70">
        <f t="shared" ref="I633:I656" si="265">IF(E633=0,0,H632-1)</f>
        <v>0</v>
      </c>
      <c r="J633" s="73" t="str">
        <f>IF(C633="","--",IF(AND(C633&lt;&gt;"FST",C633&lt;&gt;"TCF",BA632&lt;&gt;0),BA632,"--"))</f>
        <v>--</v>
      </c>
      <c r="K633" s="32"/>
      <c r="L633" s="233"/>
      <c r="M633" s="278"/>
      <c r="N633" s="278"/>
      <c r="O633" s="278"/>
      <c r="P633" s="278"/>
      <c r="Q633" s="278"/>
      <c r="R633" s="278"/>
      <c r="S633" s="278"/>
      <c r="T633" s="278"/>
      <c r="U633" s="279"/>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 thickBot="1" x14ac:dyDescent="0.35">
      <c r="A634" s="88"/>
      <c r="B634" s="74" t="s">
        <v>290</v>
      </c>
      <c r="C634" s="67"/>
      <c r="D634" s="102"/>
      <c r="E634" s="32"/>
      <c r="F634" s="32"/>
      <c r="G634" s="75" t="s">
        <v>285</v>
      </c>
      <c r="H634" s="69">
        <f t="shared" si="264"/>
        <v>0</v>
      </c>
      <c r="I634" s="70">
        <f t="shared" si="265"/>
        <v>0</v>
      </c>
      <c r="J634" s="73" t="str">
        <f t="shared" ref="J634:J656" si="266">IF(C634="","--",IF(AND(C634&lt;&gt;"FST",C634&lt;&gt;"TCF",BA633&lt;&gt;0),BA633,"--"))</f>
        <v>--</v>
      </c>
      <c r="K634" s="32"/>
      <c r="L634" s="233"/>
      <c r="M634" s="278"/>
      <c r="N634" s="278"/>
      <c r="O634" s="278"/>
      <c r="P634" s="278"/>
      <c r="Q634" s="278"/>
      <c r="R634" s="278"/>
      <c r="S634" s="278"/>
      <c r="T634" s="278"/>
      <c r="U634" s="279"/>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 thickBot="1" x14ac:dyDescent="0.35">
      <c r="A635" s="88"/>
      <c r="B635" s="66" t="s">
        <v>292</v>
      </c>
      <c r="C635" s="67"/>
      <c r="D635" s="102"/>
      <c r="E635" s="32"/>
      <c r="F635" s="32"/>
      <c r="G635" s="68" t="s">
        <v>285</v>
      </c>
      <c r="H635" s="69">
        <f t="shared" si="264"/>
        <v>0</v>
      </c>
      <c r="I635" s="70">
        <f t="shared" si="265"/>
        <v>0</v>
      </c>
      <c r="J635" s="73" t="str">
        <f t="shared" si="266"/>
        <v>--</v>
      </c>
      <c r="K635" s="32"/>
      <c r="L635" s="233"/>
      <c r="M635" s="278"/>
      <c r="N635" s="278"/>
      <c r="O635" s="278"/>
      <c r="P635" s="278"/>
      <c r="Q635" s="278"/>
      <c r="R635" s="278"/>
      <c r="S635" s="278"/>
      <c r="T635" s="278"/>
      <c r="U635" s="279"/>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 thickBot="1" x14ac:dyDescent="0.35">
      <c r="A636" s="88"/>
      <c r="B636" s="66" t="s">
        <v>293</v>
      </c>
      <c r="C636" s="67"/>
      <c r="D636" s="102"/>
      <c r="E636" s="32"/>
      <c r="F636" s="32"/>
      <c r="G636" s="68" t="s">
        <v>285</v>
      </c>
      <c r="H636" s="69">
        <f t="shared" si="264"/>
        <v>0</v>
      </c>
      <c r="I636" s="70">
        <f t="shared" si="265"/>
        <v>0</v>
      </c>
      <c r="J636" s="73" t="str">
        <f t="shared" si="266"/>
        <v>--</v>
      </c>
      <c r="K636" s="32"/>
      <c r="L636" s="233"/>
      <c r="M636" s="278"/>
      <c r="N636" s="278"/>
      <c r="O636" s="278"/>
      <c r="P636" s="278"/>
      <c r="Q636" s="278"/>
      <c r="R636" s="278"/>
      <c r="S636" s="278"/>
      <c r="T636" s="278"/>
      <c r="U636" s="279"/>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 thickBot="1" x14ac:dyDescent="0.35">
      <c r="A637" s="88"/>
      <c r="B637" s="66" t="s">
        <v>294</v>
      </c>
      <c r="C637" s="67"/>
      <c r="D637" s="102"/>
      <c r="E637" s="32"/>
      <c r="F637" s="32"/>
      <c r="G637" s="68" t="s">
        <v>285</v>
      </c>
      <c r="H637" s="69">
        <f t="shared" si="264"/>
        <v>0</v>
      </c>
      <c r="I637" s="70">
        <f t="shared" si="265"/>
        <v>0</v>
      </c>
      <c r="J637" s="73" t="str">
        <f t="shared" si="266"/>
        <v>--</v>
      </c>
      <c r="K637" s="32"/>
      <c r="L637" s="233"/>
      <c r="M637" s="278"/>
      <c r="N637" s="278"/>
      <c r="O637" s="278"/>
      <c r="P637" s="278"/>
      <c r="Q637" s="278"/>
      <c r="R637" s="278"/>
      <c r="S637" s="278"/>
      <c r="T637" s="278"/>
      <c r="U637" s="27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 thickBot="1" x14ac:dyDescent="0.35">
      <c r="A638" s="88"/>
      <c r="B638" s="66" t="s">
        <v>295</v>
      </c>
      <c r="C638" s="67"/>
      <c r="D638" s="102"/>
      <c r="E638" s="32"/>
      <c r="F638" s="32"/>
      <c r="G638" s="68" t="s">
        <v>285</v>
      </c>
      <c r="H638" s="69">
        <f t="shared" si="264"/>
        <v>0</v>
      </c>
      <c r="I638" s="70">
        <f t="shared" si="265"/>
        <v>0</v>
      </c>
      <c r="J638" s="73" t="str">
        <f t="shared" si="266"/>
        <v>--</v>
      </c>
      <c r="K638" s="32"/>
      <c r="L638" s="233"/>
      <c r="M638" s="278"/>
      <c r="N638" s="278"/>
      <c r="O638" s="278"/>
      <c r="P638" s="278"/>
      <c r="Q638" s="278"/>
      <c r="R638" s="278"/>
      <c r="S638" s="278"/>
      <c r="T638" s="278"/>
      <c r="U638" s="27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 thickBot="1" x14ac:dyDescent="0.35">
      <c r="A639" s="88"/>
      <c r="B639" s="66" t="s">
        <v>296</v>
      </c>
      <c r="C639" s="67"/>
      <c r="D639" s="102"/>
      <c r="E639" s="32"/>
      <c r="F639" s="32"/>
      <c r="G639" s="68" t="s">
        <v>285</v>
      </c>
      <c r="H639" s="69">
        <f t="shared" si="264"/>
        <v>0</v>
      </c>
      <c r="I639" s="70">
        <f t="shared" si="265"/>
        <v>0</v>
      </c>
      <c r="J639" s="73" t="str">
        <f t="shared" si="266"/>
        <v>--</v>
      </c>
      <c r="K639" s="32"/>
      <c r="L639" s="233"/>
      <c r="M639" s="278"/>
      <c r="N639" s="278"/>
      <c r="O639" s="278"/>
      <c r="P639" s="278"/>
      <c r="Q639" s="278"/>
      <c r="R639" s="278"/>
      <c r="S639" s="278"/>
      <c r="T639" s="278"/>
      <c r="U639" s="27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 thickBot="1" x14ac:dyDescent="0.35">
      <c r="A640" s="88"/>
      <c r="B640" s="66" t="s">
        <v>297</v>
      </c>
      <c r="C640" s="67"/>
      <c r="D640" s="102"/>
      <c r="E640" s="32"/>
      <c r="F640" s="32"/>
      <c r="G640" s="68" t="s">
        <v>285</v>
      </c>
      <c r="H640" s="69">
        <f t="shared" si="264"/>
        <v>0</v>
      </c>
      <c r="I640" s="70">
        <f t="shared" si="265"/>
        <v>0</v>
      </c>
      <c r="J640" s="73" t="str">
        <f t="shared" si="266"/>
        <v>--</v>
      </c>
      <c r="K640" s="32"/>
      <c r="L640" s="233"/>
      <c r="M640" s="278"/>
      <c r="N640" s="278"/>
      <c r="O640" s="278"/>
      <c r="P640" s="278"/>
      <c r="Q640" s="278"/>
      <c r="R640" s="278"/>
      <c r="S640" s="278"/>
      <c r="T640" s="278"/>
      <c r="U640" s="27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 thickBot="1" x14ac:dyDescent="0.35">
      <c r="A641" s="88"/>
      <c r="B641" s="66" t="s">
        <v>298</v>
      </c>
      <c r="C641" s="67"/>
      <c r="D641" s="102"/>
      <c r="E641" s="32"/>
      <c r="F641" s="32"/>
      <c r="G641" s="68" t="s">
        <v>285</v>
      </c>
      <c r="H641" s="69">
        <f t="shared" si="264"/>
        <v>0</v>
      </c>
      <c r="I641" s="70">
        <f t="shared" si="265"/>
        <v>0</v>
      </c>
      <c r="J641" s="73" t="str">
        <f t="shared" si="266"/>
        <v>--</v>
      </c>
      <c r="K641" s="32"/>
      <c r="L641" s="233"/>
      <c r="M641" s="278"/>
      <c r="N641" s="278"/>
      <c r="O641" s="278"/>
      <c r="P641" s="278"/>
      <c r="Q641" s="278"/>
      <c r="R641" s="278"/>
      <c r="S641" s="278"/>
      <c r="T641" s="278"/>
      <c r="U641" s="27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 thickBot="1" x14ac:dyDescent="0.35">
      <c r="A642" s="88"/>
      <c r="B642" s="66" t="s">
        <v>299</v>
      </c>
      <c r="C642" s="67"/>
      <c r="D642" s="102"/>
      <c r="E642" s="32"/>
      <c r="F642" s="32"/>
      <c r="G642" s="68" t="s">
        <v>285</v>
      </c>
      <c r="H642" s="69">
        <f t="shared" si="264"/>
        <v>0</v>
      </c>
      <c r="I642" s="70">
        <f t="shared" si="265"/>
        <v>0</v>
      </c>
      <c r="J642" s="73" t="str">
        <f t="shared" si="266"/>
        <v>--</v>
      </c>
      <c r="K642" s="32"/>
      <c r="L642" s="233"/>
      <c r="M642" s="278"/>
      <c r="N642" s="278"/>
      <c r="O642" s="278"/>
      <c r="P642" s="278"/>
      <c r="Q642" s="278"/>
      <c r="R642" s="278"/>
      <c r="S642" s="278"/>
      <c r="T642" s="278"/>
      <c r="U642" s="27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 thickBot="1" x14ac:dyDescent="0.35">
      <c r="A643" s="88"/>
      <c r="B643" s="66" t="s">
        <v>300</v>
      </c>
      <c r="C643" s="67"/>
      <c r="D643" s="102"/>
      <c r="E643" s="32"/>
      <c r="F643" s="32"/>
      <c r="G643" s="68" t="s">
        <v>285</v>
      </c>
      <c r="H643" s="69">
        <f t="shared" si="264"/>
        <v>0</v>
      </c>
      <c r="I643" s="70">
        <f t="shared" si="265"/>
        <v>0</v>
      </c>
      <c r="J643" s="73" t="str">
        <f t="shared" si="266"/>
        <v>--</v>
      </c>
      <c r="K643" s="32"/>
      <c r="L643" s="233"/>
      <c r="M643" s="278"/>
      <c r="N643" s="278"/>
      <c r="O643" s="278"/>
      <c r="P643" s="278"/>
      <c r="Q643" s="278"/>
      <c r="R643" s="278"/>
      <c r="S643" s="278"/>
      <c r="T643" s="278"/>
      <c r="U643" s="279"/>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 thickBot="1" x14ac:dyDescent="0.35">
      <c r="A644" s="88"/>
      <c r="B644" s="66" t="s">
        <v>301</v>
      </c>
      <c r="C644" s="67"/>
      <c r="D644" s="102"/>
      <c r="E644" s="32"/>
      <c r="F644" s="32"/>
      <c r="G644" s="68" t="s">
        <v>285</v>
      </c>
      <c r="H644" s="69">
        <f t="shared" si="264"/>
        <v>0</v>
      </c>
      <c r="I644" s="70">
        <f t="shared" si="265"/>
        <v>0</v>
      </c>
      <c r="J644" s="73" t="str">
        <f t="shared" si="266"/>
        <v>--</v>
      </c>
      <c r="K644" s="32"/>
      <c r="L644" s="233"/>
      <c r="M644" s="278"/>
      <c r="N644" s="278"/>
      <c r="O644" s="278"/>
      <c r="P644" s="278"/>
      <c r="Q644" s="278"/>
      <c r="R644" s="278"/>
      <c r="S644" s="278"/>
      <c r="T644" s="278"/>
      <c r="U644" s="279"/>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 thickBot="1" x14ac:dyDescent="0.35">
      <c r="A645" s="88"/>
      <c r="B645" s="66" t="s">
        <v>302</v>
      </c>
      <c r="C645" s="67"/>
      <c r="D645" s="102"/>
      <c r="E645" s="32"/>
      <c r="F645" s="32"/>
      <c r="G645" s="68" t="s">
        <v>285</v>
      </c>
      <c r="H645" s="69">
        <f t="shared" si="264"/>
        <v>0</v>
      </c>
      <c r="I645" s="70">
        <f t="shared" si="265"/>
        <v>0</v>
      </c>
      <c r="J645" s="73" t="str">
        <f t="shared" si="266"/>
        <v>--</v>
      </c>
      <c r="K645" s="32"/>
      <c r="L645" s="233"/>
      <c r="M645" s="278"/>
      <c r="N645" s="278"/>
      <c r="O645" s="278"/>
      <c r="P645" s="278"/>
      <c r="Q645" s="278"/>
      <c r="R645" s="278"/>
      <c r="S645" s="278"/>
      <c r="T645" s="278"/>
      <c r="U645" s="279"/>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 thickBot="1" x14ac:dyDescent="0.35">
      <c r="A646" s="88"/>
      <c r="B646" s="66" t="s">
        <v>303</v>
      </c>
      <c r="C646" s="67"/>
      <c r="D646" s="102"/>
      <c r="E646" s="32"/>
      <c r="F646" s="32"/>
      <c r="G646" s="68" t="s">
        <v>285</v>
      </c>
      <c r="H646" s="69">
        <f t="shared" si="264"/>
        <v>0</v>
      </c>
      <c r="I646" s="70">
        <f t="shared" si="265"/>
        <v>0</v>
      </c>
      <c r="J646" s="73" t="str">
        <f t="shared" si="266"/>
        <v>--</v>
      </c>
      <c r="K646" s="32"/>
      <c r="L646" s="233"/>
      <c r="M646" s="278"/>
      <c r="N646" s="278"/>
      <c r="O646" s="278"/>
      <c r="P646" s="278"/>
      <c r="Q646" s="278"/>
      <c r="R646" s="278"/>
      <c r="S646" s="278"/>
      <c r="T646" s="278"/>
      <c r="U646" s="279"/>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 thickBot="1" x14ac:dyDescent="0.35">
      <c r="A647" s="88"/>
      <c r="B647" s="66" t="s">
        <v>304</v>
      </c>
      <c r="C647" s="67"/>
      <c r="D647" s="102"/>
      <c r="E647" s="32"/>
      <c r="F647" s="32"/>
      <c r="G647" s="68" t="s">
        <v>285</v>
      </c>
      <c r="H647" s="69">
        <f t="shared" si="264"/>
        <v>0</v>
      </c>
      <c r="I647" s="70">
        <f t="shared" si="265"/>
        <v>0</v>
      </c>
      <c r="J647" s="73" t="str">
        <f t="shared" si="266"/>
        <v>--</v>
      </c>
      <c r="K647" s="32"/>
      <c r="L647" s="233"/>
      <c r="M647" s="278"/>
      <c r="N647" s="278"/>
      <c r="O647" s="278"/>
      <c r="P647" s="278"/>
      <c r="Q647" s="278"/>
      <c r="R647" s="278"/>
      <c r="S647" s="278"/>
      <c r="T647" s="278"/>
      <c r="U647" s="279"/>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 thickBot="1" x14ac:dyDescent="0.35">
      <c r="A648" s="88"/>
      <c r="B648" s="66" t="s">
        <v>305</v>
      </c>
      <c r="C648" s="67"/>
      <c r="D648" s="102"/>
      <c r="E648" s="32"/>
      <c r="F648" s="32"/>
      <c r="G648" s="68" t="s">
        <v>285</v>
      </c>
      <c r="H648" s="69">
        <f t="shared" si="264"/>
        <v>0</v>
      </c>
      <c r="I648" s="70">
        <f t="shared" si="265"/>
        <v>0</v>
      </c>
      <c r="J648" s="73" t="str">
        <f t="shared" si="266"/>
        <v>--</v>
      </c>
      <c r="K648" s="32"/>
      <c r="L648" s="233"/>
      <c r="M648" s="278"/>
      <c r="N648" s="278"/>
      <c r="O648" s="278"/>
      <c r="P648" s="278"/>
      <c r="Q648" s="278"/>
      <c r="R648" s="278"/>
      <c r="S648" s="278"/>
      <c r="T648" s="278"/>
      <c r="U648" s="279"/>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 thickBot="1" x14ac:dyDescent="0.35">
      <c r="A649" s="88"/>
      <c r="B649" s="66" t="s">
        <v>306</v>
      </c>
      <c r="C649" s="67"/>
      <c r="D649" s="102"/>
      <c r="E649" s="32"/>
      <c r="F649" s="32"/>
      <c r="G649" s="68" t="s">
        <v>285</v>
      </c>
      <c r="H649" s="69">
        <f t="shared" si="264"/>
        <v>0</v>
      </c>
      <c r="I649" s="70">
        <f t="shared" si="265"/>
        <v>0</v>
      </c>
      <c r="J649" s="73" t="str">
        <f t="shared" si="266"/>
        <v>--</v>
      </c>
      <c r="K649" s="32"/>
      <c r="L649" s="233"/>
      <c r="M649" s="278"/>
      <c r="N649" s="278"/>
      <c r="O649" s="278"/>
      <c r="P649" s="278"/>
      <c r="Q649" s="278"/>
      <c r="R649" s="278"/>
      <c r="S649" s="278"/>
      <c r="T649" s="278"/>
      <c r="U649" s="279"/>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 thickBot="1" x14ac:dyDescent="0.35">
      <c r="A650" s="88"/>
      <c r="B650" s="66" t="s">
        <v>307</v>
      </c>
      <c r="C650" s="67"/>
      <c r="D650" s="102"/>
      <c r="E650" s="32"/>
      <c r="F650" s="32"/>
      <c r="G650" s="68" t="s">
        <v>285</v>
      </c>
      <c r="H650" s="69">
        <f t="shared" si="264"/>
        <v>0</v>
      </c>
      <c r="I650" s="70">
        <f t="shared" si="265"/>
        <v>0</v>
      </c>
      <c r="J650" s="73" t="str">
        <f t="shared" si="266"/>
        <v>--</v>
      </c>
      <c r="K650" s="32"/>
      <c r="L650" s="233"/>
      <c r="M650" s="278"/>
      <c r="N650" s="278"/>
      <c r="O650" s="278"/>
      <c r="P650" s="278"/>
      <c r="Q650" s="278"/>
      <c r="R650" s="278"/>
      <c r="S650" s="278"/>
      <c r="T650" s="278"/>
      <c r="U650" s="279"/>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 thickBot="1" x14ac:dyDescent="0.35">
      <c r="A651" s="88"/>
      <c r="B651" s="66" t="s">
        <v>308</v>
      </c>
      <c r="C651" s="67"/>
      <c r="D651" s="102"/>
      <c r="E651" s="32"/>
      <c r="F651" s="32"/>
      <c r="G651" s="68" t="s">
        <v>285</v>
      </c>
      <c r="H651" s="69">
        <f t="shared" si="264"/>
        <v>0</v>
      </c>
      <c r="I651" s="70">
        <f t="shared" si="265"/>
        <v>0</v>
      </c>
      <c r="J651" s="73" t="str">
        <f t="shared" si="266"/>
        <v>--</v>
      </c>
      <c r="K651" s="32"/>
      <c r="L651" s="233"/>
      <c r="M651" s="278"/>
      <c r="N651" s="278"/>
      <c r="O651" s="278"/>
      <c r="P651" s="278"/>
      <c r="Q651" s="278"/>
      <c r="R651" s="278"/>
      <c r="S651" s="278"/>
      <c r="T651" s="278"/>
      <c r="U651" s="279"/>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 thickBot="1" x14ac:dyDescent="0.35">
      <c r="A652" s="88"/>
      <c r="B652" s="66" t="s">
        <v>309</v>
      </c>
      <c r="C652" s="67"/>
      <c r="D652" s="102"/>
      <c r="E652" s="32"/>
      <c r="F652" s="32"/>
      <c r="G652" s="68" t="s">
        <v>285</v>
      </c>
      <c r="H652" s="69">
        <f t="shared" si="264"/>
        <v>0</v>
      </c>
      <c r="I652" s="70">
        <f t="shared" si="265"/>
        <v>0</v>
      </c>
      <c r="J652" s="73" t="str">
        <f t="shared" si="266"/>
        <v>--</v>
      </c>
      <c r="K652" s="32"/>
      <c r="L652" s="233"/>
      <c r="M652" s="278"/>
      <c r="N652" s="278"/>
      <c r="O652" s="278"/>
      <c r="P652" s="278"/>
      <c r="Q652" s="278"/>
      <c r="R652" s="278"/>
      <c r="S652" s="278"/>
      <c r="T652" s="278"/>
      <c r="U652" s="279"/>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 thickBot="1" x14ac:dyDescent="0.35">
      <c r="A653" s="88"/>
      <c r="B653" s="66" t="s">
        <v>310</v>
      </c>
      <c r="C653" s="67"/>
      <c r="D653" s="102"/>
      <c r="E653" s="32"/>
      <c r="F653" s="32"/>
      <c r="G653" s="68" t="s">
        <v>285</v>
      </c>
      <c r="H653" s="69">
        <f t="shared" si="264"/>
        <v>0</v>
      </c>
      <c r="I653" s="70">
        <f t="shared" si="265"/>
        <v>0</v>
      </c>
      <c r="J653" s="73" t="str">
        <f t="shared" si="266"/>
        <v>--</v>
      </c>
      <c r="K653" s="32"/>
      <c r="L653" s="233"/>
      <c r="M653" s="278"/>
      <c r="N653" s="278"/>
      <c r="O653" s="278"/>
      <c r="P653" s="278"/>
      <c r="Q653" s="278"/>
      <c r="R653" s="278"/>
      <c r="S653" s="278"/>
      <c r="T653" s="278"/>
      <c r="U653" s="279"/>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 thickBot="1" x14ac:dyDescent="0.35">
      <c r="A654" s="88"/>
      <c r="B654" s="66" t="s">
        <v>311</v>
      </c>
      <c r="C654" s="67"/>
      <c r="D654" s="102"/>
      <c r="E654" s="32"/>
      <c r="F654" s="32"/>
      <c r="G654" s="68" t="s">
        <v>285</v>
      </c>
      <c r="H654" s="69">
        <f t="shared" si="264"/>
        <v>0</v>
      </c>
      <c r="I654" s="70">
        <f t="shared" si="265"/>
        <v>0</v>
      </c>
      <c r="J654" s="73" t="str">
        <f t="shared" si="266"/>
        <v>--</v>
      </c>
      <c r="K654" s="32"/>
      <c r="L654" s="233"/>
      <c r="M654" s="278"/>
      <c r="N654" s="278"/>
      <c r="O654" s="278"/>
      <c r="P654" s="278"/>
      <c r="Q654" s="278"/>
      <c r="R654" s="278"/>
      <c r="S654" s="278"/>
      <c r="T654" s="278"/>
      <c r="U654" s="279"/>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 thickBot="1" x14ac:dyDescent="0.35">
      <c r="A655" s="88"/>
      <c r="B655" s="66" t="s">
        <v>312</v>
      </c>
      <c r="C655" s="67"/>
      <c r="D655" s="102"/>
      <c r="E655" s="32"/>
      <c r="F655" s="32"/>
      <c r="G655" s="68" t="s">
        <v>285</v>
      </c>
      <c r="H655" s="69">
        <f t="shared" si="264"/>
        <v>0</v>
      </c>
      <c r="I655" s="70">
        <f t="shared" si="265"/>
        <v>0</v>
      </c>
      <c r="J655" s="73" t="str">
        <f t="shared" si="266"/>
        <v>--</v>
      </c>
      <c r="K655" s="32"/>
      <c r="L655" s="233"/>
      <c r="M655" s="278"/>
      <c r="N655" s="278"/>
      <c r="O655" s="278"/>
      <c r="P655" s="278"/>
      <c r="Q655" s="278"/>
      <c r="R655" s="278"/>
      <c r="S655" s="278"/>
      <c r="T655" s="278"/>
      <c r="U655" s="279"/>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 thickBot="1" x14ac:dyDescent="0.35">
      <c r="A656" s="88"/>
      <c r="B656" s="66" t="s">
        <v>313</v>
      </c>
      <c r="C656" s="67"/>
      <c r="D656" s="102"/>
      <c r="E656" s="32"/>
      <c r="F656" s="32"/>
      <c r="G656" s="68" t="s">
        <v>285</v>
      </c>
      <c r="H656" s="69">
        <f t="shared" si="264"/>
        <v>0</v>
      </c>
      <c r="I656" s="70">
        <f t="shared" si="265"/>
        <v>0</v>
      </c>
      <c r="J656" s="73" t="str">
        <f t="shared" si="266"/>
        <v>--</v>
      </c>
      <c r="K656" s="32"/>
      <c r="L656" s="234"/>
      <c r="M656" s="278"/>
      <c r="N656" s="278"/>
      <c r="O656" s="278"/>
      <c r="P656" s="278"/>
      <c r="Q656" s="278"/>
      <c r="R656" s="278"/>
      <c r="S656" s="278"/>
      <c r="T656" s="278"/>
      <c r="U656" s="279"/>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2" thickBot="1" x14ac:dyDescent="0.35">
      <c r="A657" s="88"/>
      <c r="B657" s="319" t="s">
        <v>406</v>
      </c>
      <c r="C657" s="320"/>
      <c r="D657" s="79"/>
      <c r="E657" s="80"/>
      <c r="F657" s="80"/>
      <c r="G657" s="81"/>
      <c r="H657" s="192"/>
      <c r="I657" s="192"/>
      <c r="J657" s="192"/>
      <c r="K657" s="82"/>
      <c r="L657" s="319" t="s">
        <v>319</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2" thickBot="1" x14ac:dyDescent="0.35">
      <c r="A658" s="88"/>
      <c r="B658" s="319" t="s">
        <v>320</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3">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 thickBot="1" x14ac:dyDescent="0.35">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5">
      <c r="A661" s="88"/>
      <c r="B661" s="85" t="s">
        <v>407</v>
      </c>
      <c r="C661" s="25"/>
      <c r="D661" s="25"/>
      <c r="E661" s="25"/>
      <c r="F661" s="88"/>
      <c r="G661" s="25"/>
      <c r="H661" s="25"/>
      <c r="I661" s="87"/>
      <c r="J661" s="26"/>
      <c r="K661" s="25"/>
      <c r="L661" s="25"/>
      <c r="M661" s="196" t="s">
        <v>217</v>
      </c>
      <c r="N661" s="196" t="s">
        <v>218</v>
      </c>
      <c r="O661" s="196" t="s">
        <v>219</v>
      </c>
      <c r="P661" s="196" t="s">
        <v>220</v>
      </c>
      <c r="Q661" s="196" t="s">
        <v>221</v>
      </c>
      <c r="R661" s="196" t="s">
        <v>222</v>
      </c>
      <c r="S661" s="196" t="s">
        <v>223</v>
      </c>
      <c r="T661" s="196" t="s">
        <v>224</v>
      </c>
      <c r="U661" s="196" t="s">
        <v>225</v>
      </c>
      <c r="V661" s="196" t="s">
        <v>226</v>
      </c>
      <c r="W661" s="113" t="s">
        <v>227</v>
      </c>
      <c r="X661" s="196" t="s">
        <v>228</v>
      </c>
      <c r="Y661" s="25"/>
      <c r="Z661" s="25"/>
      <c r="AA661" s="25"/>
      <c r="AB661" s="25"/>
      <c r="AC661" s="25"/>
      <c r="AD661" s="25"/>
      <c r="BA661" s="226"/>
    </row>
    <row r="662" spans="1:53" ht="15.6" thickTop="1" thickBot="1" x14ac:dyDescent="0.35">
      <c r="A662" s="88"/>
      <c r="B662" s="312" t="s">
        <v>229</v>
      </c>
      <c r="C662" s="313"/>
      <c r="D662" s="314" t="s">
        <v>230</v>
      </c>
      <c r="E662" s="305"/>
      <c r="F662" s="88"/>
      <c r="G662" s="315" t="s">
        <v>231</v>
      </c>
      <c r="H662" s="316"/>
      <c r="I662" s="28">
        <f>SUM(E673:E697)</f>
        <v>36</v>
      </c>
      <c r="J662" s="317" t="s">
        <v>232</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233</v>
      </c>
      <c r="AA662" s="296"/>
      <c r="AB662" s="297"/>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234</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5">
      <c r="A663" s="88"/>
      <c r="B663" s="29" t="s">
        <v>235</v>
      </c>
      <c r="C663" s="30">
        <v>0</v>
      </c>
      <c r="D663" s="31" t="s">
        <v>236</v>
      </c>
      <c r="E663" s="66" t="str">
        <f>TEXT(IF('Cable Calculator'!CF7="","",'Cable Calculator'!CF7),)</f>
        <v/>
      </c>
      <c r="F663" s="88"/>
      <c r="G663" s="304" t="s">
        <v>237</v>
      </c>
      <c r="H663" s="305"/>
      <c r="I663" s="33">
        <f>E664-I662</f>
        <v>12</v>
      </c>
      <c r="J663" s="289" t="s">
        <v>238</v>
      </c>
      <c r="K663" s="290"/>
      <c r="L663" s="34">
        <f>I667</f>
        <v>181</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8" t="s">
        <v>239</v>
      </c>
      <c r="AA663" s="300" t="s">
        <v>240</v>
      </c>
      <c r="AB663" s="301"/>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241</v>
      </c>
      <c r="AU663" s="109">
        <f>COUNTIFS($E663,"SS",$AS663,"Y")</f>
        <v>0</v>
      </c>
      <c r="AV663" s="111">
        <f>COUNTIFS($E663,"RPX",$AS663,"Y")</f>
        <v>0</v>
      </c>
      <c r="AW663" s="111">
        <f>COUNTIFS($E663,"EUC",$AS663,"Y")</f>
        <v>0</v>
      </c>
      <c r="AX663" s="109">
        <f>COUNTIFS($E663,"RPX-T",$AS663,"Y")</f>
        <v>0</v>
      </c>
      <c r="BA663" s="227"/>
    </row>
    <row r="664" spans="1:53" ht="15.6" thickTop="1" thickBot="1" x14ac:dyDescent="0.35">
      <c r="A664" s="88"/>
      <c r="B664" s="36" t="s">
        <v>242</v>
      </c>
      <c r="C664" s="37">
        <v>0</v>
      </c>
      <c r="D664" s="38" t="s">
        <v>243</v>
      </c>
      <c r="E664" s="32">
        <v>48</v>
      </c>
      <c r="F664" s="88"/>
      <c r="G664" s="291" t="s">
        <v>244</v>
      </c>
      <c r="H664" s="292"/>
      <c r="I664" s="35">
        <f>IF(E664=0,0,12-(MOD(I662,12)))</f>
        <v>12</v>
      </c>
      <c r="J664" s="289" t="s">
        <v>245</v>
      </c>
      <c r="K664" s="290"/>
      <c r="L664" s="39">
        <f>I668-I662</f>
        <v>180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246</v>
      </c>
      <c r="AU664" s="109">
        <f>COUNTIFS($E663,"SS",$AS664,"Y")</f>
        <v>0</v>
      </c>
      <c r="AV664" s="108">
        <f>COUNTIFS($E663,"RPX",$AS664,"Y")</f>
        <v>0</v>
      </c>
      <c r="AW664" s="108">
        <f>COUNTIFS($E663,"EUC",$AS664,"Y")</f>
        <v>0</v>
      </c>
      <c r="AX664" s="109">
        <f>COUNTIFS($E663,"RPX-T",$AS664,"Y")</f>
        <v>0</v>
      </c>
      <c r="BA664" s="227"/>
    </row>
    <row r="665" spans="1:53" ht="16.5" customHeight="1" thickTop="1" thickBot="1" x14ac:dyDescent="0.35">
      <c r="A665" s="88"/>
      <c r="B665" s="40" t="s">
        <v>247</v>
      </c>
      <c r="C665" s="30">
        <v>0</v>
      </c>
      <c r="D665" s="41" t="s">
        <v>248</v>
      </c>
      <c r="E665" s="42">
        <v>12</v>
      </c>
      <c r="F665" s="88"/>
      <c r="G665" s="321" t="s">
        <v>249</v>
      </c>
      <c r="H665" s="43" t="s">
        <v>250</v>
      </c>
      <c r="I665" s="35">
        <f>IF(E665&lt;&gt;0,1,0)</f>
        <v>1</v>
      </c>
      <c r="J665" s="291" t="s">
        <v>251</v>
      </c>
      <c r="K665" s="292"/>
      <c r="L665" s="44">
        <f>'Cable Calculator'!CF3</f>
        <v>602</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252</v>
      </c>
      <c r="AU665" s="109">
        <f>COUNTIFS($E663,"SS",$AS665,"Y")</f>
        <v>0</v>
      </c>
      <c r="AV665" s="108">
        <f>COUNTIFS($E663,"RPX",$AS665,"Y")</f>
        <v>0</v>
      </c>
      <c r="AW665" s="108">
        <f>COUNTIFS($E663,"EUC",$AS665,"Y")</f>
        <v>0</v>
      </c>
      <c r="AX665" s="109">
        <f>COUNTIFS($E663,"RPX-T",$AS665,"Y")</f>
        <v>0</v>
      </c>
      <c r="BA665" s="227"/>
    </row>
    <row r="666" spans="1:53" ht="15.6" thickTop="1" thickBot="1" x14ac:dyDescent="0.35">
      <c r="A666" s="88"/>
      <c r="B666" s="29" t="s">
        <v>253</v>
      </c>
      <c r="C666" s="37">
        <v>0</v>
      </c>
      <c r="D666" s="41" t="s">
        <v>254</v>
      </c>
      <c r="E666" s="42">
        <v>181</v>
      </c>
      <c r="F666" s="88"/>
      <c r="G666" s="322"/>
      <c r="H666" s="47" t="s">
        <v>255</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5">
      <c r="A667" s="88"/>
      <c r="B667" s="36" t="s">
        <v>256</v>
      </c>
      <c r="C667" s="30">
        <v>0</v>
      </c>
      <c r="D667" s="49" t="s">
        <v>257</v>
      </c>
      <c r="E667" s="50">
        <f>E664/12</f>
        <v>4</v>
      </c>
      <c r="F667" s="88"/>
      <c r="G667" s="321" t="s">
        <v>258</v>
      </c>
      <c r="H667" s="51" t="s">
        <v>259</v>
      </c>
      <c r="I667" s="112">
        <f>E666</f>
        <v>181</v>
      </c>
      <c r="J667" s="323" t="s">
        <v>260</v>
      </c>
      <c r="K667" s="324"/>
      <c r="L667" s="325"/>
      <c r="M667" s="52" t="s">
        <v>261</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5.6" thickTop="1" thickBot="1" x14ac:dyDescent="0.35">
      <c r="A668" s="88"/>
      <c r="B668" s="36" t="s">
        <v>262</v>
      </c>
      <c r="C668" s="30">
        <v>0</v>
      </c>
      <c r="D668" s="31" t="s">
        <v>263</v>
      </c>
      <c r="E668" s="101" t="str">
        <f>IF('Cable Calculator'!CF5="","",'Cable Calculator'!CF5)</f>
        <v>N</v>
      </c>
      <c r="F668" s="88"/>
      <c r="G668" s="322"/>
      <c r="H668" s="47" t="s">
        <v>264</v>
      </c>
      <c r="I668" s="35">
        <f>IF(E666="","0",IF(AND(E663="EUC",E664=432), I667+(203-E665),IF(E666=0,0,(E666+(E664-E665)-1))))</f>
        <v>216</v>
      </c>
      <c r="J668" s="286" t="str">
        <f>IFERROR(IF(OR(E663="EUC",E663="SS"),"---",IF(OR(P662,S662),"NO 2F Tethers for RPX!",IF(OR(P664,S664),"NO 6F Tethers for RPX!","---"))),"---")</f>
        <v>---</v>
      </c>
      <c r="K668" s="287"/>
      <c r="L668" s="288"/>
      <c r="M668" s="286" t="str">
        <f>IF(E665&gt;60,"Dead Count &gt;60: Consider Downsize","---")</f>
        <v>---</v>
      </c>
      <c r="N668" s="287"/>
      <c r="O668" s="287"/>
      <c r="P668" s="287"/>
      <c r="Q668" s="287"/>
      <c r="R668" s="287"/>
      <c r="S668" s="287"/>
      <c r="T668" s="287"/>
      <c r="U668" s="288"/>
      <c r="V668" s="100"/>
      <c r="W668" s="54">
        <f>SUM(P668:U668)</f>
        <v>0</v>
      </c>
      <c r="X668" s="54"/>
      <c r="Y668" s="25"/>
      <c r="Z668" s="45">
        <v>4</v>
      </c>
      <c r="AA668" s="46">
        <v>37</v>
      </c>
      <c r="AB668" s="46">
        <v>48</v>
      </c>
      <c r="AC668" s="25"/>
      <c r="AD668" s="25"/>
      <c r="BA668" s="227"/>
    </row>
    <row r="669" spans="1:53" ht="15.6" thickTop="1" thickBot="1" x14ac:dyDescent="0.35">
      <c r="A669" s="88"/>
      <c r="B669" s="55" t="s">
        <v>265</v>
      </c>
      <c r="C669" s="56">
        <f>SUM(C663:C668)+I662</f>
        <v>36</v>
      </c>
      <c r="D669" s="31" t="s">
        <v>266</v>
      </c>
      <c r="E669" s="101" t="str">
        <f>IF(AS663="Y","DBL",IF(AS664="Y","TRPL",IF(AS665="Y","QUAD","")))</f>
        <v/>
      </c>
      <c r="F669" s="88"/>
      <c r="G669" s="192"/>
      <c r="H669" s="57"/>
      <c r="I669" s="192"/>
      <c r="J669" s="286"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7"/>
      <c r="L669" s="288"/>
      <c r="M669" s="286" t="str">
        <f>IF(AND(OR(E663="SS",E663="RPX",E663="EUC",E663="RPX-T"),(OR(C673="",C673="Field SPL"))),"Cannot have FlexNap cables without tethers","---")</f>
        <v>---</v>
      </c>
      <c r="N669" s="287"/>
      <c r="O669" s="287"/>
      <c r="P669" s="287"/>
      <c r="Q669" s="287"/>
      <c r="R669" s="287"/>
      <c r="S669" s="287"/>
      <c r="T669" s="287"/>
      <c r="U669" s="288"/>
      <c r="V669" s="25"/>
      <c r="W669" s="58"/>
      <c r="X669" s="58"/>
      <c r="Y669" s="25"/>
      <c r="Z669" s="45">
        <v>5</v>
      </c>
      <c r="AA669" s="46">
        <v>49</v>
      </c>
      <c r="AB669" s="46">
        <v>60</v>
      </c>
      <c r="AC669" s="25"/>
      <c r="AD669" s="25"/>
      <c r="BA669" s="227"/>
    </row>
    <row r="670" spans="1:53" ht="15.6" thickTop="1" thickBot="1" x14ac:dyDescent="0.35">
      <c r="A670" s="88"/>
      <c r="B670" s="59"/>
      <c r="C670" s="60"/>
      <c r="D670" s="61"/>
      <c r="E670" s="62"/>
      <c r="F670" s="88"/>
      <c r="G670" s="63"/>
      <c r="H670" s="64"/>
      <c r="I670" s="63"/>
      <c r="J670" s="286" t="str">
        <f>IF(AND(OR(E663="RPX", E663="RPX-T", E663="SS"),E664=216),"NO 216 For RPX, RPX-T, OR SS CABLE","---")</f>
        <v>---</v>
      </c>
      <c r="K670" s="287"/>
      <c r="L670" s="288"/>
      <c r="M670" s="286" t="str" cm="1">
        <f t="array" ref="M670">IF(AND(E663="",OR(C673:C697="FST",C673:C697="REV T",C673:C697="DBL REV",C673:C697="TPL REV", C673:C697="QD REV")),"Non-FlexNap cables cannot have tethers","---")</f>
        <v>---</v>
      </c>
      <c r="N670" s="287"/>
      <c r="O670" s="287"/>
      <c r="P670" s="287"/>
      <c r="Q670" s="287"/>
      <c r="R670" s="287"/>
      <c r="S670" s="287"/>
      <c r="T670" s="287"/>
      <c r="U670" s="288"/>
      <c r="V670" s="25"/>
      <c r="W670" s="58"/>
      <c r="X670" s="58"/>
      <c r="Y670" s="25"/>
      <c r="Z670" s="45">
        <v>6</v>
      </c>
      <c r="AA670" s="65">
        <v>61</v>
      </c>
      <c r="AB670" s="65">
        <v>72</v>
      </c>
      <c r="AC670" s="25"/>
      <c r="AD670" s="25"/>
      <c r="BA670" s="226"/>
    </row>
    <row r="671" spans="1:53" ht="15.75" customHeight="1" thickBot="1" x14ac:dyDescent="0.35">
      <c r="A671" s="88"/>
      <c r="B671" s="321" t="s">
        <v>267</v>
      </c>
      <c r="C671" s="293" t="s">
        <v>268</v>
      </c>
      <c r="D671" s="293" t="s">
        <v>269</v>
      </c>
      <c r="E671" s="306" t="s">
        <v>270</v>
      </c>
      <c r="F671" s="293" t="s">
        <v>271</v>
      </c>
      <c r="G671" s="308" t="s">
        <v>272</v>
      </c>
      <c r="H671" s="308" t="s">
        <v>273</v>
      </c>
      <c r="I671" s="308" t="s">
        <v>274</v>
      </c>
      <c r="J671" s="310" t="s">
        <v>275</v>
      </c>
      <c r="K671" s="293" t="s">
        <v>276</v>
      </c>
      <c r="L671" s="280" t="s">
        <v>277</v>
      </c>
      <c r="M671" s="282" t="s">
        <v>278</v>
      </c>
      <c r="N671" s="282"/>
      <c r="O671" s="282"/>
      <c r="P671" s="282"/>
      <c r="Q671" s="282"/>
      <c r="R671" s="282"/>
      <c r="S671" s="282"/>
      <c r="T671" s="282"/>
      <c r="U671" s="283"/>
      <c r="V671" s="107"/>
      <c r="W671" s="72"/>
      <c r="X671" s="72"/>
      <c r="Y671" s="72"/>
      <c r="Z671" s="45">
        <v>7</v>
      </c>
      <c r="AA671" s="65">
        <v>73</v>
      </c>
      <c r="AB671" s="65">
        <v>84</v>
      </c>
      <c r="AC671" s="25"/>
      <c r="AD671" s="25"/>
      <c r="BA671" s="228"/>
    </row>
    <row r="672" spans="1:53" ht="15" thickBot="1" x14ac:dyDescent="0.35">
      <c r="A672" s="88"/>
      <c r="B672" s="322"/>
      <c r="C672" s="294"/>
      <c r="D672" s="294"/>
      <c r="E672" s="307"/>
      <c r="F672" s="294"/>
      <c r="G672" s="309"/>
      <c r="H672" s="309"/>
      <c r="I672" s="309"/>
      <c r="J672" s="311"/>
      <c r="K672" s="294"/>
      <c r="L672" s="281"/>
      <c r="M672" s="284"/>
      <c r="N672" s="284"/>
      <c r="O672" s="284"/>
      <c r="P672" s="284"/>
      <c r="Q672" s="284"/>
      <c r="R672" s="284"/>
      <c r="S672" s="284"/>
      <c r="T672" s="284"/>
      <c r="U672" s="285"/>
      <c r="V672" s="107"/>
      <c r="W672" s="72"/>
      <c r="X672" s="72"/>
      <c r="Y672" s="72"/>
      <c r="Z672" s="45">
        <v>8</v>
      </c>
      <c r="AA672" s="46">
        <v>85</v>
      </c>
      <c r="AB672" s="46">
        <v>96</v>
      </c>
      <c r="AC672" s="25"/>
      <c r="AD672" s="25"/>
      <c r="AI672" s="109" t="s">
        <v>279</v>
      </c>
      <c r="AJ672" s="109" t="s">
        <v>280</v>
      </c>
      <c r="AK672" s="109" t="s">
        <v>281</v>
      </c>
      <c r="AL672" s="109" t="s">
        <v>282</v>
      </c>
      <c r="BA672" s="228"/>
    </row>
    <row r="673" spans="1:53" ht="15" thickBot="1" x14ac:dyDescent="0.35">
      <c r="A673" s="88"/>
      <c r="B673" s="66" t="s">
        <v>283</v>
      </c>
      <c r="C673" s="67" t="s">
        <v>284</v>
      </c>
      <c r="D673" s="102"/>
      <c r="E673" s="32">
        <v>36</v>
      </c>
      <c r="F673" s="32"/>
      <c r="G673" s="68" t="s">
        <v>285</v>
      </c>
      <c r="H673" s="69">
        <f>IF(I673=0,0,I673-(E673-1))</f>
        <v>181</v>
      </c>
      <c r="I673" s="70">
        <f>IF(E673=0,0,I668)</f>
        <v>216</v>
      </c>
      <c r="J673" s="71" t="s">
        <v>286</v>
      </c>
      <c r="K673" s="32"/>
      <c r="L673" s="233"/>
      <c r="M673" s="278" t="s">
        <v>331</v>
      </c>
      <c r="N673" s="278"/>
      <c r="O673" s="278"/>
      <c r="P673" s="278"/>
      <c r="Q673" s="278"/>
      <c r="R673" s="278"/>
      <c r="S673" s="278"/>
      <c r="T673" s="278"/>
      <c r="U673" s="279"/>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181-216</v>
      </c>
      <c r="AF673" s="109" t="str">
        <f t="shared" ref="AF673:AF697" si="275">IF(C673="Field SPL","N","Y")</f>
        <v>N</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 thickBot="1" x14ac:dyDescent="0.35">
      <c r="A674" s="88"/>
      <c r="B674" s="66" t="s">
        <v>288</v>
      </c>
      <c r="C674" s="67"/>
      <c r="D674" s="102"/>
      <c r="E674" s="32"/>
      <c r="F674" s="32"/>
      <c r="G674" s="68" t="s">
        <v>285</v>
      </c>
      <c r="H674" s="69">
        <f t="shared" ref="H674:H697" si="281">IF(E674=0,0,I674-(E674-1))</f>
        <v>0</v>
      </c>
      <c r="I674" s="70">
        <f t="shared" ref="I674:I697" si="282">IF(E674=0,0,H673-1)</f>
        <v>0</v>
      </c>
      <c r="J674" s="73" t="str">
        <f>IF(C674="","--",IF(AND(C674&lt;&gt;"FST",C674&lt;&gt;"TCF",BA673&lt;&gt;0),BA673,"--"))</f>
        <v>--</v>
      </c>
      <c r="K674" s="32"/>
      <c r="L674" s="233"/>
      <c r="M674" s="278"/>
      <c r="N674" s="278"/>
      <c r="O674" s="278"/>
      <c r="P674" s="278"/>
      <c r="Q674" s="278"/>
      <c r="R674" s="278"/>
      <c r="S674" s="278"/>
      <c r="T674" s="278"/>
      <c r="U674" s="279"/>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 thickBot="1" x14ac:dyDescent="0.35">
      <c r="A675" s="88"/>
      <c r="B675" s="74" t="s">
        <v>290</v>
      </c>
      <c r="C675" s="67"/>
      <c r="D675" s="102"/>
      <c r="E675" s="32"/>
      <c r="F675" s="32"/>
      <c r="G675" s="75" t="s">
        <v>285</v>
      </c>
      <c r="H675" s="69">
        <f t="shared" si="281"/>
        <v>0</v>
      </c>
      <c r="I675" s="70">
        <f t="shared" si="282"/>
        <v>0</v>
      </c>
      <c r="J675" s="73" t="str">
        <f t="shared" ref="J675:J697" si="283">IF(C675="","--",IF(AND(C675&lt;&gt;"FST",C675&lt;&gt;"TCF",BA674&lt;&gt;0),BA674,"--"))</f>
        <v>--</v>
      </c>
      <c r="K675" s="32"/>
      <c r="L675" s="233"/>
      <c r="M675" s="278"/>
      <c r="N675" s="278"/>
      <c r="O675" s="278"/>
      <c r="P675" s="278"/>
      <c r="Q675" s="278"/>
      <c r="R675" s="278"/>
      <c r="S675" s="278"/>
      <c r="T675" s="278"/>
      <c r="U675" s="279"/>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 thickBot="1" x14ac:dyDescent="0.35">
      <c r="A676" s="88"/>
      <c r="B676" s="66" t="s">
        <v>292</v>
      </c>
      <c r="C676" s="67"/>
      <c r="D676" s="102"/>
      <c r="E676" s="32"/>
      <c r="F676" s="32"/>
      <c r="G676" s="68" t="s">
        <v>285</v>
      </c>
      <c r="H676" s="69">
        <f t="shared" si="281"/>
        <v>0</v>
      </c>
      <c r="I676" s="70">
        <f t="shared" si="282"/>
        <v>0</v>
      </c>
      <c r="J676" s="73" t="str">
        <f t="shared" si="283"/>
        <v>--</v>
      </c>
      <c r="K676" s="32"/>
      <c r="L676" s="233"/>
      <c r="M676" s="278"/>
      <c r="N676" s="278"/>
      <c r="O676" s="278"/>
      <c r="P676" s="278"/>
      <c r="Q676" s="278"/>
      <c r="R676" s="278"/>
      <c r="S676" s="278"/>
      <c r="T676" s="278"/>
      <c r="U676" s="279"/>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 thickBot="1" x14ac:dyDescent="0.35">
      <c r="A677" s="88"/>
      <c r="B677" s="66" t="s">
        <v>293</v>
      </c>
      <c r="C677" s="67"/>
      <c r="D677" s="102"/>
      <c r="E677" s="32"/>
      <c r="F677" s="32"/>
      <c r="G677" s="68" t="s">
        <v>285</v>
      </c>
      <c r="H677" s="69">
        <f t="shared" si="281"/>
        <v>0</v>
      </c>
      <c r="I677" s="70">
        <f t="shared" si="282"/>
        <v>0</v>
      </c>
      <c r="J677" s="73" t="str">
        <f t="shared" si="283"/>
        <v>--</v>
      </c>
      <c r="K677" s="32"/>
      <c r="L677" s="233"/>
      <c r="M677" s="278"/>
      <c r="N677" s="278"/>
      <c r="O677" s="278"/>
      <c r="P677" s="278"/>
      <c r="Q677" s="278"/>
      <c r="R677" s="278"/>
      <c r="S677" s="278"/>
      <c r="T677" s="278"/>
      <c r="U677" s="279"/>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 thickBot="1" x14ac:dyDescent="0.35">
      <c r="A678" s="88"/>
      <c r="B678" s="66" t="s">
        <v>294</v>
      </c>
      <c r="C678" s="67"/>
      <c r="D678" s="102"/>
      <c r="E678" s="32"/>
      <c r="F678" s="32"/>
      <c r="G678" s="68" t="s">
        <v>285</v>
      </c>
      <c r="H678" s="69">
        <f t="shared" si="281"/>
        <v>0</v>
      </c>
      <c r="I678" s="70">
        <f t="shared" si="282"/>
        <v>0</v>
      </c>
      <c r="J678" s="73" t="str">
        <f t="shared" si="283"/>
        <v>--</v>
      </c>
      <c r="K678" s="32"/>
      <c r="L678" s="233"/>
      <c r="M678" s="278"/>
      <c r="N678" s="278"/>
      <c r="O678" s="278"/>
      <c r="P678" s="278"/>
      <c r="Q678" s="278"/>
      <c r="R678" s="278"/>
      <c r="S678" s="278"/>
      <c r="T678" s="278"/>
      <c r="U678" s="279"/>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 thickBot="1" x14ac:dyDescent="0.35">
      <c r="A679" s="88"/>
      <c r="B679" s="66" t="s">
        <v>295</v>
      </c>
      <c r="C679" s="67"/>
      <c r="D679" s="102"/>
      <c r="E679" s="32"/>
      <c r="F679" s="32"/>
      <c r="G679" s="68" t="s">
        <v>285</v>
      </c>
      <c r="H679" s="69">
        <f t="shared" si="281"/>
        <v>0</v>
      </c>
      <c r="I679" s="70">
        <f t="shared" si="282"/>
        <v>0</v>
      </c>
      <c r="J679" s="73" t="str">
        <f t="shared" si="283"/>
        <v>--</v>
      </c>
      <c r="K679" s="32"/>
      <c r="L679" s="233"/>
      <c r="M679" s="278"/>
      <c r="N679" s="278"/>
      <c r="O679" s="278"/>
      <c r="P679" s="278"/>
      <c r="Q679" s="278"/>
      <c r="R679" s="278"/>
      <c r="S679" s="278"/>
      <c r="T679" s="278"/>
      <c r="U679" s="27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 thickBot="1" x14ac:dyDescent="0.35">
      <c r="A680" s="88"/>
      <c r="B680" s="66" t="s">
        <v>296</v>
      </c>
      <c r="C680" s="67"/>
      <c r="D680" s="102"/>
      <c r="E680" s="32"/>
      <c r="F680" s="32"/>
      <c r="G680" s="68" t="s">
        <v>285</v>
      </c>
      <c r="H680" s="69">
        <f t="shared" si="281"/>
        <v>0</v>
      </c>
      <c r="I680" s="70">
        <f t="shared" si="282"/>
        <v>0</v>
      </c>
      <c r="J680" s="73" t="str">
        <f t="shared" si="283"/>
        <v>--</v>
      </c>
      <c r="K680" s="32"/>
      <c r="L680" s="233"/>
      <c r="M680" s="278"/>
      <c r="N680" s="278"/>
      <c r="O680" s="278"/>
      <c r="P680" s="278"/>
      <c r="Q680" s="278"/>
      <c r="R680" s="278"/>
      <c r="S680" s="278"/>
      <c r="T680" s="278"/>
      <c r="U680" s="27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 thickBot="1" x14ac:dyDescent="0.35">
      <c r="A681" s="88"/>
      <c r="B681" s="66" t="s">
        <v>297</v>
      </c>
      <c r="C681" s="67"/>
      <c r="D681" s="102"/>
      <c r="E681" s="32"/>
      <c r="F681" s="32"/>
      <c r="G681" s="68" t="s">
        <v>285</v>
      </c>
      <c r="H681" s="69">
        <f t="shared" si="281"/>
        <v>0</v>
      </c>
      <c r="I681" s="70">
        <f t="shared" si="282"/>
        <v>0</v>
      </c>
      <c r="J681" s="73" t="str">
        <f t="shared" si="283"/>
        <v>--</v>
      </c>
      <c r="K681" s="32"/>
      <c r="L681" s="233"/>
      <c r="M681" s="278"/>
      <c r="N681" s="278"/>
      <c r="O681" s="278"/>
      <c r="P681" s="278"/>
      <c r="Q681" s="278"/>
      <c r="R681" s="278"/>
      <c r="S681" s="278"/>
      <c r="T681" s="278"/>
      <c r="U681" s="27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 thickBot="1" x14ac:dyDescent="0.35">
      <c r="A682" s="88"/>
      <c r="B682" s="66" t="s">
        <v>298</v>
      </c>
      <c r="C682" s="67"/>
      <c r="D682" s="102"/>
      <c r="E682" s="32"/>
      <c r="F682" s="32"/>
      <c r="G682" s="68" t="s">
        <v>285</v>
      </c>
      <c r="H682" s="69">
        <f t="shared" si="281"/>
        <v>0</v>
      </c>
      <c r="I682" s="70">
        <f t="shared" si="282"/>
        <v>0</v>
      </c>
      <c r="J682" s="73" t="str">
        <f t="shared" si="283"/>
        <v>--</v>
      </c>
      <c r="K682" s="32"/>
      <c r="L682" s="233"/>
      <c r="M682" s="278"/>
      <c r="N682" s="278"/>
      <c r="O682" s="278"/>
      <c r="P682" s="278"/>
      <c r="Q682" s="278"/>
      <c r="R682" s="278"/>
      <c r="S682" s="278"/>
      <c r="T682" s="278"/>
      <c r="U682" s="27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 thickBot="1" x14ac:dyDescent="0.35">
      <c r="A683" s="88"/>
      <c r="B683" s="66" t="s">
        <v>299</v>
      </c>
      <c r="C683" s="67"/>
      <c r="D683" s="102"/>
      <c r="E683" s="32"/>
      <c r="F683" s="32"/>
      <c r="G683" s="68" t="s">
        <v>285</v>
      </c>
      <c r="H683" s="69">
        <f t="shared" si="281"/>
        <v>0</v>
      </c>
      <c r="I683" s="70">
        <f t="shared" si="282"/>
        <v>0</v>
      </c>
      <c r="J683" s="73" t="str">
        <f t="shared" si="283"/>
        <v>--</v>
      </c>
      <c r="K683" s="32"/>
      <c r="L683" s="233"/>
      <c r="M683" s="278"/>
      <c r="N683" s="278"/>
      <c r="O683" s="278"/>
      <c r="P683" s="278"/>
      <c r="Q683" s="278"/>
      <c r="R683" s="278"/>
      <c r="S683" s="278"/>
      <c r="T683" s="278"/>
      <c r="U683" s="279"/>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 thickBot="1" x14ac:dyDescent="0.35">
      <c r="A684" s="88"/>
      <c r="B684" s="66" t="s">
        <v>300</v>
      </c>
      <c r="C684" s="67"/>
      <c r="D684" s="102"/>
      <c r="E684" s="32"/>
      <c r="F684" s="32"/>
      <c r="G684" s="68" t="s">
        <v>285</v>
      </c>
      <c r="H684" s="69">
        <f t="shared" si="281"/>
        <v>0</v>
      </c>
      <c r="I684" s="70">
        <f t="shared" si="282"/>
        <v>0</v>
      </c>
      <c r="J684" s="73" t="str">
        <f t="shared" si="283"/>
        <v>--</v>
      </c>
      <c r="K684" s="32"/>
      <c r="L684" s="233"/>
      <c r="M684" s="278"/>
      <c r="N684" s="278"/>
      <c r="O684" s="278"/>
      <c r="P684" s="278"/>
      <c r="Q684" s="278"/>
      <c r="R684" s="278"/>
      <c r="S684" s="278"/>
      <c r="T684" s="278"/>
      <c r="U684" s="279"/>
      <c r="V684" s="103"/>
      <c r="W684" s="84">
        <f>Y684+1</f>
        <v>37</v>
      </c>
      <c r="X684" s="84"/>
      <c r="Y684" s="78">
        <f>SUM(E673:E684)</f>
        <v>36</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 thickBot="1" x14ac:dyDescent="0.35">
      <c r="A685" s="88"/>
      <c r="B685" s="66" t="s">
        <v>301</v>
      </c>
      <c r="C685" s="67"/>
      <c r="D685" s="102"/>
      <c r="E685" s="32"/>
      <c r="F685" s="32"/>
      <c r="G685" s="68" t="s">
        <v>285</v>
      </c>
      <c r="H685" s="69">
        <f t="shared" si="281"/>
        <v>0</v>
      </c>
      <c r="I685" s="70">
        <f t="shared" si="282"/>
        <v>0</v>
      </c>
      <c r="J685" s="73" t="str">
        <f t="shared" si="283"/>
        <v>--</v>
      </c>
      <c r="K685" s="32"/>
      <c r="L685" s="233"/>
      <c r="M685" s="278"/>
      <c r="N685" s="278"/>
      <c r="O685" s="278"/>
      <c r="P685" s="278"/>
      <c r="Q685" s="278"/>
      <c r="R685" s="278"/>
      <c r="S685" s="278"/>
      <c r="T685" s="278"/>
      <c r="U685" s="279"/>
      <c r="V685" s="103"/>
      <c r="W685" s="84">
        <f>Y685+1</f>
        <v>37</v>
      </c>
      <c r="X685" s="84"/>
      <c r="Y685" s="78">
        <f>SUM(E673:E685)</f>
        <v>36</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 thickBot="1" x14ac:dyDescent="0.35">
      <c r="A686" s="88"/>
      <c r="B686" s="66" t="s">
        <v>302</v>
      </c>
      <c r="C686" s="67"/>
      <c r="D686" s="102"/>
      <c r="E686" s="32"/>
      <c r="F686" s="32"/>
      <c r="G686" s="68" t="s">
        <v>285</v>
      </c>
      <c r="H686" s="69">
        <f t="shared" si="281"/>
        <v>0</v>
      </c>
      <c r="I686" s="70">
        <f t="shared" si="282"/>
        <v>0</v>
      </c>
      <c r="J686" s="73" t="str">
        <f t="shared" si="283"/>
        <v>--</v>
      </c>
      <c r="K686" s="32"/>
      <c r="L686" s="233"/>
      <c r="M686" s="278"/>
      <c r="N686" s="278"/>
      <c r="O686" s="278"/>
      <c r="P686" s="278"/>
      <c r="Q686" s="278"/>
      <c r="R686" s="278"/>
      <c r="S686" s="278"/>
      <c r="T686" s="278"/>
      <c r="U686" s="279"/>
      <c r="V686" s="103"/>
      <c r="W686" s="84">
        <f>Y686+1</f>
        <v>37</v>
      </c>
      <c r="X686" s="84"/>
      <c r="Y686" s="78">
        <f>SUM(E673:E686)</f>
        <v>36</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 thickBot="1" x14ac:dyDescent="0.35">
      <c r="A687" s="88"/>
      <c r="B687" s="66" t="s">
        <v>303</v>
      </c>
      <c r="C687" s="67"/>
      <c r="D687" s="102"/>
      <c r="E687" s="32"/>
      <c r="F687" s="32"/>
      <c r="G687" s="68" t="s">
        <v>285</v>
      </c>
      <c r="H687" s="69">
        <f t="shared" si="281"/>
        <v>0</v>
      </c>
      <c r="I687" s="70">
        <f t="shared" si="282"/>
        <v>0</v>
      </c>
      <c r="J687" s="73" t="str">
        <f t="shared" si="283"/>
        <v>--</v>
      </c>
      <c r="K687" s="32"/>
      <c r="L687" s="233"/>
      <c r="M687" s="278"/>
      <c r="N687" s="278"/>
      <c r="O687" s="278"/>
      <c r="P687" s="278"/>
      <c r="Q687" s="278"/>
      <c r="R687" s="278"/>
      <c r="S687" s="278"/>
      <c r="T687" s="278"/>
      <c r="U687" s="279"/>
      <c r="V687" s="103"/>
      <c r="W687" s="84">
        <f>Y687+1</f>
        <v>37</v>
      </c>
      <c r="X687" s="84"/>
      <c r="Y687" s="78">
        <f>SUM(E673:E687)</f>
        <v>36</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 thickBot="1" x14ac:dyDescent="0.35">
      <c r="A688" s="88"/>
      <c r="B688" s="66" t="s">
        <v>304</v>
      </c>
      <c r="C688" s="67"/>
      <c r="D688" s="102"/>
      <c r="E688" s="32"/>
      <c r="F688" s="32"/>
      <c r="G688" s="68" t="s">
        <v>285</v>
      </c>
      <c r="H688" s="69">
        <f t="shared" si="281"/>
        <v>0</v>
      </c>
      <c r="I688" s="70">
        <f t="shared" si="282"/>
        <v>0</v>
      </c>
      <c r="J688" s="73" t="str">
        <f t="shared" si="283"/>
        <v>--</v>
      </c>
      <c r="K688" s="32"/>
      <c r="L688" s="233"/>
      <c r="M688" s="278"/>
      <c r="N688" s="278"/>
      <c r="O688" s="278"/>
      <c r="P688" s="278"/>
      <c r="Q688" s="278"/>
      <c r="R688" s="278"/>
      <c r="S688" s="278"/>
      <c r="T688" s="278"/>
      <c r="U688" s="279"/>
      <c r="V688" s="103"/>
      <c r="W688" s="84">
        <f t="shared" ref="W688:W696" si="288">Y688+1</f>
        <v>37</v>
      </c>
      <c r="X688" s="84"/>
      <c r="Y688" s="78">
        <f>SUM(E673:E688)</f>
        <v>36</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 thickBot="1" x14ac:dyDescent="0.35">
      <c r="A689" s="88"/>
      <c r="B689" s="66" t="s">
        <v>305</v>
      </c>
      <c r="C689" s="67"/>
      <c r="D689" s="102"/>
      <c r="E689" s="32"/>
      <c r="F689" s="32"/>
      <c r="G689" s="68" t="s">
        <v>285</v>
      </c>
      <c r="H689" s="69">
        <f t="shared" si="281"/>
        <v>0</v>
      </c>
      <c r="I689" s="70">
        <f t="shared" si="282"/>
        <v>0</v>
      </c>
      <c r="J689" s="73" t="str">
        <f t="shared" si="283"/>
        <v>--</v>
      </c>
      <c r="K689" s="32"/>
      <c r="L689" s="233"/>
      <c r="M689" s="278"/>
      <c r="N689" s="278"/>
      <c r="O689" s="278"/>
      <c r="P689" s="278"/>
      <c r="Q689" s="278"/>
      <c r="R689" s="278"/>
      <c r="S689" s="278"/>
      <c r="T689" s="278"/>
      <c r="U689" s="279"/>
      <c r="V689" s="103"/>
      <c r="W689" s="84">
        <f t="shared" si="288"/>
        <v>37</v>
      </c>
      <c r="X689" s="84"/>
      <c r="Y689" s="78">
        <f>SUM(E673:E689)</f>
        <v>36</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 thickBot="1" x14ac:dyDescent="0.35">
      <c r="A690" s="88"/>
      <c r="B690" s="66" t="s">
        <v>306</v>
      </c>
      <c r="C690" s="67"/>
      <c r="D690" s="102"/>
      <c r="E690" s="32"/>
      <c r="F690" s="32"/>
      <c r="G690" s="68" t="s">
        <v>285</v>
      </c>
      <c r="H690" s="69">
        <f t="shared" si="281"/>
        <v>0</v>
      </c>
      <c r="I690" s="70">
        <f t="shared" si="282"/>
        <v>0</v>
      </c>
      <c r="J690" s="73" t="str">
        <f t="shared" si="283"/>
        <v>--</v>
      </c>
      <c r="K690" s="32"/>
      <c r="L690" s="233"/>
      <c r="M690" s="278"/>
      <c r="N690" s="278"/>
      <c r="O690" s="278"/>
      <c r="P690" s="278"/>
      <c r="Q690" s="278"/>
      <c r="R690" s="278"/>
      <c r="S690" s="278"/>
      <c r="T690" s="278"/>
      <c r="U690" s="279"/>
      <c r="V690" s="103"/>
      <c r="W690" s="84">
        <f t="shared" si="288"/>
        <v>37</v>
      </c>
      <c r="X690" s="84"/>
      <c r="Y690" s="78">
        <f>SUM(E673:E690)</f>
        <v>36</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 thickBot="1" x14ac:dyDescent="0.35">
      <c r="A691" s="88"/>
      <c r="B691" s="66" t="s">
        <v>307</v>
      </c>
      <c r="C691" s="67"/>
      <c r="D691" s="102"/>
      <c r="E691" s="32"/>
      <c r="F691" s="32"/>
      <c r="G691" s="68" t="s">
        <v>285</v>
      </c>
      <c r="H691" s="69">
        <f t="shared" si="281"/>
        <v>0</v>
      </c>
      <c r="I691" s="70">
        <f t="shared" si="282"/>
        <v>0</v>
      </c>
      <c r="J691" s="73" t="str">
        <f t="shared" si="283"/>
        <v>--</v>
      </c>
      <c r="K691" s="32"/>
      <c r="L691" s="233"/>
      <c r="M691" s="278"/>
      <c r="N691" s="278"/>
      <c r="O691" s="278"/>
      <c r="P691" s="278"/>
      <c r="Q691" s="278"/>
      <c r="R691" s="278"/>
      <c r="S691" s="278"/>
      <c r="T691" s="278"/>
      <c r="U691" s="279"/>
      <c r="V691" s="103"/>
      <c r="W691" s="84">
        <f t="shared" si="288"/>
        <v>37</v>
      </c>
      <c r="X691" s="84"/>
      <c r="Y691" s="78">
        <f>SUM(E673:E691)</f>
        <v>36</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 thickBot="1" x14ac:dyDescent="0.35">
      <c r="A692" s="88"/>
      <c r="B692" s="66" t="s">
        <v>308</v>
      </c>
      <c r="C692" s="67"/>
      <c r="D692" s="102"/>
      <c r="E692" s="32"/>
      <c r="F692" s="32"/>
      <c r="G692" s="68" t="s">
        <v>285</v>
      </c>
      <c r="H692" s="69">
        <f t="shared" si="281"/>
        <v>0</v>
      </c>
      <c r="I692" s="70">
        <f t="shared" si="282"/>
        <v>0</v>
      </c>
      <c r="J692" s="73" t="str">
        <f t="shared" si="283"/>
        <v>--</v>
      </c>
      <c r="K692" s="32"/>
      <c r="L692" s="233"/>
      <c r="M692" s="278"/>
      <c r="N692" s="278"/>
      <c r="O692" s="278"/>
      <c r="P692" s="278"/>
      <c r="Q692" s="278"/>
      <c r="R692" s="278"/>
      <c r="S692" s="278"/>
      <c r="T692" s="278"/>
      <c r="U692" s="279"/>
      <c r="V692" s="103"/>
      <c r="W692" s="84">
        <f t="shared" si="288"/>
        <v>37</v>
      </c>
      <c r="X692" s="84"/>
      <c r="Y692" s="78">
        <f>SUM(E673:E692)</f>
        <v>36</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 thickBot="1" x14ac:dyDescent="0.35">
      <c r="A693" s="88"/>
      <c r="B693" s="66" t="s">
        <v>309</v>
      </c>
      <c r="C693" s="67"/>
      <c r="D693" s="102"/>
      <c r="E693" s="32"/>
      <c r="F693" s="32"/>
      <c r="G693" s="68" t="s">
        <v>285</v>
      </c>
      <c r="H693" s="69">
        <f t="shared" si="281"/>
        <v>0</v>
      </c>
      <c r="I693" s="70">
        <f t="shared" si="282"/>
        <v>0</v>
      </c>
      <c r="J693" s="73" t="str">
        <f t="shared" si="283"/>
        <v>--</v>
      </c>
      <c r="K693" s="32"/>
      <c r="L693" s="233"/>
      <c r="M693" s="278"/>
      <c r="N693" s="278"/>
      <c r="O693" s="278"/>
      <c r="P693" s="278"/>
      <c r="Q693" s="278"/>
      <c r="R693" s="278"/>
      <c r="S693" s="278"/>
      <c r="T693" s="278"/>
      <c r="U693" s="279"/>
      <c r="V693" s="103"/>
      <c r="W693" s="84">
        <f t="shared" si="288"/>
        <v>37</v>
      </c>
      <c r="X693" s="84"/>
      <c r="Y693" s="78">
        <f>SUM(E673:E693)</f>
        <v>36</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 thickBot="1" x14ac:dyDescent="0.35">
      <c r="A694" s="88"/>
      <c r="B694" s="66" t="s">
        <v>310</v>
      </c>
      <c r="C694" s="67"/>
      <c r="D694" s="102"/>
      <c r="E694" s="32"/>
      <c r="F694" s="32"/>
      <c r="G694" s="68" t="s">
        <v>285</v>
      </c>
      <c r="H694" s="69">
        <f t="shared" si="281"/>
        <v>0</v>
      </c>
      <c r="I694" s="70">
        <f t="shared" si="282"/>
        <v>0</v>
      </c>
      <c r="J694" s="73" t="str">
        <f t="shared" si="283"/>
        <v>--</v>
      </c>
      <c r="K694" s="32"/>
      <c r="L694" s="233"/>
      <c r="M694" s="278"/>
      <c r="N694" s="278"/>
      <c r="O694" s="278"/>
      <c r="P694" s="278"/>
      <c r="Q694" s="278"/>
      <c r="R694" s="278"/>
      <c r="S694" s="278"/>
      <c r="T694" s="278"/>
      <c r="U694" s="279"/>
      <c r="V694" s="103"/>
      <c r="W694" s="84">
        <f t="shared" si="288"/>
        <v>37</v>
      </c>
      <c r="X694" s="84"/>
      <c r="Y694" s="78">
        <f>SUM(E673:E694)</f>
        <v>36</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 thickBot="1" x14ac:dyDescent="0.35">
      <c r="A695" s="88"/>
      <c r="B695" s="66" t="s">
        <v>311</v>
      </c>
      <c r="C695" s="67"/>
      <c r="D695" s="102"/>
      <c r="E695" s="32"/>
      <c r="F695" s="32"/>
      <c r="G695" s="68" t="s">
        <v>285</v>
      </c>
      <c r="H695" s="69">
        <f t="shared" si="281"/>
        <v>0</v>
      </c>
      <c r="I695" s="70">
        <f t="shared" si="282"/>
        <v>0</v>
      </c>
      <c r="J695" s="73" t="str">
        <f t="shared" si="283"/>
        <v>--</v>
      </c>
      <c r="K695" s="32"/>
      <c r="L695" s="233"/>
      <c r="M695" s="278"/>
      <c r="N695" s="278"/>
      <c r="O695" s="278"/>
      <c r="P695" s="278"/>
      <c r="Q695" s="278"/>
      <c r="R695" s="278"/>
      <c r="S695" s="278"/>
      <c r="T695" s="278"/>
      <c r="U695" s="279"/>
      <c r="V695" s="103"/>
      <c r="W695" s="84">
        <f t="shared" si="288"/>
        <v>37</v>
      </c>
      <c r="X695" s="84"/>
      <c r="Y695" s="78">
        <f>SUM(E673:E695)</f>
        <v>36</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 thickBot="1" x14ac:dyDescent="0.35">
      <c r="A696" s="88"/>
      <c r="B696" s="66" t="s">
        <v>312</v>
      </c>
      <c r="C696" s="67"/>
      <c r="D696" s="102"/>
      <c r="E696" s="32"/>
      <c r="F696" s="32"/>
      <c r="G696" s="68" t="s">
        <v>285</v>
      </c>
      <c r="H696" s="69">
        <f t="shared" si="281"/>
        <v>0</v>
      </c>
      <c r="I696" s="70">
        <f t="shared" si="282"/>
        <v>0</v>
      </c>
      <c r="J696" s="73" t="str">
        <f t="shared" si="283"/>
        <v>--</v>
      </c>
      <c r="K696" s="32"/>
      <c r="L696" s="233"/>
      <c r="M696" s="278"/>
      <c r="N696" s="278"/>
      <c r="O696" s="278"/>
      <c r="P696" s="278"/>
      <c r="Q696" s="278"/>
      <c r="R696" s="278"/>
      <c r="S696" s="278"/>
      <c r="T696" s="278"/>
      <c r="U696" s="279"/>
      <c r="V696" s="103"/>
      <c r="W696" s="84">
        <f t="shared" si="288"/>
        <v>37</v>
      </c>
      <c r="X696" s="84"/>
      <c r="Y696" s="78">
        <f>SUM(E673:E696)</f>
        <v>36</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 thickBot="1" x14ac:dyDescent="0.35">
      <c r="A697" s="88"/>
      <c r="B697" s="66" t="s">
        <v>313</v>
      </c>
      <c r="C697" s="67"/>
      <c r="D697" s="102"/>
      <c r="E697" s="32"/>
      <c r="F697" s="32"/>
      <c r="G697" s="68" t="s">
        <v>285</v>
      </c>
      <c r="H697" s="69">
        <f t="shared" si="281"/>
        <v>0</v>
      </c>
      <c r="I697" s="70">
        <f t="shared" si="282"/>
        <v>0</v>
      </c>
      <c r="J697" s="73" t="str">
        <f t="shared" si="283"/>
        <v>--</v>
      </c>
      <c r="K697" s="32"/>
      <c r="L697" s="234"/>
      <c r="M697" s="278"/>
      <c r="N697" s="278"/>
      <c r="O697" s="278"/>
      <c r="P697" s="278"/>
      <c r="Q697" s="278"/>
      <c r="R697" s="278"/>
      <c r="S697" s="278"/>
      <c r="T697" s="278"/>
      <c r="U697" s="279"/>
      <c r="V697" s="103"/>
      <c r="W697" s="72"/>
      <c r="X697" s="72"/>
      <c r="Y697" s="78">
        <f>SUM(E673:E697)</f>
        <v>36</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2" thickBot="1" x14ac:dyDescent="0.35">
      <c r="A698" s="88"/>
      <c r="B698" s="319" t="s">
        <v>408</v>
      </c>
      <c r="C698" s="320"/>
      <c r="D698" s="79"/>
      <c r="E698" s="80"/>
      <c r="F698" s="80"/>
      <c r="G698" s="81"/>
      <c r="H698" s="192"/>
      <c r="I698" s="192"/>
      <c r="J698" s="192"/>
      <c r="K698" s="82"/>
      <c r="L698" s="319" t="s">
        <v>319</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2" thickBot="1" x14ac:dyDescent="0.35">
      <c r="A699" s="88"/>
      <c r="B699" s="319" t="s">
        <v>320</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3">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 thickBot="1" x14ac:dyDescent="0.35">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5">
      <c r="A702" s="88"/>
      <c r="B702" s="85" t="s">
        <v>409</v>
      </c>
      <c r="C702" s="25"/>
      <c r="D702" s="25"/>
      <c r="E702" s="25"/>
      <c r="F702" s="88"/>
      <c r="G702" s="25"/>
      <c r="H702" s="25"/>
      <c r="I702" s="87"/>
      <c r="J702" s="26"/>
      <c r="K702" s="25"/>
      <c r="L702" s="25"/>
      <c r="M702" s="196" t="s">
        <v>217</v>
      </c>
      <c r="N702" s="196" t="s">
        <v>218</v>
      </c>
      <c r="O702" s="196" t="s">
        <v>219</v>
      </c>
      <c r="P702" s="196" t="s">
        <v>220</v>
      </c>
      <c r="Q702" s="196" t="s">
        <v>221</v>
      </c>
      <c r="R702" s="196" t="s">
        <v>222</v>
      </c>
      <c r="S702" s="196" t="s">
        <v>223</v>
      </c>
      <c r="T702" s="196" t="s">
        <v>224</v>
      </c>
      <c r="U702" s="196" t="s">
        <v>225</v>
      </c>
      <c r="V702" s="196" t="s">
        <v>226</v>
      </c>
      <c r="W702" s="113" t="s">
        <v>227</v>
      </c>
      <c r="X702" s="196" t="s">
        <v>228</v>
      </c>
      <c r="Y702" s="25"/>
      <c r="Z702" s="25"/>
      <c r="AA702" s="25"/>
      <c r="AB702" s="25"/>
      <c r="AC702" s="25"/>
      <c r="AD702" s="25"/>
      <c r="BA702" s="226"/>
    </row>
    <row r="703" spans="1:53" ht="15.6" thickTop="1" thickBot="1" x14ac:dyDescent="0.35">
      <c r="A703" s="88"/>
      <c r="B703" s="312" t="s">
        <v>229</v>
      </c>
      <c r="C703" s="313"/>
      <c r="D703" s="314" t="s">
        <v>230</v>
      </c>
      <c r="E703" s="305"/>
      <c r="F703" s="88"/>
      <c r="G703" s="315" t="s">
        <v>231</v>
      </c>
      <c r="H703" s="316"/>
      <c r="I703" s="28">
        <f>SUM(E714:E738)</f>
        <v>24</v>
      </c>
      <c r="J703" s="317" t="s">
        <v>232</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233</v>
      </c>
      <c r="AA703" s="296"/>
      <c r="AB703" s="297"/>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234</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5">
      <c r="A704" s="88"/>
      <c r="B704" s="29" t="s">
        <v>235</v>
      </c>
      <c r="C704" s="30">
        <v>0</v>
      </c>
      <c r="D704" s="31" t="s">
        <v>236</v>
      </c>
      <c r="E704" s="66" t="str">
        <f>TEXT(IF('Cable Calculator'!CK7="","",'Cable Calculator'!CK7),)</f>
        <v/>
      </c>
      <c r="F704" s="88"/>
      <c r="G704" s="304" t="s">
        <v>237</v>
      </c>
      <c r="H704" s="305"/>
      <c r="I704" s="33">
        <f>E705-I703</f>
        <v>0</v>
      </c>
      <c r="J704" s="289" t="s">
        <v>238</v>
      </c>
      <c r="K704" s="290"/>
      <c r="L704" s="34">
        <f>I708</f>
        <v>145</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8" t="s">
        <v>239</v>
      </c>
      <c r="AA704" s="300" t="s">
        <v>240</v>
      </c>
      <c r="AB704" s="301"/>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241</v>
      </c>
      <c r="AU704" s="109">
        <f>COUNTIFS($E704,"SS",$AS704,"Y")</f>
        <v>0</v>
      </c>
      <c r="AV704" s="111">
        <f>COUNTIFS($E704,"RPX",$AS704,"Y")</f>
        <v>0</v>
      </c>
      <c r="AW704" s="111">
        <f>COUNTIFS($E704,"EUC",$AS704,"Y")</f>
        <v>0</v>
      </c>
      <c r="AX704" s="109">
        <f>COUNTIFS($E704,"RPX-T",$AS704,"Y")</f>
        <v>0</v>
      </c>
      <c r="BA704" s="227"/>
    </row>
    <row r="705" spans="1:53" ht="15.6" thickTop="1" thickBot="1" x14ac:dyDescent="0.35">
      <c r="A705" s="88"/>
      <c r="B705" s="36" t="s">
        <v>242</v>
      </c>
      <c r="C705" s="37">
        <v>0</v>
      </c>
      <c r="D705" s="38" t="s">
        <v>243</v>
      </c>
      <c r="E705" s="32">
        <v>24</v>
      </c>
      <c r="F705" s="88"/>
      <c r="G705" s="291" t="s">
        <v>244</v>
      </c>
      <c r="H705" s="292"/>
      <c r="I705" s="35">
        <f>IF(E705=0,0,12-(MOD(I703,12)))</f>
        <v>12</v>
      </c>
      <c r="J705" s="289" t="s">
        <v>245</v>
      </c>
      <c r="K705" s="290"/>
      <c r="L705" s="39">
        <f>I709-I703</f>
        <v>144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246</v>
      </c>
      <c r="AU705" s="109">
        <f>COUNTIFS($E704,"SS",$AS705,"Y")</f>
        <v>0</v>
      </c>
      <c r="AV705" s="108">
        <f>COUNTIFS($E704,"RPX",$AS705,"Y")</f>
        <v>0</v>
      </c>
      <c r="AW705" s="108">
        <f>COUNTIFS($E704,"EUC",$AS705,"Y")</f>
        <v>0</v>
      </c>
      <c r="AX705" s="109">
        <f>COUNTIFS($E704,"RPX-T",$AS705,"Y")</f>
        <v>0</v>
      </c>
      <c r="BA705" s="227"/>
    </row>
    <row r="706" spans="1:53" ht="16.5" customHeight="1" thickTop="1" thickBot="1" x14ac:dyDescent="0.35">
      <c r="A706" s="88"/>
      <c r="B706" s="40" t="s">
        <v>247</v>
      </c>
      <c r="C706" s="30">
        <v>0</v>
      </c>
      <c r="D706" s="41" t="s">
        <v>248</v>
      </c>
      <c r="E706" s="42">
        <v>0</v>
      </c>
      <c r="F706" s="88"/>
      <c r="G706" s="321" t="s">
        <v>249</v>
      </c>
      <c r="H706" s="43" t="s">
        <v>250</v>
      </c>
      <c r="I706" s="35">
        <f>IF(E706&lt;&gt;0,1,0)</f>
        <v>0</v>
      </c>
      <c r="J706" s="291" t="s">
        <v>251</v>
      </c>
      <c r="K706" s="292"/>
      <c r="L706" s="44">
        <f>'Cable Calculator'!CK3</f>
        <v>1400</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252</v>
      </c>
      <c r="AU706" s="109">
        <f>COUNTIFS($E704,"SS",$AS706,"Y")</f>
        <v>0</v>
      </c>
      <c r="AV706" s="108">
        <f>COUNTIFS($E704,"RPX",$AS706,"Y")</f>
        <v>0</v>
      </c>
      <c r="AW706" s="108">
        <f>COUNTIFS($E704,"EUC",$AS706,"Y")</f>
        <v>0</v>
      </c>
      <c r="AX706" s="109">
        <f>COUNTIFS($E704,"RPX-T",$AS706,"Y")</f>
        <v>0</v>
      </c>
      <c r="BA706" s="227"/>
    </row>
    <row r="707" spans="1:53" ht="15.6" thickTop="1" thickBot="1" x14ac:dyDescent="0.35">
      <c r="A707" s="88"/>
      <c r="B707" s="29" t="s">
        <v>253</v>
      </c>
      <c r="C707" s="37">
        <v>0</v>
      </c>
      <c r="D707" s="41" t="s">
        <v>254</v>
      </c>
      <c r="E707" s="42">
        <v>145</v>
      </c>
      <c r="F707" s="88"/>
      <c r="G707" s="322"/>
      <c r="H707" s="47" t="s">
        <v>255</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5">
      <c r="A708" s="88"/>
      <c r="B708" s="36" t="s">
        <v>256</v>
      </c>
      <c r="C708" s="30">
        <v>0</v>
      </c>
      <c r="D708" s="49" t="s">
        <v>257</v>
      </c>
      <c r="E708" s="50">
        <f>E705/12</f>
        <v>2</v>
      </c>
      <c r="F708" s="88"/>
      <c r="G708" s="321" t="s">
        <v>258</v>
      </c>
      <c r="H708" s="51" t="s">
        <v>259</v>
      </c>
      <c r="I708" s="112">
        <f>E707</f>
        <v>145</v>
      </c>
      <c r="J708" s="323" t="s">
        <v>260</v>
      </c>
      <c r="K708" s="324"/>
      <c r="L708" s="325"/>
      <c r="M708" s="52" t="s">
        <v>261</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5.6" thickTop="1" thickBot="1" x14ac:dyDescent="0.35">
      <c r="A709" s="88"/>
      <c r="B709" s="36" t="s">
        <v>262</v>
      </c>
      <c r="C709" s="30">
        <v>0</v>
      </c>
      <c r="D709" s="31" t="s">
        <v>263</v>
      </c>
      <c r="E709" s="101" t="str">
        <f>IF('Cable Calculator'!CK5="","",'Cable Calculator'!CK5)</f>
        <v>N</v>
      </c>
      <c r="F709" s="88"/>
      <c r="G709" s="322"/>
      <c r="H709" s="47" t="s">
        <v>264</v>
      </c>
      <c r="I709" s="35">
        <f>IF(E707="","0",IF(AND(E704="EUC",E705=432), I708+(203-E706),IF(E707=0,0,(E707+(E705-E706)-1))))</f>
        <v>168</v>
      </c>
      <c r="J709" s="286" t="str">
        <f>IFERROR(IF(OR(E704="EUC",E704="SS"),"---",IF(OR(P703,S703),"NO 2F Tethers for RPX!",IF(OR(P705,S705),"NO 6F Tethers for RPX!","---"))),"---")</f>
        <v>---</v>
      </c>
      <c r="K709" s="287"/>
      <c r="L709" s="288"/>
      <c r="M709" s="286" t="str">
        <f>IF(E706&gt;60,"Dead Count &gt;60: Consider Downsize","---")</f>
        <v>---</v>
      </c>
      <c r="N709" s="287"/>
      <c r="O709" s="287"/>
      <c r="P709" s="287"/>
      <c r="Q709" s="287"/>
      <c r="R709" s="287"/>
      <c r="S709" s="287"/>
      <c r="T709" s="287"/>
      <c r="U709" s="288"/>
      <c r="V709" s="100"/>
      <c r="W709" s="54">
        <f>SUM(P709:U709)</f>
        <v>0</v>
      </c>
      <c r="X709" s="54"/>
      <c r="Y709" s="25"/>
      <c r="Z709" s="45">
        <v>4</v>
      </c>
      <c r="AA709" s="46">
        <v>37</v>
      </c>
      <c r="AB709" s="46">
        <v>48</v>
      </c>
      <c r="AC709" s="25"/>
      <c r="AD709" s="25"/>
      <c r="BA709" s="227"/>
    </row>
    <row r="710" spans="1:53" ht="15.6" thickTop="1" thickBot="1" x14ac:dyDescent="0.35">
      <c r="A710" s="88"/>
      <c r="B710" s="55" t="s">
        <v>265</v>
      </c>
      <c r="C710" s="56">
        <f>SUM(C704:C709)+I703</f>
        <v>24</v>
      </c>
      <c r="D710" s="31" t="s">
        <v>266</v>
      </c>
      <c r="E710" s="101" t="str">
        <f>IF(AS704="Y","DBL",IF(AS705="Y","TRPL",IF(AS706="Y","QUAD","")))</f>
        <v/>
      </c>
      <c r="F710" s="88"/>
      <c r="G710" s="192"/>
      <c r="H710" s="57"/>
      <c r="I710" s="192"/>
      <c r="J710" s="286"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7"/>
      <c r="L710" s="288"/>
      <c r="M710" s="286" t="str">
        <f>IF(AND(OR(E704="SS",E704="RPX",E704="EUC",E704="RPX-T"),(OR(C714="",C714="Field SPL"))),"Cannot have FlexNap cables without tethers","---")</f>
        <v>---</v>
      </c>
      <c r="N710" s="287"/>
      <c r="O710" s="287"/>
      <c r="P710" s="287"/>
      <c r="Q710" s="287"/>
      <c r="R710" s="287"/>
      <c r="S710" s="287"/>
      <c r="T710" s="287"/>
      <c r="U710" s="288"/>
      <c r="V710" s="25"/>
      <c r="W710" s="58"/>
      <c r="X710" s="58"/>
      <c r="Y710" s="25"/>
      <c r="Z710" s="45">
        <v>5</v>
      </c>
      <c r="AA710" s="46">
        <v>49</v>
      </c>
      <c r="AB710" s="46">
        <v>60</v>
      </c>
      <c r="AC710" s="25"/>
      <c r="AD710" s="25"/>
      <c r="BA710" s="227"/>
    </row>
    <row r="711" spans="1:53" ht="15.6" thickTop="1" thickBot="1" x14ac:dyDescent="0.35">
      <c r="A711" s="88"/>
      <c r="B711" s="59"/>
      <c r="C711" s="60"/>
      <c r="D711" s="61"/>
      <c r="E711" s="62"/>
      <c r="F711" s="88"/>
      <c r="G711" s="63"/>
      <c r="H711" s="64"/>
      <c r="I711" s="63"/>
      <c r="J711" s="286" t="str">
        <f>IF(AND(OR(E704="RPX", E704="RPX-T", E704="SS"),E705=216),"NO 216 For RPX, RPX-T, OR SS CABLE","---")</f>
        <v>---</v>
      </c>
      <c r="K711" s="287"/>
      <c r="L711" s="288"/>
      <c r="M711" s="286" t="str" cm="1">
        <f t="array" ref="M711">IF(AND(E704="",OR(C714:C738="FST",C714:C738="REV T",C714:C738="DBL REV",C714:C738="TPL REV", C714:C738="QD REV")),"Non-FlexNap cables cannot have tethers","---")</f>
        <v>---</v>
      </c>
      <c r="N711" s="287"/>
      <c r="O711" s="287"/>
      <c r="P711" s="287"/>
      <c r="Q711" s="287"/>
      <c r="R711" s="287"/>
      <c r="S711" s="287"/>
      <c r="T711" s="287"/>
      <c r="U711" s="288"/>
      <c r="V711" s="25"/>
      <c r="W711" s="58"/>
      <c r="X711" s="58"/>
      <c r="Y711" s="25"/>
      <c r="Z711" s="45">
        <v>6</v>
      </c>
      <c r="AA711" s="65">
        <v>61</v>
      </c>
      <c r="AB711" s="65">
        <v>72</v>
      </c>
      <c r="AC711" s="25"/>
      <c r="AD711" s="25"/>
      <c r="BA711" s="226"/>
    </row>
    <row r="712" spans="1:53" ht="15.75" customHeight="1" thickBot="1" x14ac:dyDescent="0.35">
      <c r="A712" s="88"/>
      <c r="B712" s="321" t="s">
        <v>267</v>
      </c>
      <c r="C712" s="293" t="s">
        <v>268</v>
      </c>
      <c r="D712" s="293" t="s">
        <v>269</v>
      </c>
      <c r="E712" s="306" t="s">
        <v>270</v>
      </c>
      <c r="F712" s="293" t="s">
        <v>271</v>
      </c>
      <c r="G712" s="308" t="s">
        <v>272</v>
      </c>
      <c r="H712" s="308" t="s">
        <v>273</v>
      </c>
      <c r="I712" s="308" t="s">
        <v>274</v>
      </c>
      <c r="J712" s="310" t="s">
        <v>275</v>
      </c>
      <c r="K712" s="293" t="s">
        <v>276</v>
      </c>
      <c r="L712" s="280" t="s">
        <v>277</v>
      </c>
      <c r="M712" s="282" t="s">
        <v>278</v>
      </c>
      <c r="N712" s="282"/>
      <c r="O712" s="282"/>
      <c r="P712" s="282"/>
      <c r="Q712" s="282"/>
      <c r="R712" s="282"/>
      <c r="S712" s="282"/>
      <c r="T712" s="282"/>
      <c r="U712" s="283"/>
      <c r="V712" s="107"/>
      <c r="W712" s="72"/>
      <c r="X712" s="72"/>
      <c r="Y712" s="72"/>
      <c r="Z712" s="45">
        <v>7</v>
      </c>
      <c r="AA712" s="65">
        <v>73</v>
      </c>
      <c r="AB712" s="65">
        <v>84</v>
      </c>
      <c r="AC712" s="25"/>
      <c r="AD712" s="25"/>
      <c r="BA712" s="228"/>
    </row>
    <row r="713" spans="1:53" ht="15" thickBot="1" x14ac:dyDescent="0.35">
      <c r="A713" s="88"/>
      <c r="B713" s="322"/>
      <c r="C713" s="294"/>
      <c r="D713" s="294"/>
      <c r="E713" s="307"/>
      <c r="F713" s="294"/>
      <c r="G713" s="309"/>
      <c r="H713" s="309"/>
      <c r="I713" s="309"/>
      <c r="J713" s="311"/>
      <c r="K713" s="294"/>
      <c r="L713" s="281"/>
      <c r="M713" s="284"/>
      <c r="N713" s="284"/>
      <c r="O713" s="284"/>
      <c r="P713" s="284"/>
      <c r="Q713" s="284"/>
      <c r="R713" s="284"/>
      <c r="S713" s="284"/>
      <c r="T713" s="284"/>
      <c r="U713" s="285"/>
      <c r="V713" s="107"/>
      <c r="W713" s="72"/>
      <c r="X713" s="72"/>
      <c r="Y713" s="72"/>
      <c r="Z713" s="45">
        <v>8</v>
      </c>
      <c r="AA713" s="46">
        <v>85</v>
      </c>
      <c r="AB713" s="46">
        <v>96</v>
      </c>
      <c r="AC713" s="25"/>
      <c r="AD713" s="25"/>
      <c r="AI713" s="109" t="s">
        <v>279</v>
      </c>
      <c r="AJ713" s="109" t="s">
        <v>280</v>
      </c>
      <c r="AK713" s="109" t="s">
        <v>281</v>
      </c>
      <c r="AL713" s="109" t="s">
        <v>282</v>
      </c>
      <c r="BA713" s="228"/>
    </row>
    <row r="714" spans="1:53" ht="15" thickBot="1" x14ac:dyDescent="0.35">
      <c r="A714" s="88"/>
      <c r="B714" s="66" t="s">
        <v>283</v>
      </c>
      <c r="C714" s="67" t="s">
        <v>284</v>
      </c>
      <c r="D714" s="102"/>
      <c r="E714" s="32">
        <v>24</v>
      </c>
      <c r="F714" s="32"/>
      <c r="G714" s="68" t="s">
        <v>285</v>
      </c>
      <c r="H714" s="69">
        <f>IF(I714=0,0,I714-(E714-1))</f>
        <v>145</v>
      </c>
      <c r="I714" s="70">
        <f>IF(E714=0,0,I709)</f>
        <v>168</v>
      </c>
      <c r="J714" s="71" t="s">
        <v>286</v>
      </c>
      <c r="K714" s="32"/>
      <c r="L714" s="233"/>
      <c r="M714" s="278" t="s">
        <v>403</v>
      </c>
      <c r="N714" s="278"/>
      <c r="O714" s="278"/>
      <c r="P714" s="278"/>
      <c r="Q714" s="278"/>
      <c r="R714" s="278"/>
      <c r="S714" s="278"/>
      <c r="T714" s="278"/>
      <c r="U714" s="279"/>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145-168</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 thickBot="1" x14ac:dyDescent="0.35">
      <c r="A715" s="88"/>
      <c r="B715" s="66" t="s">
        <v>288</v>
      </c>
      <c r="C715" s="67"/>
      <c r="D715" s="102"/>
      <c r="E715" s="32"/>
      <c r="F715" s="32"/>
      <c r="G715" s="68" t="s">
        <v>285</v>
      </c>
      <c r="H715" s="69">
        <f t="shared" ref="H715:H738" si="298">IF(E715=0,0,I715-(E715-1))</f>
        <v>0</v>
      </c>
      <c r="I715" s="70">
        <f t="shared" ref="I715:I738" si="299">IF(E715=0,0,H714-1)</f>
        <v>0</v>
      </c>
      <c r="J715" s="73" t="str">
        <f>IF(C715="","--",IF(AND(C715&lt;&gt;"FST",C715&lt;&gt;"TCF",BA714&lt;&gt;0),BA714,"--"))</f>
        <v>--</v>
      </c>
      <c r="K715" s="32"/>
      <c r="L715" s="233"/>
      <c r="M715" s="278"/>
      <c r="N715" s="278"/>
      <c r="O715" s="278"/>
      <c r="P715" s="278"/>
      <c r="Q715" s="278"/>
      <c r="R715" s="278"/>
      <c r="S715" s="278"/>
      <c r="T715" s="278"/>
      <c r="U715" s="279"/>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 thickBot="1" x14ac:dyDescent="0.35">
      <c r="A716" s="88"/>
      <c r="B716" s="74" t="s">
        <v>290</v>
      </c>
      <c r="C716" s="67"/>
      <c r="D716" s="102"/>
      <c r="E716" s="32"/>
      <c r="F716" s="32"/>
      <c r="G716" s="75" t="s">
        <v>285</v>
      </c>
      <c r="H716" s="69">
        <f t="shared" si="298"/>
        <v>0</v>
      </c>
      <c r="I716" s="70">
        <f t="shared" si="299"/>
        <v>0</v>
      </c>
      <c r="J716" s="73" t="str">
        <f t="shared" ref="J716:J738" si="300">IF(C716="","--",IF(AND(C716&lt;&gt;"FST",C716&lt;&gt;"TCF",BA715&lt;&gt;0),BA715,"--"))</f>
        <v>--</v>
      </c>
      <c r="K716" s="32"/>
      <c r="L716" s="233"/>
      <c r="M716" s="278"/>
      <c r="N716" s="278"/>
      <c r="O716" s="278"/>
      <c r="P716" s="278"/>
      <c r="Q716" s="278"/>
      <c r="R716" s="278"/>
      <c r="S716" s="278"/>
      <c r="T716" s="278"/>
      <c r="U716" s="279"/>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 thickBot="1" x14ac:dyDescent="0.35">
      <c r="A717" s="88"/>
      <c r="B717" s="66" t="s">
        <v>292</v>
      </c>
      <c r="C717" s="67"/>
      <c r="D717" s="102"/>
      <c r="E717" s="32"/>
      <c r="F717" s="32"/>
      <c r="G717" s="68" t="s">
        <v>285</v>
      </c>
      <c r="H717" s="69">
        <f t="shared" si="298"/>
        <v>0</v>
      </c>
      <c r="I717" s="70">
        <f t="shared" si="299"/>
        <v>0</v>
      </c>
      <c r="J717" s="73" t="str">
        <f t="shared" si="300"/>
        <v>--</v>
      </c>
      <c r="K717" s="32"/>
      <c r="L717" s="233"/>
      <c r="M717" s="278"/>
      <c r="N717" s="278"/>
      <c r="O717" s="278"/>
      <c r="P717" s="278"/>
      <c r="Q717" s="278"/>
      <c r="R717" s="278"/>
      <c r="S717" s="278"/>
      <c r="T717" s="278"/>
      <c r="U717" s="279"/>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 thickBot="1" x14ac:dyDescent="0.35">
      <c r="A718" s="88"/>
      <c r="B718" s="66" t="s">
        <v>293</v>
      </c>
      <c r="C718" s="67"/>
      <c r="D718" s="102"/>
      <c r="E718" s="32"/>
      <c r="F718" s="32"/>
      <c r="G718" s="68" t="s">
        <v>285</v>
      </c>
      <c r="H718" s="69">
        <f t="shared" si="298"/>
        <v>0</v>
      </c>
      <c r="I718" s="70">
        <f t="shared" si="299"/>
        <v>0</v>
      </c>
      <c r="J718" s="73" t="str">
        <f t="shared" si="300"/>
        <v>--</v>
      </c>
      <c r="K718" s="32"/>
      <c r="L718" s="233"/>
      <c r="M718" s="278"/>
      <c r="N718" s="278"/>
      <c r="O718" s="278"/>
      <c r="P718" s="278"/>
      <c r="Q718" s="278"/>
      <c r="R718" s="278"/>
      <c r="S718" s="278"/>
      <c r="T718" s="278"/>
      <c r="U718" s="279"/>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 thickBot="1" x14ac:dyDescent="0.35">
      <c r="A719" s="88"/>
      <c r="B719" s="66" t="s">
        <v>294</v>
      </c>
      <c r="C719" s="67"/>
      <c r="D719" s="102"/>
      <c r="E719" s="32"/>
      <c r="F719" s="32"/>
      <c r="G719" s="68" t="s">
        <v>285</v>
      </c>
      <c r="H719" s="69">
        <f t="shared" si="298"/>
        <v>0</v>
      </c>
      <c r="I719" s="70">
        <f t="shared" si="299"/>
        <v>0</v>
      </c>
      <c r="J719" s="73" t="str">
        <f t="shared" si="300"/>
        <v>--</v>
      </c>
      <c r="K719" s="32"/>
      <c r="L719" s="233"/>
      <c r="M719" s="278"/>
      <c r="N719" s="278"/>
      <c r="O719" s="278"/>
      <c r="P719" s="278"/>
      <c r="Q719" s="278"/>
      <c r="R719" s="278"/>
      <c r="S719" s="278"/>
      <c r="T719" s="278"/>
      <c r="U719" s="27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 thickBot="1" x14ac:dyDescent="0.35">
      <c r="A720" s="88"/>
      <c r="B720" s="66" t="s">
        <v>295</v>
      </c>
      <c r="C720" s="67"/>
      <c r="D720" s="102"/>
      <c r="E720" s="32"/>
      <c r="F720" s="32"/>
      <c r="G720" s="68" t="s">
        <v>285</v>
      </c>
      <c r="H720" s="69">
        <f t="shared" si="298"/>
        <v>0</v>
      </c>
      <c r="I720" s="70">
        <f t="shared" si="299"/>
        <v>0</v>
      </c>
      <c r="J720" s="73" t="str">
        <f t="shared" si="300"/>
        <v>--</v>
      </c>
      <c r="K720" s="32"/>
      <c r="L720" s="233"/>
      <c r="M720" s="278"/>
      <c r="N720" s="278"/>
      <c r="O720" s="278"/>
      <c r="P720" s="278"/>
      <c r="Q720" s="278"/>
      <c r="R720" s="278"/>
      <c r="S720" s="278"/>
      <c r="T720" s="278"/>
      <c r="U720" s="27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 thickBot="1" x14ac:dyDescent="0.35">
      <c r="A721" s="88"/>
      <c r="B721" s="66" t="s">
        <v>296</v>
      </c>
      <c r="C721" s="67"/>
      <c r="D721" s="102"/>
      <c r="E721" s="32"/>
      <c r="F721" s="32"/>
      <c r="G721" s="68" t="s">
        <v>285</v>
      </c>
      <c r="H721" s="69">
        <f t="shared" si="298"/>
        <v>0</v>
      </c>
      <c r="I721" s="70">
        <f t="shared" si="299"/>
        <v>0</v>
      </c>
      <c r="J721" s="73" t="str">
        <f t="shared" si="300"/>
        <v>--</v>
      </c>
      <c r="K721" s="32"/>
      <c r="L721" s="233"/>
      <c r="M721" s="278"/>
      <c r="N721" s="278"/>
      <c r="O721" s="278"/>
      <c r="P721" s="278"/>
      <c r="Q721" s="278"/>
      <c r="R721" s="278"/>
      <c r="S721" s="278"/>
      <c r="T721" s="278"/>
      <c r="U721" s="27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 thickBot="1" x14ac:dyDescent="0.35">
      <c r="A722" s="88"/>
      <c r="B722" s="66" t="s">
        <v>297</v>
      </c>
      <c r="C722" s="67"/>
      <c r="D722" s="102"/>
      <c r="E722" s="32"/>
      <c r="F722" s="32"/>
      <c r="G722" s="68" t="s">
        <v>285</v>
      </c>
      <c r="H722" s="69">
        <f t="shared" si="298"/>
        <v>0</v>
      </c>
      <c r="I722" s="70">
        <f t="shared" si="299"/>
        <v>0</v>
      </c>
      <c r="J722" s="73" t="str">
        <f t="shared" si="300"/>
        <v>--</v>
      </c>
      <c r="K722" s="32"/>
      <c r="L722" s="233"/>
      <c r="M722" s="278"/>
      <c r="N722" s="278"/>
      <c r="O722" s="278"/>
      <c r="P722" s="278"/>
      <c r="Q722" s="278"/>
      <c r="R722" s="278"/>
      <c r="S722" s="278"/>
      <c r="T722" s="278"/>
      <c r="U722" s="27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 thickBot="1" x14ac:dyDescent="0.35">
      <c r="A723" s="88"/>
      <c r="B723" s="66" t="s">
        <v>298</v>
      </c>
      <c r="C723" s="67"/>
      <c r="D723" s="102"/>
      <c r="E723" s="32"/>
      <c r="F723" s="32"/>
      <c r="G723" s="68" t="s">
        <v>285</v>
      </c>
      <c r="H723" s="69">
        <f t="shared" si="298"/>
        <v>0</v>
      </c>
      <c r="I723" s="70">
        <f t="shared" si="299"/>
        <v>0</v>
      </c>
      <c r="J723" s="73" t="str">
        <f t="shared" si="300"/>
        <v>--</v>
      </c>
      <c r="K723" s="32"/>
      <c r="L723" s="233"/>
      <c r="M723" s="278"/>
      <c r="N723" s="278"/>
      <c r="O723" s="278"/>
      <c r="P723" s="278"/>
      <c r="Q723" s="278"/>
      <c r="R723" s="278"/>
      <c r="S723" s="278"/>
      <c r="T723" s="278"/>
      <c r="U723" s="27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 thickBot="1" x14ac:dyDescent="0.35">
      <c r="A724" s="88"/>
      <c r="B724" s="66" t="s">
        <v>299</v>
      </c>
      <c r="C724" s="67"/>
      <c r="D724" s="102"/>
      <c r="E724" s="32"/>
      <c r="F724" s="32"/>
      <c r="G724" s="68" t="s">
        <v>285</v>
      </c>
      <c r="H724" s="69">
        <f t="shared" si="298"/>
        <v>0</v>
      </c>
      <c r="I724" s="70">
        <f t="shared" si="299"/>
        <v>0</v>
      </c>
      <c r="J724" s="73" t="str">
        <f t="shared" si="300"/>
        <v>--</v>
      </c>
      <c r="K724" s="32"/>
      <c r="L724" s="233"/>
      <c r="M724" s="278"/>
      <c r="N724" s="278"/>
      <c r="O724" s="278"/>
      <c r="P724" s="278"/>
      <c r="Q724" s="278"/>
      <c r="R724" s="278"/>
      <c r="S724" s="278"/>
      <c r="T724" s="278"/>
      <c r="U724" s="279"/>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 thickBot="1" x14ac:dyDescent="0.35">
      <c r="A725" s="88"/>
      <c r="B725" s="66" t="s">
        <v>300</v>
      </c>
      <c r="C725" s="67"/>
      <c r="D725" s="102"/>
      <c r="E725" s="32"/>
      <c r="F725" s="32"/>
      <c r="G725" s="68" t="s">
        <v>285</v>
      </c>
      <c r="H725" s="69">
        <f t="shared" si="298"/>
        <v>0</v>
      </c>
      <c r="I725" s="70">
        <f t="shared" si="299"/>
        <v>0</v>
      </c>
      <c r="J725" s="73" t="str">
        <f t="shared" si="300"/>
        <v>--</v>
      </c>
      <c r="K725" s="32"/>
      <c r="L725" s="233"/>
      <c r="M725" s="278"/>
      <c r="N725" s="278"/>
      <c r="O725" s="278"/>
      <c r="P725" s="278"/>
      <c r="Q725" s="278"/>
      <c r="R725" s="278"/>
      <c r="S725" s="278"/>
      <c r="T725" s="278"/>
      <c r="U725" s="279"/>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 thickBot="1" x14ac:dyDescent="0.35">
      <c r="A726" s="88"/>
      <c r="B726" s="66" t="s">
        <v>301</v>
      </c>
      <c r="C726" s="67"/>
      <c r="D726" s="102"/>
      <c r="E726" s="32"/>
      <c r="F726" s="32"/>
      <c r="G726" s="68" t="s">
        <v>285</v>
      </c>
      <c r="H726" s="69">
        <f t="shared" si="298"/>
        <v>0</v>
      </c>
      <c r="I726" s="70">
        <f t="shared" si="299"/>
        <v>0</v>
      </c>
      <c r="J726" s="73" t="str">
        <f t="shared" si="300"/>
        <v>--</v>
      </c>
      <c r="K726" s="32"/>
      <c r="L726" s="233"/>
      <c r="M726" s="278"/>
      <c r="N726" s="278"/>
      <c r="O726" s="278"/>
      <c r="P726" s="278"/>
      <c r="Q726" s="278"/>
      <c r="R726" s="278"/>
      <c r="S726" s="278"/>
      <c r="T726" s="278"/>
      <c r="U726" s="279"/>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 thickBot="1" x14ac:dyDescent="0.35">
      <c r="A727" s="88"/>
      <c r="B727" s="66" t="s">
        <v>302</v>
      </c>
      <c r="C727" s="67"/>
      <c r="D727" s="102"/>
      <c r="E727" s="32"/>
      <c r="F727" s="32"/>
      <c r="G727" s="68" t="s">
        <v>285</v>
      </c>
      <c r="H727" s="69">
        <f t="shared" si="298"/>
        <v>0</v>
      </c>
      <c r="I727" s="70">
        <f t="shared" si="299"/>
        <v>0</v>
      </c>
      <c r="J727" s="73" t="str">
        <f t="shared" si="300"/>
        <v>--</v>
      </c>
      <c r="K727" s="32"/>
      <c r="L727" s="233"/>
      <c r="M727" s="278"/>
      <c r="N727" s="278"/>
      <c r="O727" s="278"/>
      <c r="P727" s="278"/>
      <c r="Q727" s="278"/>
      <c r="R727" s="278"/>
      <c r="S727" s="278"/>
      <c r="T727" s="278"/>
      <c r="U727" s="279"/>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 thickBot="1" x14ac:dyDescent="0.35">
      <c r="A728" s="88"/>
      <c r="B728" s="66" t="s">
        <v>303</v>
      </c>
      <c r="C728" s="67"/>
      <c r="D728" s="102"/>
      <c r="E728" s="32"/>
      <c r="F728" s="32"/>
      <c r="G728" s="68" t="s">
        <v>285</v>
      </c>
      <c r="H728" s="69">
        <f t="shared" si="298"/>
        <v>0</v>
      </c>
      <c r="I728" s="70">
        <f t="shared" si="299"/>
        <v>0</v>
      </c>
      <c r="J728" s="73" t="str">
        <f t="shared" si="300"/>
        <v>--</v>
      </c>
      <c r="K728" s="32"/>
      <c r="L728" s="233"/>
      <c r="M728" s="278"/>
      <c r="N728" s="278"/>
      <c r="O728" s="278"/>
      <c r="P728" s="278"/>
      <c r="Q728" s="278"/>
      <c r="R728" s="278"/>
      <c r="S728" s="278"/>
      <c r="T728" s="278"/>
      <c r="U728" s="279"/>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 thickBot="1" x14ac:dyDescent="0.35">
      <c r="A729" s="88"/>
      <c r="B729" s="66" t="s">
        <v>304</v>
      </c>
      <c r="C729" s="67"/>
      <c r="D729" s="102"/>
      <c r="E729" s="32"/>
      <c r="F729" s="32"/>
      <c r="G729" s="68" t="s">
        <v>285</v>
      </c>
      <c r="H729" s="69">
        <f t="shared" si="298"/>
        <v>0</v>
      </c>
      <c r="I729" s="70">
        <f t="shared" si="299"/>
        <v>0</v>
      </c>
      <c r="J729" s="73" t="str">
        <f t="shared" si="300"/>
        <v>--</v>
      </c>
      <c r="K729" s="32"/>
      <c r="L729" s="233"/>
      <c r="M729" s="278"/>
      <c r="N729" s="278"/>
      <c r="O729" s="278"/>
      <c r="P729" s="278"/>
      <c r="Q729" s="278"/>
      <c r="R729" s="278"/>
      <c r="S729" s="278"/>
      <c r="T729" s="278"/>
      <c r="U729" s="279"/>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 thickBot="1" x14ac:dyDescent="0.35">
      <c r="A730" s="88"/>
      <c r="B730" s="66" t="s">
        <v>305</v>
      </c>
      <c r="C730" s="67"/>
      <c r="D730" s="102"/>
      <c r="E730" s="32"/>
      <c r="F730" s="32"/>
      <c r="G730" s="68" t="s">
        <v>285</v>
      </c>
      <c r="H730" s="69">
        <f t="shared" si="298"/>
        <v>0</v>
      </c>
      <c r="I730" s="70">
        <f t="shared" si="299"/>
        <v>0</v>
      </c>
      <c r="J730" s="73" t="str">
        <f t="shared" si="300"/>
        <v>--</v>
      </c>
      <c r="K730" s="32"/>
      <c r="L730" s="233"/>
      <c r="M730" s="278"/>
      <c r="N730" s="278"/>
      <c r="O730" s="278"/>
      <c r="P730" s="278"/>
      <c r="Q730" s="278"/>
      <c r="R730" s="278"/>
      <c r="S730" s="278"/>
      <c r="T730" s="278"/>
      <c r="U730" s="279"/>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 thickBot="1" x14ac:dyDescent="0.35">
      <c r="A731" s="88"/>
      <c r="B731" s="66" t="s">
        <v>306</v>
      </c>
      <c r="C731" s="67"/>
      <c r="D731" s="102"/>
      <c r="E731" s="32"/>
      <c r="F731" s="32"/>
      <c r="G731" s="68" t="s">
        <v>285</v>
      </c>
      <c r="H731" s="69">
        <f t="shared" si="298"/>
        <v>0</v>
      </c>
      <c r="I731" s="70">
        <f t="shared" si="299"/>
        <v>0</v>
      </c>
      <c r="J731" s="73" t="str">
        <f t="shared" si="300"/>
        <v>--</v>
      </c>
      <c r="K731" s="32"/>
      <c r="L731" s="233"/>
      <c r="M731" s="278"/>
      <c r="N731" s="278"/>
      <c r="O731" s="278"/>
      <c r="P731" s="278"/>
      <c r="Q731" s="278"/>
      <c r="R731" s="278"/>
      <c r="S731" s="278"/>
      <c r="T731" s="278"/>
      <c r="U731" s="279"/>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 thickBot="1" x14ac:dyDescent="0.35">
      <c r="A732" s="88"/>
      <c r="B732" s="66" t="s">
        <v>307</v>
      </c>
      <c r="C732" s="67"/>
      <c r="D732" s="102"/>
      <c r="E732" s="32"/>
      <c r="F732" s="32"/>
      <c r="G732" s="68" t="s">
        <v>285</v>
      </c>
      <c r="H732" s="69">
        <f t="shared" si="298"/>
        <v>0</v>
      </c>
      <c r="I732" s="70">
        <f t="shared" si="299"/>
        <v>0</v>
      </c>
      <c r="J732" s="73" t="str">
        <f t="shared" si="300"/>
        <v>--</v>
      </c>
      <c r="K732" s="32"/>
      <c r="L732" s="233"/>
      <c r="M732" s="278"/>
      <c r="N732" s="278"/>
      <c r="O732" s="278"/>
      <c r="P732" s="278"/>
      <c r="Q732" s="278"/>
      <c r="R732" s="278"/>
      <c r="S732" s="278"/>
      <c r="T732" s="278"/>
      <c r="U732" s="279"/>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 thickBot="1" x14ac:dyDescent="0.35">
      <c r="A733" s="88"/>
      <c r="B733" s="66" t="s">
        <v>308</v>
      </c>
      <c r="C733" s="67"/>
      <c r="D733" s="102"/>
      <c r="E733" s="32"/>
      <c r="F733" s="32"/>
      <c r="G733" s="68" t="s">
        <v>285</v>
      </c>
      <c r="H733" s="69">
        <f t="shared" si="298"/>
        <v>0</v>
      </c>
      <c r="I733" s="70">
        <f t="shared" si="299"/>
        <v>0</v>
      </c>
      <c r="J733" s="73" t="str">
        <f t="shared" si="300"/>
        <v>--</v>
      </c>
      <c r="K733" s="32"/>
      <c r="L733" s="233"/>
      <c r="M733" s="278"/>
      <c r="N733" s="278"/>
      <c r="O733" s="278"/>
      <c r="P733" s="278"/>
      <c r="Q733" s="278"/>
      <c r="R733" s="278"/>
      <c r="S733" s="278"/>
      <c r="T733" s="278"/>
      <c r="U733" s="279"/>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 thickBot="1" x14ac:dyDescent="0.35">
      <c r="A734" s="88"/>
      <c r="B734" s="66" t="s">
        <v>309</v>
      </c>
      <c r="C734" s="67"/>
      <c r="D734" s="102"/>
      <c r="E734" s="32"/>
      <c r="F734" s="32"/>
      <c r="G734" s="68" t="s">
        <v>285</v>
      </c>
      <c r="H734" s="69">
        <f t="shared" si="298"/>
        <v>0</v>
      </c>
      <c r="I734" s="70">
        <f t="shared" si="299"/>
        <v>0</v>
      </c>
      <c r="J734" s="73" t="str">
        <f t="shared" si="300"/>
        <v>--</v>
      </c>
      <c r="K734" s="32"/>
      <c r="L734" s="233"/>
      <c r="M734" s="278"/>
      <c r="N734" s="278"/>
      <c r="O734" s="278"/>
      <c r="P734" s="278"/>
      <c r="Q734" s="278"/>
      <c r="R734" s="278"/>
      <c r="S734" s="278"/>
      <c r="T734" s="278"/>
      <c r="U734" s="279"/>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 thickBot="1" x14ac:dyDescent="0.35">
      <c r="A735" s="88"/>
      <c r="B735" s="66" t="s">
        <v>310</v>
      </c>
      <c r="C735" s="67"/>
      <c r="D735" s="102"/>
      <c r="E735" s="32"/>
      <c r="F735" s="32"/>
      <c r="G735" s="68" t="s">
        <v>285</v>
      </c>
      <c r="H735" s="69">
        <f t="shared" si="298"/>
        <v>0</v>
      </c>
      <c r="I735" s="70">
        <f t="shared" si="299"/>
        <v>0</v>
      </c>
      <c r="J735" s="73" t="str">
        <f t="shared" si="300"/>
        <v>--</v>
      </c>
      <c r="K735" s="32"/>
      <c r="L735" s="233"/>
      <c r="M735" s="278"/>
      <c r="N735" s="278"/>
      <c r="O735" s="278"/>
      <c r="P735" s="278"/>
      <c r="Q735" s="278"/>
      <c r="R735" s="278"/>
      <c r="S735" s="278"/>
      <c r="T735" s="278"/>
      <c r="U735" s="279"/>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 thickBot="1" x14ac:dyDescent="0.35">
      <c r="A736" s="88"/>
      <c r="B736" s="66" t="s">
        <v>311</v>
      </c>
      <c r="C736" s="67"/>
      <c r="D736" s="102"/>
      <c r="E736" s="32"/>
      <c r="F736" s="32"/>
      <c r="G736" s="68" t="s">
        <v>285</v>
      </c>
      <c r="H736" s="69">
        <f t="shared" si="298"/>
        <v>0</v>
      </c>
      <c r="I736" s="70">
        <f t="shared" si="299"/>
        <v>0</v>
      </c>
      <c r="J736" s="73" t="str">
        <f t="shared" si="300"/>
        <v>--</v>
      </c>
      <c r="K736" s="32"/>
      <c r="L736" s="233"/>
      <c r="M736" s="278"/>
      <c r="N736" s="278"/>
      <c r="O736" s="278"/>
      <c r="P736" s="278"/>
      <c r="Q736" s="278"/>
      <c r="R736" s="278"/>
      <c r="S736" s="278"/>
      <c r="T736" s="278"/>
      <c r="U736" s="279"/>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 thickBot="1" x14ac:dyDescent="0.35">
      <c r="A737" s="88"/>
      <c r="B737" s="66" t="s">
        <v>312</v>
      </c>
      <c r="C737" s="67"/>
      <c r="D737" s="102"/>
      <c r="E737" s="32"/>
      <c r="F737" s="32"/>
      <c r="G737" s="68" t="s">
        <v>285</v>
      </c>
      <c r="H737" s="69">
        <f t="shared" si="298"/>
        <v>0</v>
      </c>
      <c r="I737" s="70">
        <f t="shared" si="299"/>
        <v>0</v>
      </c>
      <c r="J737" s="73" t="str">
        <f t="shared" si="300"/>
        <v>--</v>
      </c>
      <c r="K737" s="32"/>
      <c r="L737" s="233"/>
      <c r="M737" s="278"/>
      <c r="N737" s="278"/>
      <c r="O737" s="278"/>
      <c r="P737" s="278"/>
      <c r="Q737" s="278"/>
      <c r="R737" s="278"/>
      <c r="S737" s="278"/>
      <c r="T737" s="278"/>
      <c r="U737" s="279"/>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 thickBot="1" x14ac:dyDescent="0.35">
      <c r="A738" s="88"/>
      <c r="B738" s="66" t="s">
        <v>313</v>
      </c>
      <c r="C738" s="67"/>
      <c r="D738" s="102"/>
      <c r="E738" s="32"/>
      <c r="F738" s="32"/>
      <c r="G738" s="68" t="s">
        <v>285</v>
      </c>
      <c r="H738" s="69">
        <f t="shared" si="298"/>
        <v>0</v>
      </c>
      <c r="I738" s="70">
        <f t="shared" si="299"/>
        <v>0</v>
      </c>
      <c r="J738" s="73" t="str">
        <f t="shared" si="300"/>
        <v>--</v>
      </c>
      <c r="K738" s="32"/>
      <c r="L738" s="234"/>
      <c r="M738" s="278"/>
      <c r="N738" s="278"/>
      <c r="O738" s="278"/>
      <c r="P738" s="278"/>
      <c r="Q738" s="278"/>
      <c r="R738" s="278"/>
      <c r="S738" s="278"/>
      <c r="T738" s="278"/>
      <c r="U738" s="279"/>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2" thickBot="1" x14ac:dyDescent="0.35">
      <c r="A739" s="88"/>
      <c r="B739" s="319" t="s">
        <v>410</v>
      </c>
      <c r="C739" s="320"/>
      <c r="D739" s="79"/>
      <c r="E739" s="80"/>
      <c r="F739" s="80"/>
      <c r="G739" s="81"/>
      <c r="H739" s="192"/>
      <c r="I739" s="192"/>
      <c r="J739" s="192"/>
      <c r="K739" s="82"/>
      <c r="L739" s="319" t="s">
        <v>319</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2" thickBot="1" x14ac:dyDescent="0.35">
      <c r="A740" s="88"/>
      <c r="B740" s="319" t="s">
        <v>320</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3">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 thickBot="1" x14ac:dyDescent="0.35">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5">
      <c r="A743" s="88"/>
      <c r="B743" s="85" t="s">
        <v>411</v>
      </c>
      <c r="C743" s="25"/>
      <c r="D743" s="25"/>
      <c r="E743" s="25"/>
      <c r="F743" s="88"/>
      <c r="G743" s="25"/>
      <c r="H743" s="25"/>
      <c r="I743" s="87"/>
      <c r="J743" s="26"/>
      <c r="K743" s="25"/>
      <c r="L743" s="25"/>
      <c r="M743" s="196" t="s">
        <v>217</v>
      </c>
      <c r="N743" s="196" t="s">
        <v>218</v>
      </c>
      <c r="O743" s="196" t="s">
        <v>219</v>
      </c>
      <c r="P743" s="196" t="s">
        <v>220</v>
      </c>
      <c r="Q743" s="196" t="s">
        <v>221</v>
      </c>
      <c r="R743" s="196" t="s">
        <v>222</v>
      </c>
      <c r="S743" s="196" t="s">
        <v>223</v>
      </c>
      <c r="T743" s="196" t="s">
        <v>224</v>
      </c>
      <c r="U743" s="196" t="s">
        <v>225</v>
      </c>
      <c r="V743" s="196" t="s">
        <v>226</v>
      </c>
      <c r="W743" s="113" t="s">
        <v>227</v>
      </c>
      <c r="X743" s="196" t="s">
        <v>228</v>
      </c>
      <c r="Y743" s="25"/>
      <c r="Z743" s="25"/>
      <c r="AA743" s="25"/>
      <c r="AB743" s="25"/>
      <c r="AC743" s="25"/>
      <c r="AD743" s="25"/>
      <c r="BA743" s="226"/>
    </row>
    <row r="744" spans="1:53" ht="15.6" thickTop="1" thickBot="1" x14ac:dyDescent="0.35">
      <c r="A744" s="88"/>
      <c r="B744" s="312" t="s">
        <v>229</v>
      </c>
      <c r="C744" s="313"/>
      <c r="D744" s="314" t="s">
        <v>230</v>
      </c>
      <c r="E744" s="305"/>
      <c r="F744" s="88"/>
      <c r="G744" s="315" t="s">
        <v>231</v>
      </c>
      <c r="H744" s="316"/>
      <c r="I744" s="28">
        <f>SUM(E755:E779)</f>
        <v>0</v>
      </c>
      <c r="J744" s="317" t="s">
        <v>232</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233</v>
      </c>
      <c r="AA744" s="296"/>
      <c r="AB744" s="297"/>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234</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5">
      <c r="A745" s="88"/>
      <c r="B745" s="29" t="s">
        <v>235</v>
      </c>
      <c r="C745" s="30">
        <v>0</v>
      </c>
      <c r="D745" s="31" t="s">
        <v>236</v>
      </c>
      <c r="E745" s="66" t="str">
        <f>TEXT(IF('Cable Calculator'!CP7="","",'Cable Calculator'!CP7),)</f>
        <v/>
      </c>
      <c r="F745" s="88"/>
      <c r="G745" s="304" t="s">
        <v>237</v>
      </c>
      <c r="H745" s="305"/>
      <c r="I745" s="33">
        <f>E746-I744</f>
        <v>0</v>
      </c>
      <c r="J745" s="289" t="s">
        <v>238</v>
      </c>
      <c r="K745" s="290"/>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239</v>
      </c>
      <c r="AA745" s="300" t="s">
        <v>240</v>
      </c>
      <c r="AB745" s="301"/>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241</v>
      </c>
      <c r="AU745" s="109">
        <f>COUNTIFS($E745,"SS",$AS745,"Y")</f>
        <v>0</v>
      </c>
      <c r="AV745" s="111">
        <f>COUNTIFS($E745,"RPX",$AS745,"Y")</f>
        <v>0</v>
      </c>
      <c r="AW745" s="111">
        <f>COUNTIFS($E745,"EUC",$AS745,"Y")</f>
        <v>0</v>
      </c>
      <c r="AX745" s="109">
        <f>COUNTIFS($E745,"RPX-T",$AS745,"Y")</f>
        <v>0</v>
      </c>
      <c r="BA745" s="227"/>
    </row>
    <row r="746" spans="1:53" ht="15.6" thickTop="1" thickBot="1" x14ac:dyDescent="0.35">
      <c r="A746" s="88"/>
      <c r="B746" s="36" t="s">
        <v>242</v>
      </c>
      <c r="C746" s="37">
        <v>0</v>
      </c>
      <c r="D746" s="38" t="s">
        <v>243</v>
      </c>
      <c r="E746" s="32"/>
      <c r="F746" s="88"/>
      <c r="G746" s="291" t="s">
        <v>244</v>
      </c>
      <c r="H746" s="292"/>
      <c r="I746" s="35">
        <f>IF(E746=0,0,12-(MOD(I744,12)))</f>
        <v>0</v>
      </c>
      <c r="J746" s="289" t="s">
        <v>245</v>
      </c>
      <c r="K746" s="290"/>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246</v>
      </c>
      <c r="AU746" s="109">
        <f>COUNTIFS($E745,"SS",$AS746,"Y")</f>
        <v>0</v>
      </c>
      <c r="AV746" s="108">
        <f>COUNTIFS($E745,"RPX",$AS746,"Y")</f>
        <v>0</v>
      </c>
      <c r="AW746" s="108">
        <f>COUNTIFS($E745,"EUC",$AS746,"Y")</f>
        <v>0</v>
      </c>
      <c r="AX746" s="109">
        <f>COUNTIFS($E745,"RPX-T",$AS746,"Y")</f>
        <v>0</v>
      </c>
      <c r="BA746" s="227"/>
    </row>
    <row r="747" spans="1:53" ht="16.5" customHeight="1" thickTop="1" thickBot="1" x14ac:dyDescent="0.35">
      <c r="A747" s="88"/>
      <c r="B747" s="40" t="s">
        <v>247</v>
      </c>
      <c r="C747" s="30">
        <v>0</v>
      </c>
      <c r="D747" s="41" t="s">
        <v>248</v>
      </c>
      <c r="E747" s="42"/>
      <c r="F747" s="88"/>
      <c r="G747" s="321" t="s">
        <v>249</v>
      </c>
      <c r="H747" s="43" t="s">
        <v>250</v>
      </c>
      <c r="I747" s="35">
        <f>IF(E747&lt;&gt;0,1,0)</f>
        <v>0</v>
      </c>
      <c r="J747" s="291" t="s">
        <v>251</v>
      </c>
      <c r="K747" s="292"/>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252</v>
      </c>
      <c r="AU747" s="109">
        <f>COUNTIFS($E745,"SS",$AS747,"Y")</f>
        <v>0</v>
      </c>
      <c r="AV747" s="108">
        <f>COUNTIFS($E745,"RPX",$AS747,"Y")</f>
        <v>0</v>
      </c>
      <c r="AW747" s="108">
        <f>COUNTIFS($E745,"EUC",$AS747,"Y")</f>
        <v>0</v>
      </c>
      <c r="AX747" s="109">
        <f>COUNTIFS($E745,"RPX-T",$AS747,"Y")</f>
        <v>0</v>
      </c>
      <c r="BA747" s="227"/>
    </row>
    <row r="748" spans="1:53" ht="15.6" thickTop="1" thickBot="1" x14ac:dyDescent="0.35">
      <c r="A748" s="88"/>
      <c r="B748" s="29" t="s">
        <v>253</v>
      </c>
      <c r="C748" s="37">
        <v>0</v>
      </c>
      <c r="D748" s="41" t="s">
        <v>254</v>
      </c>
      <c r="E748" s="42"/>
      <c r="F748" s="88"/>
      <c r="G748" s="322"/>
      <c r="H748" s="47" t="s">
        <v>255</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5">
      <c r="A749" s="88"/>
      <c r="B749" s="36" t="s">
        <v>256</v>
      </c>
      <c r="C749" s="30">
        <v>0</v>
      </c>
      <c r="D749" s="49" t="s">
        <v>257</v>
      </c>
      <c r="E749" s="50">
        <f>E746/12</f>
        <v>0</v>
      </c>
      <c r="F749" s="88"/>
      <c r="G749" s="321" t="s">
        <v>258</v>
      </c>
      <c r="H749" s="51" t="s">
        <v>259</v>
      </c>
      <c r="I749" s="112">
        <f>E748</f>
        <v>0</v>
      </c>
      <c r="J749" s="323" t="s">
        <v>260</v>
      </c>
      <c r="K749" s="324"/>
      <c r="L749" s="325"/>
      <c r="M749" s="52" t="s">
        <v>261</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5.6" thickTop="1" thickBot="1" x14ac:dyDescent="0.35">
      <c r="A750" s="88"/>
      <c r="B750" s="36" t="s">
        <v>262</v>
      </c>
      <c r="C750" s="30">
        <v>0</v>
      </c>
      <c r="D750" s="31" t="s">
        <v>263</v>
      </c>
      <c r="E750" s="101" t="str">
        <f>IF('Cable Calculator'!CP5="","",'Cable Calculator'!CP5)</f>
        <v/>
      </c>
      <c r="F750" s="88"/>
      <c r="G750" s="322"/>
      <c r="H750" s="47" t="s">
        <v>264</v>
      </c>
      <c r="I750" s="35" t="str">
        <f>IF(E748="","0",IF(AND(E745="EUC",E746=432), I749+(203-E747),IF(E748=0,0,(E748+(E746-E747)-1))))</f>
        <v>0</v>
      </c>
      <c r="J750" s="286" t="str">
        <f>IFERROR(IF(OR(E745="EUC",E745="SS"),"---",IF(OR(P744,S744),"NO 2F Tethers for RPX!",IF(OR(P746,S746),"NO 6F Tethers for RPX!","---"))),"---")</f>
        <v>---</v>
      </c>
      <c r="K750" s="287"/>
      <c r="L750" s="288"/>
      <c r="M750" s="286" t="str">
        <f>IF(E747&gt;60,"Dead Count &gt;60: Consider Downsize","---")</f>
        <v>---</v>
      </c>
      <c r="N750" s="287"/>
      <c r="O750" s="287"/>
      <c r="P750" s="287"/>
      <c r="Q750" s="287"/>
      <c r="R750" s="287"/>
      <c r="S750" s="287"/>
      <c r="T750" s="287"/>
      <c r="U750" s="288"/>
      <c r="V750" s="100"/>
      <c r="W750" s="54">
        <f>SUM(P750:U750)</f>
        <v>0</v>
      </c>
      <c r="X750" s="54"/>
      <c r="Y750" s="25"/>
      <c r="Z750" s="45">
        <v>4</v>
      </c>
      <c r="AA750" s="46">
        <v>37</v>
      </c>
      <c r="AB750" s="46">
        <v>48</v>
      </c>
      <c r="AC750" s="25"/>
      <c r="AD750" s="25"/>
      <c r="BA750" s="227"/>
    </row>
    <row r="751" spans="1:53" ht="15.6" thickTop="1" thickBot="1" x14ac:dyDescent="0.35">
      <c r="A751" s="88"/>
      <c r="B751" s="55" t="s">
        <v>265</v>
      </c>
      <c r="C751" s="56">
        <f>SUM(C745:C750)+I744</f>
        <v>0</v>
      </c>
      <c r="D751" s="31" t="s">
        <v>266</v>
      </c>
      <c r="E751" s="101" t="str">
        <f>IF(AS745="Y","DBL",IF(AS746="Y","TRPL",IF(AS747="Y","QUAD","")))</f>
        <v/>
      </c>
      <c r="F751" s="88"/>
      <c r="G751" s="192"/>
      <c r="H751" s="57"/>
      <c r="I751" s="192"/>
      <c r="J751" s="286"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7"/>
      <c r="L751" s="288"/>
      <c r="M751" s="286" t="str">
        <f>IF(AND(OR(E745="SS",E745="RPX",E745="EUC",E745="RPX-T"),(OR(C755="",C755="Field SPL"))),"Cannot have FlexNap cables without tethers","---")</f>
        <v>---</v>
      </c>
      <c r="N751" s="287"/>
      <c r="O751" s="287"/>
      <c r="P751" s="287"/>
      <c r="Q751" s="287"/>
      <c r="R751" s="287"/>
      <c r="S751" s="287"/>
      <c r="T751" s="287"/>
      <c r="U751" s="288"/>
      <c r="V751" s="25"/>
      <c r="W751" s="58"/>
      <c r="X751" s="58"/>
      <c r="Y751" s="25"/>
      <c r="Z751" s="45">
        <v>5</v>
      </c>
      <c r="AA751" s="46">
        <v>49</v>
      </c>
      <c r="AB751" s="46">
        <v>60</v>
      </c>
      <c r="AC751" s="25"/>
      <c r="AD751" s="25"/>
      <c r="BA751" s="227"/>
    </row>
    <row r="752" spans="1:53" ht="15.6" thickTop="1" thickBot="1" x14ac:dyDescent="0.35">
      <c r="A752" s="88"/>
      <c r="B752" s="59"/>
      <c r="C752" s="60"/>
      <c r="D752" s="61"/>
      <c r="E752" s="62"/>
      <c r="F752" s="88"/>
      <c r="G752" s="63"/>
      <c r="H752" s="64"/>
      <c r="I752" s="63"/>
      <c r="J752" s="286" t="str">
        <f>IF(AND(OR(E745="RPX", E745="RPX-T", E745="SS"),E746=216),"NO 216 For RPX, RPX-T, OR SS CABLE","---")</f>
        <v>---</v>
      </c>
      <c r="K752" s="287"/>
      <c r="L752" s="288"/>
      <c r="M752" s="286" t="str" cm="1">
        <f t="array" ref="M752">IF(AND(E745="",OR(C755:C779="FST",C755:C779="REV T",C755:C779="DBL REV",C755:C779="TPL REV", C755:C779="QD REV")),"Non-FlexNap cables cannot have tethers","---")</f>
        <v>---</v>
      </c>
      <c r="N752" s="287"/>
      <c r="O752" s="287"/>
      <c r="P752" s="287"/>
      <c r="Q752" s="287"/>
      <c r="R752" s="287"/>
      <c r="S752" s="287"/>
      <c r="T752" s="287"/>
      <c r="U752" s="288"/>
      <c r="V752" s="25"/>
      <c r="W752" s="58"/>
      <c r="X752" s="58"/>
      <c r="Y752" s="25"/>
      <c r="Z752" s="45">
        <v>6</v>
      </c>
      <c r="AA752" s="65">
        <v>61</v>
      </c>
      <c r="AB752" s="65">
        <v>72</v>
      </c>
      <c r="AC752" s="25"/>
      <c r="AD752" s="25"/>
      <c r="BA752" s="226"/>
    </row>
    <row r="753" spans="1:53" ht="15.75" customHeight="1" thickBot="1" x14ac:dyDescent="0.35">
      <c r="A753" s="88"/>
      <c r="B753" s="321" t="s">
        <v>267</v>
      </c>
      <c r="C753" s="293" t="s">
        <v>268</v>
      </c>
      <c r="D753" s="293" t="s">
        <v>269</v>
      </c>
      <c r="E753" s="306" t="s">
        <v>270</v>
      </c>
      <c r="F753" s="293" t="s">
        <v>271</v>
      </c>
      <c r="G753" s="308" t="s">
        <v>272</v>
      </c>
      <c r="H753" s="308" t="s">
        <v>273</v>
      </c>
      <c r="I753" s="308" t="s">
        <v>274</v>
      </c>
      <c r="J753" s="310" t="s">
        <v>275</v>
      </c>
      <c r="K753" s="293" t="s">
        <v>276</v>
      </c>
      <c r="L753" s="280" t="s">
        <v>277</v>
      </c>
      <c r="M753" s="282" t="s">
        <v>278</v>
      </c>
      <c r="N753" s="282"/>
      <c r="O753" s="282"/>
      <c r="P753" s="282"/>
      <c r="Q753" s="282"/>
      <c r="R753" s="282"/>
      <c r="S753" s="282"/>
      <c r="T753" s="282"/>
      <c r="U753" s="283"/>
      <c r="V753" s="107"/>
      <c r="W753" s="72"/>
      <c r="X753" s="72"/>
      <c r="Y753" s="72"/>
      <c r="Z753" s="45">
        <v>7</v>
      </c>
      <c r="AA753" s="65">
        <v>73</v>
      </c>
      <c r="AB753" s="65">
        <v>84</v>
      </c>
      <c r="AC753" s="25"/>
      <c r="AD753" s="25"/>
      <c r="BA753" s="228"/>
    </row>
    <row r="754" spans="1:53" ht="15" thickBot="1" x14ac:dyDescent="0.35">
      <c r="A754" s="88"/>
      <c r="B754" s="322"/>
      <c r="C754" s="294"/>
      <c r="D754" s="294"/>
      <c r="E754" s="307"/>
      <c r="F754" s="294"/>
      <c r="G754" s="309"/>
      <c r="H754" s="309"/>
      <c r="I754" s="309"/>
      <c r="J754" s="311"/>
      <c r="K754" s="294"/>
      <c r="L754" s="281"/>
      <c r="M754" s="284"/>
      <c r="N754" s="284"/>
      <c r="O754" s="284"/>
      <c r="P754" s="284"/>
      <c r="Q754" s="284"/>
      <c r="R754" s="284"/>
      <c r="S754" s="284"/>
      <c r="T754" s="284"/>
      <c r="U754" s="285"/>
      <c r="V754" s="107"/>
      <c r="W754" s="72"/>
      <c r="X754" s="72"/>
      <c r="Y754" s="72"/>
      <c r="Z754" s="45">
        <v>8</v>
      </c>
      <c r="AA754" s="46">
        <v>85</v>
      </c>
      <c r="AB754" s="46">
        <v>96</v>
      </c>
      <c r="AC754" s="25"/>
      <c r="AD754" s="25"/>
      <c r="AI754" s="109" t="s">
        <v>279</v>
      </c>
      <c r="AJ754" s="109" t="s">
        <v>280</v>
      </c>
      <c r="AK754" s="109" t="s">
        <v>281</v>
      </c>
      <c r="AL754" s="109" t="s">
        <v>282</v>
      </c>
      <c r="BA754" s="228"/>
    </row>
    <row r="755" spans="1:53" ht="15" thickBot="1" x14ac:dyDescent="0.35">
      <c r="A755" s="88"/>
      <c r="B755" s="66" t="s">
        <v>283</v>
      </c>
      <c r="C755" s="67"/>
      <c r="D755" s="102"/>
      <c r="E755" s="32"/>
      <c r="F755" s="32"/>
      <c r="G755" s="68" t="s">
        <v>285</v>
      </c>
      <c r="H755" s="69">
        <f>IF(I755=0,0,I755-(E755-1))</f>
        <v>0</v>
      </c>
      <c r="I755" s="70">
        <f>IF(E755=0,0,I750)</f>
        <v>0</v>
      </c>
      <c r="J755" s="71" t="s">
        <v>286</v>
      </c>
      <c r="K755" s="32"/>
      <c r="L755" s="233"/>
      <c r="M755" s="278"/>
      <c r="N755" s="278"/>
      <c r="O755" s="278"/>
      <c r="P755" s="278"/>
      <c r="Q755" s="278"/>
      <c r="R755" s="278"/>
      <c r="S755" s="278"/>
      <c r="T755" s="278"/>
      <c r="U755" s="279"/>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 thickBot="1" x14ac:dyDescent="0.35">
      <c r="A756" s="88"/>
      <c r="B756" s="66" t="s">
        <v>288</v>
      </c>
      <c r="C756" s="67"/>
      <c r="D756" s="102"/>
      <c r="E756" s="32"/>
      <c r="F756" s="32"/>
      <c r="G756" s="68" t="s">
        <v>285</v>
      </c>
      <c r="H756" s="69">
        <f t="shared" ref="H756:H779" si="315">IF(E756=0,0,I756-(E756-1))</f>
        <v>0</v>
      </c>
      <c r="I756" s="70">
        <f t="shared" ref="I756:I779" si="316">IF(E756=0,0,H755-1)</f>
        <v>0</v>
      </c>
      <c r="J756" s="73" t="str">
        <f>IF(C756="","--",IF(AND(C756&lt;&gt;"FST",C756&lt;&gt;"TCF",BA755&lt;&gt;0),BA755,"--"))</f>
        <v>--</v>
      </c>
      <c r="K756" s="32"/>
      <c r="L756" s="233"/>
      <c r="M756" s="278"/>
      <c r="N756" s="278"/>
      <c r="O756" s="278"/>
      <c r="P756" s="278"/>
      <c r="Q756" s="278"/>
      <c r="R756" s="278"/>
      <c r="S756" s="278"/>
      <c r="T756" s="278"/>
      <c r="U756" s="279"/>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 thickBot="1" x14ac:dyDescent="0.35">
      <c r="A757" s="88"/>
      <c r="B757" s="74" t="s">
        <v>290</v>
      </c>
      <c r="C757" s="67"/>
      <c r="D757" s="102"/>
      <c r="E757" s="32"/>
      <c r="F757" s="32"/>
      <c r="G757" s="75" t="s">
        <v>285</v>
      </c>
      <c r="H757" s="69">
        <f t="shared" si="315"/>
        <v>0</v>
      </c>
      <c r="I757" s="70">
        <f t="shared" si="316"/>
        <v>0</v>
      </c>
      <c r="J757" s="73" t="str">
        <f t="shared" ref="J757:J779" si="317">IF(C757="","--",IF(AND(C757&lt;&gt;"FST",C757&lt;&gt;"TCF",BA756&lt;&gt;0),BA756,"--"))</f>
        <v>--</v>
      </c>
      <c r="K757" s="32"/>
      <c r="L757" s="233"/>
      <c r="M757" s="278"/>
      <c r="N757" s="278"/>
      <c r="O757" s="278"/>
      <c r="P757" s="278"/>
      <c r="Q757" s="278"/>
      <c r="R757" s="278"/>
      <c r="S757" s="278"/>
      <c r="T757" s="278"/>
      <c r="U757" s="279"/>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 thickBot="1" x14ac:dyDescent="0.35">
      <c r="A758" s="88"/>
      <c r="B758" s="66" t="s">
        <v>292</v>
      </c>
      <c r="C758" s="67"/>
      <c r="D758" s="102"/>
      <c r="E758" s="32"/>
      <c r="F758" s="32"/>
      <c r="G758" s="68" t="s">
        <v>285</v>
      </c>
      <c r="H758" s="69">
        <f t="shared" si="315"/>
        <v>0</v>
      </c>
      <c r="I758" s="70">
        <f t="shared" si="316"/>
        <v>0</v>
      </c>
      <c r="J758" s="73" t="str">
        <f t="shared" si="317"/>
        <v>--</v>
      </c>
      <c r="K758" s="32"/>
      <c r="L758" s="233"/>
      <c r="M758" s="278"/>
      <c r="N758" s="278"/>
      <c r="O758" s="278"/>
      <c r="P758" s="278"/>
      <c r="Q758" s="278"/>
      <c r="R758" s="278"/>
      <c r="S758" s="278"/>
      <c r="T758" s="278"/>
      <c r="U758" s="279"/>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 thickBot="1" x14ac:dyDescent="0.35">
      <c r="A759" s="88"/>
      <c r="B759" s="66" t="s">
        <v>293</v>
      </c>
      <c r="C759" s="67"/>
      <c r="D759" s="102"/>
      <c r="E759" s="32"/>
      <c r="F759" s="32"/>
      <c r="G759" s="68" t="s">
        <v>285</v>
      </c>
      <c r="H759" s="69">
        <f t="shared" si="315"/>
        <v>0</v>
      </c>
      <c r="I759" s="70">
        <f t="shared" si="316"/>
        <v>0</v>
      </c>
      <c r="J759" s="73" t="str">
        <f t="shared" si="317"/>
        <v>--</v>
      </c>
      <c r="K759" s="32"/>
      <c r="L759" s="233"/>
      <c r="M759" s="278"/>
      <c r="N759" s="278"/>
      <c r="O759" s="278"/>
      <c r="P759" s="278"/>
      <c r="Q759" s="278"/>
      <c r="R759" s="278"/>
      <c r="S759" s="278"/>
      <c r="T759" s="278"/>
      <c r="U759" s="27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 thickBot="1" x14ac:dyDescent="0.35">
      <c r="A760" s="88"/>
      <c r="B760" s="66" t="s">
        <v>294</v>
      </c>
      <c r="C760" s="67"/>
      <c r="D760" s="102"/>
      <c r="E760" s="32"/>
      <c r="F760" s="32"/>
      <c r="G760" s="68" t="s">
        <v>285</v>
      </c>
      <c r="H760" s="69">
        <f t="shared" si="315"/>
        <v>0</v>
      </c>
      <c r="I760" s="70">
        <f t="shared" si="316"/>
        <v>0</v>
      </c>
      <c r="J760" s="73" t="str">
        <f t="shared" si="317"/>
        <v>--</v>
      </c>
      <c r="K760" s="32"/>
      <c r="L760" s="233"/>
      <c r="M760" s="278"/>
      <c r="N760" s="278"/>
      <c r="O760" s="278"/>
      <c r="P760" s="278"/>
      <c r="Q760" s="278"/>
      <c r="R760" s="278"/>
      <c r="S760" s="278"/>
      <c r="T760" s="278"/>
      <c r="U760" s="279"/>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 thickBot="1" x14ac:dyDescent="0.35">
      <c r="A761" s="88"/>
      <c r="B761" s="66" t="s">
        <v>295</v>
      </c>
      <c r="C761" s="67"/>
      <c r="D761" s="102"/>
      <c r="E761" s="32"/>
      <c r="F761" s="32"/>
      <c r="G761" s="68" t="s">
        <v>285</v>
      </c>
      <c r="H761" s="69">
        <f t="shared" si="315"/>
        <v>0</v>
      </c>
      <c r="I761" s="70">
        <f t="shared" si="316"/>
        <v>0</v>
      </c>
      <c r="J761" s="73" t="str">
        <f t="shared" si="317"/>
        <v>--</v>
      </c>
      <c r="K761" s="32"/>
      <c r="L761" s="233"/>
      <c r="M761" s="278"/>
      <c r="N761" s="278"/>
      <c r="O761" s="278"/>
      <c r="P761" s="278"/>
      <c r="Q761" s="278"/>
      <c r="R761" s="278"/>
      <c r="S761" s="278"/>
      <c r="T761" s="278"/>
      <c r="U761" s="279"/>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 thickBot="1" x14ac:dyDescent="0.35">
      <c r="A762" s="88"/>
      <c r="B762" s="66" t="s">
        <v>296</v>
      </c>
      <c r="C762" s="67"/>
      <c r="D762" s="102"/>
      <c r="E762" s="32"/>
      <c r="F762" s="32"/>
      <c r="G762" s="68" t="s">
        <v>285</v>
      </c>
      <c r="H762" s="69">
        <f t="shared" si="315"/>
        <v>0</v>
      </c>
      <c r="I762" s="70">
        <f t="shared" si="316"/>
        <v>0</v>
      </c>
      <c r="J762" s="73" t="str">
        <f t="shared" si="317"/>
        <v>--</v>
      </c>
      <c r="K762" s="32"/>
      <c r="L762" s="233"/>
      <c r="M762" s="278"/>
      <c r="N762" s="278"/>
      <c r="O762" s="278"/>
      <c r="P762" s="278"/>
      <c r="Q762" s="278"/>
      <c r="R762" s="278"/>
      <c r="S762" s="278"/>
      <c r="T762" s="278"/>
      <c r="U762" s="27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 thickBot="1" x14ac:dyDescent="0.35">
      <c r="A763" s="88"/>
      <c r="B763" s="66" t="s">
        <v>297</v>
      </c>
      <c r="C763" s="67"/>
      <c r="D763" s="102"/>
      <c r="E763" s="32"/>
      <c r="F763" s="32"/>
      <c r="G763" s="68" t="s">
        <v>285</v>
      </c>
      <c r="H763" s="69">
        <f t="shared" si="315"/>
        <v>0</v>
      </c>
      <c r="I763" s="70">
        <f t="shared" si="316"/>
        <v>0</v>
      </c>
      <c r="J763" s="73" t="str">
        <f t="shared" si="317"/>
        <v>--</v>
      </c>
      <c r="K763" s="32"/>
      <c r="L763" s="233"/>
      <c r="M763" s="278"/>
      <c r="N763" s="278"/>
      <c r="O763" s="278"/>
      <c r="P763" s="278"/>
      <c r="Q763" s="278"/>
      <c r="R763" s="278"/>
      <c r="S763" s="278"/>
      <c r="T763" s="278"/>
      <c r="U763" s="27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 thickBot="1" x14ac:dyDescent="0.35">
      <c r="A764" s="88"/>
      <c r="B764" s="66" t="s">
        <v>298</v>
      </c>
      <c r="C764" s="67"/>
      <c r="D764" s="102"/>
      <c r="E764" s="32"/>
      <c r="F764" s="32"/>
      <c r="G764" s="68" t="s">
        <v>285</v>
      </c>
      <c r="H764" s="69">
        <f t="shared" si="315"/>
        <v>0</v>
      </c>
      <c r="I764" s="70">
        <f t="shared" si="316"/>
        <v>0</v>
      </c>
      <c r="J764" s="73" t="str">
        <f t="shared" si="317"/>
        <v>--</v>
      </c>
      <c r="K764" s="32"/>
      <c r="L764" s="233"/>
      <c r="M764" s="278"/>
      <c r="N764" s="278"/>
      <c r="O764" s="278"/>
      <c r="P764" s="278"/>
      <c r="Q764" s="278"/>
      <c r="R764" s="278"/>
      <c r="S764" s="278"/>
      <c r="T764" s="278"/>
      <c r="U764" s="27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 thickBot="1" x14ac:dyDescent="0.35">
      <c r="A765" s="88"/>
      <c r="B765" s="66" t="s">
        <v>299</v>
      </c>
      <c r="C765" s="67"/>
      <c r="D765" s="102"/>
      <c r="E765" s="32"/>
      <c r="F765" s="32"/>
      <c r="G765" s="68" t="s">
        <v>285</v>
      </c>
      <c r="H765" s="69">
        <f t="shared" si="315"/>
        <v>0</v>
      </c>
      <c r="I765" s="70">
        <f t="shared" si="316"/>
        <v>0</v>
      </c>
      <c r="J765" s="73" t="str">
        <f t="shared" si="317"/>
        <v>--</v>
      </c>
      <c r="K765" s="32"/>
      <c r="L765" s="233"/>
      <c r="M765" s="278"/>
      <c r="N765" s="278"/>
      <c r="O765" s="278"/>
      <c r="P765" s="278"/>
      <c r="Q765" s="278"/>
      <c r="R765" s="278"/>
      <c r="S765" s="278"/>
      <c r="T765" s="278"/>
      <c r="U765" s="279"/>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 thickBot="1" x14ac:dyDescent="0.35">
      <c r="A766" s="88"/>
      <c r="B766" s="66" t="s">
        <v>300</v>
      </c>
      <c r="C766" s="67"/>
      <c r="D766" s="102"/>
      <c r="E766" s="32"/>
      <c r="F766" s="32"/>
      <c r="G766" s="68" t="s">
        <v>285</v>
      </c>
      <c r="H766" s="69">
        <f t="shared" si="315"/>
        <v>0</v>
      </c>
      <c r="I766" s="70">
        <f t="shared" si="316"/>
        <v>0</v>
      </c>
      <c r="J766" s="73" t="str">
        <f t="shared" si="317"/>
        <v>--</v>
      </c>
      <c r="K766" s="32"/>
      <c r="L766" s="233"/>
      <c r="M766" s="278"/>
      <c r="N766" s="278"/>
      <c r="O766" s="278"/>
      <c r="P766" s="278"/>
      <c r="Q766" s="278"/>
      <c r="R766" s="278"/>
      <c r="S766" s="278"/>
      <c r="T766" s="278"/>
      <c r="U766" s="279"/>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 thickBot="1" x14ac:dyDescent="0.35">
      <c r="A767" s="88"/>
      <c r="B767" s="66" t="s">
        <v>301</v>
      </c>
      <c r="C767" s="67"/>
      <c r="D767" s="102"/>
      <c r="E767" s="32"/>
      <c r="F767" s="32"/>
      <c r="G767" s="68" t="s">
        <v>285</v>
      </c>
      <c r="H767" s="69">
        <f t="shared" si="315"/>
        <v>0</v>
      </c>
      <c r="I767" s="70">
        <f t="shared" si="316"/>
        <v>0</v>
      </c>
      <c r="J767" s="73" t="str">
        <f t="shared" si="317"/>
        <v>--</v>
      </c>
      <c r="K767" s="32"/>
      <c r="L767" s="233"/>
      <c r="M767" s="278"/>
      <c r="N767" s="278"/>
      <c r="O767" s="278"/>
      <c r="P767" s="278"/>
      <c r="Q767" s="278"/>
      <c r="R767" s="278"/>
      <c r="S767" s="278"/>
      <c r="T767" s="278"/>
      <c r="U767" s="279"/>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 thickBot="1" x14ac:dyDescent="0.35">
      <c r="A768" s="88"/>
      <c r="B768" s="66" t="s">
        <v>302</v>
      </c>
      <c r="C768" s="67"/>
      <c r="D768" s="102"/>
      <c r="E768" s="32"/>
      <c r="F768" s="32"/>
      <c r="G768" s="68" t="s">
        <v>285</v>
      </c>
      <c r="H768" s="69">
        <f t="shared" si="315"/>
        <v>0</v>
      </c>
      <c r="I768" s="70">
        <f t="shared" si="316"/>
        <v>0</v>
      </c>
      <c r="J768" s="73" t="str">
        <f t="shared" si="317"/>
        <v>--</v>
      </c>
      <c r="K768" s="32"/>
      <c r="L768" s="233"/>
      <c r="M768" s="278"/>
      <c r="N768" s="278"/>
      <c r="O768" s="278"/>
      <c r="P768" s="278"/>
      <c r="Q768" s="278"/>
      <c r="R768" s="278"/>
      <c r="S768" s="278"/>
      <c r="T768" s="278"/>
      <c r="U768" s="279"/>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 thickBot="1" x14ac:dyDescent="0.35">
      <c r="A769" s="88"/>
      <c r="B769" s="66" t="s">
        <v>303</v>
      </c>
      <c r="C769" s="67"/>
      <c r="D769" s="102"/>
      <c r="E769" s="32"/>
      <c r="F769" s="32"/>
      <c r="G769" s="68" t="s">
        <v>285</v>
      </c>
      <c r="H769" s="69">
        <f t="shared" si="315"/>
        <v>0</v>
      </c>
      <c r="I769" s="70">
        <f t="shared" si="316"/>
        <v>0</v>
      </c>
      <c r="J769" s="73" t="str">
        <f t="shared" si="317"/>
        <v>--</v>
      </c>
      <c r="K769" s="32"/>
      <c r="L769" s="233"/>
      <c r="M769" s="278"/>
      <c r="N769" s="278"/>
      <c r="O769" s="278"/>
      <c r="P769" s="278"/>
      <c r="Q769" s="278"/>
      <c r="R769" s="278"/>
      <c r="S769" s="278"/>
      <c r="T769" s="278"/>
      <c r="U769" s="279"/>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 thickBot="1" x14ac:dyDescent="0.35">
      <c r="A770" s="88"/>
      <c r="B770" s="66" t="s">
        <v>304</v>
      </c>
      <c r="C770" s="67"/>
      <c r="D770" s="102"/>
      <c r="E770" s="32"/>
      <c r="F770" s="32"/>
      <c r="G770" s="68" t="s">
        <v>285</v>
      </c>
      <c r="H770" s="69">
        <f t="shared" si="315"/>
        <v>0</v>
      </c>
      <c r="I770" s="70">
        <f t="shared" si="316"/>
        <v>0</v>
      </c>
      <c r="J770" s="73" t="str">
        <f t="shared" si="317"/>
        <v>--</v>
      </c>
      <c r="K770" s="32"/>
      <c r="L770" s="233"/>
      <c r="M770" s="278"/>
      <c r="N770" s="278"/>
      <c r="O770" s="278"/>
      <c r="P770" s="278"/>
      <c r="Q770" s="278"/>
      <c r="R770" s="278"/>
      <c r="S770" s="278"/>
      <c r="T770" s="278"/>
      <c r="U770" s="279"/>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 thickBot="1" x14ac:dyDescent="0.35">
      <c r="A771" s="88"/>
      <c r="B771" s="66" t="s">
        <v>305</v>
      </c>
      <c r="C771" s="67"/>
      <c r="D771" s="102"/>
      <c r="E771" s="32"/>
      <c r="F771" s="32"/>
      <c r="G771" s="68" t="s">
        <v>285</v>
      </c>
      <c r="H771" s="69">
        <f t="shared" si="315"/>
        <v>0</v>
      </c>
      <c r="I771" s="70">
        <f t="shared" si="316"/>
        <v>0</v>
      </c>
      <c r="J771" s="73" t="str">
        <f t="shared" si="317"/>
        <v>--</v>
      </c>
      <c r="K771" s="32"/>
      <c r="L771" s="233"/>
      <c r="M771" s="278"/>
      <c r="N771" s="278"/>
      <c r="O771" s="278"/>
      <c r="P771" s="278"/>
      <c r="Q771" s="278"/>
      <c r="R771" s="278"/>
      <c r="S771" s="278"/>
      <c r="T771" s="278"/>
      <c r="U771" s="279"/>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 thickBot="1" x14ac:dyDescent="0.35">
      <c r="A772" s="88"/>
      <c r="B772" s="66" t="s">
        <v>306</v>
      </c>
      <c r="C772" s="67"/>
      <c r="D772" s="102"/>
      <c r="E772" s="32"/>
      <c r="F772" s="32"/>
      <c r="G772" s="68" t="s">
        <v>285</v>
      </c>
      <c r="H772" s="69">
        <f t="shared" si="315"/>
        <v>0</v>
      </c>
      <c r="I772" s="70">
        <f t="shared" si="316"/>
        <v>0</v>
      </c>
      <c r="J772" s="73" t="str">
        <f t="shared" si="317"/>
        <v>--</v>
      </c>
      <c r="K772" s="32"/>
      <c r="L772" s="233"/>
      <c r="M772" s="278"/>
      <c r="N772" s="278"/>
      <c r="O772" s="278"/>
      <c r="P772" s="278"/>
      <c r="Q772" s="278"/>
      <c r="R772" s="278"/>
      <c r="S772" s="278"/>
      <c r="T772" s="278"/>
      <c r="U772" s="279"/>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 thickBot="1" x14ac:dyDescent="0.35">
      <c r="A773" s="88"/>
      <c r="B773" s="66" t="s">
        <v>307</v>
      </c>
      <c r="C773" s="67"/>
      <c r="D773" s="102"/>
      <c r="E773" s="32"/>
      <c r="F773" s="32"/>
      <c r="G773" s="68" t="s">
        <v>285</v>
      </c>
      <c r="H773" s="69">
        <f t="shared" si="315"/>
        <v>0</v>
      </c>
      <c r="I773" s="70">
        <f t="shared" si="316"/>
        <v>0</v>
      </c>
      <c r="J773" s="73" t="str">
        <f t="shared" si="317"/>
        <v>--</v>
      </c>
      <c r="K773" s="32"/>
      <c r="L773" s="233"/>
      <c r="M773" s="278"/>
      <c r="N773" s="278"/>
      <c r="O773" s="278"/>
      <c r="P773" s="278"/>
      <c r="Q773" s="278"/>
      <c r="R773" s="278"/>
      <c r="S773" s="278"/>
      <c r="T773" s="278"/>
      <c r="U773" s="279"/>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 thickBot="1" x14ac:dyDescent="0.35">
      <c r="A774" s="88"/>
      <c r="B774" s="66" t="s">
        <v>308</v>
      </c>
      <c r="C774" s="67"/>
      <c r="D774" s="102"/>
      <c r="E774" s="32"/>
      <c r="F774" s="32"/>
      <c r="G774" s="68" t="s">
        <v>285</v>
      </c>
      <c r="H774" s="69">
        <f t="shared" si="315"/>
        <v>0</v>
      </c>
      <c r="I774" s="70">
        <f t="shared" si="316"/>
        <v>0</v>
      </c>
      <c r="J774" s="73" t="str">
        <f t="shared" si="317"/>
        <v>--</v>
      </c>
      <c r="K774" s="32"/>
      <c r="L774" s="233"/>
      <c r="M774" s="278"/>
      <c r="N774" s="278"/>
      <c r="O774" s="278"/>
      <c r="P774" s="278"/>
      <c r="Q774" s="278"/>
      <c r="R774" s="278"/>
      <c r="S774" s="278"/>
      <c r="T774" s="278"/>
      <c r="U774" s="279"/>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 thickBot="1" x14ac:dyDescent="0.35">
      <c r="A775" s="88"/>
      <c r="B775" s="66" t="s">
        <v>309</v>
      </c>
      <c r="C775" s="67"/>
      <c r="D775" s="102"/>
      <c r="E775" s="32"/>
      <c r="F775" s="32"/>
      <c r="G775" s="68" t="s">
        <v>285</v>
      </c>
      <c r="H775" s="69">
        <f t="shared" si="315"/>
        <v>0</v>
      </c>
      <c r="I775" s="70">
        <f t="shared" si="316"/>
        <v>0</v>
      </c>
      <c r="J775" s="73" t="str">
        <f t="shared" si="317"/>
        <v>--</v>
      </c>
      <c r="K775" s="32"/>
      <c r="L775" s="233"/>
      <c r="M775" s="278"/>
      <c r="N775" s="278"/>
      <c r="O775" s="278"/>
      <c r="P775" s="278"/>
      <c r="Q775" s="278"/>
      <c r="R775" s="278"/>
      <c r="S775" s="278"/>
      <c r="T775" s="278"/>
      <c r="U775" s="279"/>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 thickBot="1" x14ac:dyDescent="0.35">
      <c r="A776" s="88"/>
      <c r="B776" s="66" t="s">
        <v>310</v>
      </c>
      <c r="C776" s="67"/>
      <c r="D776" s="102"/>
      <c r="E776" s="32"/>
      <c r="F776" s="32"/>
      <c r="G776" s="68" t="s">
        <v>285</v>
      </c>
      <c r="H776" s="69">
        <f t="shared" si="315"/>
        <v>0</v>
      </c>
      <c r="I776" s="70">
        <f t="shared" si="316"/>
        <v>0</v>
      </c>
      <c r="J776" s="73" t="str">
        <f t="shared" si="317"/>
        <v>--</v>
      </c>
      <c r="K776" s="32"/>
      <c r="L776" s="233"/>
      <c r="M776" s="278"/>
      <c r="N776" s="278"/>
      <c r="O776" s="278"/>
      <c r="P776" s="278"/>
      <c r="Q776" s="278"/>
      <c r="R776" s="278"/>
      <c r="S776" s="278"/>
      <c r="T776" s="278"/>
      <c r="U776" s="279"/>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 thickBot="1" x14ac:dyDescent="0.35">
      <c r="A777" s="88"/>
      <c r="B777" s="66" t="s">
        <v>311</v>
      </c>
      <c r="C777" s="67"/>
      <c r="D777" s="102"/>
      <c r="E777" s="32"/>
      <c r="F777" s="32"/>
      <c r="G777" s="68" t="s">
        <v>285</v>
      </c>
      <c r="H777" s="69">
        <f t="shared" si="315"/>
        <v>0</v>
      </c>
      <c r="I777" s="70">
        <f t="shared" si="316"/>
        <v>0</v>
      </c>
      <c r="J777" s="73" t="str">
        <f t="shared" si="317"/>
        <v>--</v>
      </c>
      <c r="K777" s="32"/>
      <c r="L777" s="233"/>
      <c r="M777" s="278"/>
      <c r="N777" s="278"/>
      <c r="O777" s="278"/>
      <c r="P777" s="278"/>
      <c r="Q777" s="278"/>
      <c r="R777" s="278"/>
      <c r="S777" s="278"/>
      <c r="T777" s="278"/>
      <c r="U777" s="279"/>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 thickBot="1" x14ac:dyDescent="0.35">
      <c r="A778" s="88"/>
      <c r="B778" s="66" t="s">
        <v>312</v>
      </c>
      <c r="C778" s="67"/>
      <c r="D778" s="102"/>
      <c r="E778" s="32"/>
      <c r="F778" s="32"/>
      <c r="G778" s="68" t="s">
        <v>285</v>
      </c>
      <c r="H778" s="69">
        <f t="shared" si="315"/>
        <v>0</v>
      </c>
      <c r="I778" s="70">
        <f t="shared" si="316"/>
        <v>0</v>
      </c>
      <c r="J778" s="73" t="str">
        <f t="shared" si="317"/>
        <v>--</v>
      </c>
      <c r="K778" s="32"/>
      <c r="L778" s="233"/>
      <c r="M778" s="278"/>
      <c r="N778" s="278"/>
      <c r="O778" s="278"/>
      <c r="P778" s="278"/>
      <c r="Q778" s="278"/>
      <c r="R778" s="278"/>
      <c r="S778" s="278"/>
      <c r="T778" s="278"/>
      <c r="U778" s="279"/>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 thickBot="1" x14ac:dyDescent="0.35">
      <c r="A779" s="88"/>
      <c r="B779" s="66" t="s">
        <v>313</v>
      </c>
      <c r="C779" s="67"/>
      <c r="D779" s="102"/>
      <c r="E779" s="32"/>
      <c r="F779" s="32"/>
      <c r="G779" s="68" t="s">
        <v>285</v>
      </c>
      <c r="H779" s="69">
        <f t="shared" si="315"/>
        <v>0</v>
      </c>
      <c r="I779" s="70">
        <f t="shared" si="316"/>
        <v>0</v>
      </c>
      <c r="J779" s="73" t="str">
        <f t="shared" si="317"/>
        <v>--</v>
      </c>
      <c r="K779" s="32"/>
      <c r="L779" s="234"/>
      <c r="M779" s="278"/>
      <c r="N779" s="278"/>
      <c r="O779" s="278"/>
      <c r="P779" s="278"/>
      <c r="Q779" s="278"/>
      <c r="R779" s="278"/>
      <c r="S779" s="278"/>
      <c r="T779" s="278"/>
      <c r="U779" s="279"/>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2" thickBot="1" x14ac:dyDescent="0.35">
      <c r="A780" s="88"/>
      <c r="B780" s="319" t="s">
        <v>412</v>
      </c>
      <c r="C780" s="320"/>
      <c r="D780" s="79"/>
      <c r="E780" s="80"/>
      <c r="F780" s="80"/>
      <c r="G780" s="81"/>
      <c r="H780" s="192"/>
      <c r="I780" s="192"/>
      <c r="J780" s="192"/>
      <c r="K780" s="82"/>
      <c r="L780" s="319" t="s">
        <v>319</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2" thickBot="1" x14ac:dyDescent="0.35">
      <c r="A781" s="88"/>
      <c r="B781" s="319" t="s">
        <v>320</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3">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 thickBot="1" x14ac:dyDescent="0.35">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5">
      <c r="A784" s="88"/>
      <c r="B784" s="85" t="s">
        <v>413</v>
      </c>
      <c r="C784" s="25"/>
      <c r="D784" s="25"/>
      <c r="E784" s="25"/>
      <c r="F784" s="88"/>
      <c r="G784" s="25"/>
      <c r="H784" s="25"/>
      <c r="I784" s="87"/>
      <c r="J784" s="26"/>
      <c r="K784" s="25"/>
      <c r="L784" s="25"/>
      <c r="M784" s="196" t="s">
        <v>217</v>
      </c>
      <c r="N784" s="196" t="s">
        <v>218</v>
      </c>
      <c r="O784" s="196" t="s">
        <v>219</v>
      </c>
      <c r="P784" s="196" t="s">
        <v>220</v>
      </c>
      <c r="Q784" s="196" t="s">
        <v>221</v>
      </c>
      <c r="R784" s="196" t="s">
        <v>222</v>
      </c>
      <c r="S784" s="196" t="s">
        <v>223</v>
      </c>
      <c r="T784" s="196" t="s">
        <v>224</v>
      </c>
      <c r="U784" s="196" t="s">
        <v>225</v>
      </c>
      <c r="V784" s="196" t="s">
        <v>226</v>
      </c>
      <c r="W784" s="113" t="s">
        <v>227</v>
      </c>
      <c r="X784" s="196" t="s">
        <v>228</v>
      </c>
      <c r="Y784" s="25"/>
      <c r="Z784" s="25"/>
      <c r="AA784" s="25"/>
      <c r="AB784" s="25"/>
      <c r="AC784" s="25"/>
      <c r="AD784" s="25"/>
      <c r="BA784" s="226"/>
    </row>
    <row r="785" spans="1:53" ht="15.6" thickTop="1" thickBot="1" x14ac:dyDescent="0.35">
      <c r="A785" s="88"/>
      <c r="B785" s="312" t="s">
        <v>229</v>
      </c>
      <c r="C785" s="313"/>
      <c r="D785" s="314" t="s">
        <v>230</v>
      </c>
      <c r="E785" s="305"/>
      <c r="F785" s="88"/>
      <c r="G785" s="315" t="s">
        <v>231</v>
      </c>
      <c r="H785" s="316"/>
      <c r="I785" s="28">
        <f>SUM(E796:E820)</f>
        <v>0</v>
      </c>
      <c r="J785" s="317" t="s">
        <v>232</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233</v>
      </c>
      <c r="AA785" s="296"/>
      <c r="AB785" s="297"/>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234</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5">
      <c r="A786" s="88"/>
      <c r="B786" s="29" t="s">
        <v>235</v>
      </c>
      <c r="C786" s="30">
        <v>0</v>
      </c>
      <c r="D786" s="31" t="s">
        <v>236</v>
      </c>
      <c r="E786" s="66" t="str">
        <f>TEXT(IF('Cable Calculator'!CU7="","",'Cable Calculator'!CU7),)</f>
        <v/>
      </c>
      <c r="F786" s="88"/>
      <c r="G786" s="304" t="s">
        <v>237</v>
      </c>
      <c r="H786" s="305"/>
      <c r="I786" s="33">
        <f>E787-I785</f>
        <v>0</v>
      </c>
      <c r="J786" s="289" t="s">
        <v>238</v>
      </c>
      <c r="K786" s="290"/>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8" t="s">
        <v>239</v>
      </c>
      <c r="AA786" s="300" t="s">
        <v>240</v>
      </c>
      <c r="AB786" s="301"/>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241</v>
      </c>
      <c r="AU786" s="109">
        <f>COUNTIFS($E786,"SS",$AS786,"Y")</f>
        <v>0</v>
      </c>
      <c r="AV786" s="111">
        <f>COUNTIFS($E786,"RPX",$AS786,"Y")</f>
        <v>0</v>
      </c>
      <c r="AW786" s="111">
        <f>COUNTIFS($E786,"EUC",$AS786,"Y")</f>
        <v>0</v>
      </c>
      <c r="AX786" s="109">
        <f>COUNTIFS($E786,"RPX-T",$AS786,"Y")</f>
        <v>0</v>
      </c>
      <c r="BA786" s="227"/>
    </row>
    <row r="787" spans="1:53" ht="15.6" thickTop="1" thickBot="1" x14ac:dyDescent="0.35">
      <c r="A787" s="88"/>
      <c r="B787" s="36" t="s">
        <v>242</v>
      </c>
      <c r="C787" s="37">
        <v>0</v>
      </c>
      <c r="D787" s="38" t="s">
        <v>243</v>
      </c>
      <c r="E787" s="32"/>
      <c r="F787" s="88"/>
      <c r="G787" s="291" t="s">
        <v>244</v>
      </c>
      <c r="H787" s="292"/>
      <c r="I787" s="35">
        <f>IF(E787=0,0,12-(MOD(I785,12)))</f>
        <v>0</v>
      </c>
      <c r="J787" s="289" t="s">
        <v>245</v>
      </c>
      <c r="K787" s="290"/>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246</v>
      </c>
      <c r="AU787" s="109">
        <f>COUNTIFS($E786,"SS",$AS787,"Y")</f>
        <v>0</v>
      </c>
      <c r="AV787" s="108">
        <f>COUNTIFS($E786,"RPX",$AS787,"Y")</f>
        <v>0</v>
      </c>
      <c r="AW787" s="108">
        <f>COUNTIFS($E786,"EUC",$AS787,"Y")</f>
        <v>0</v>
      </c>
      <c r="AX787" s="109">
        <f>COUNTIFS($E786,"RPX-T",$AS787,"Y")</f>
        <v>0</v>
      </c>
      <c r="BA787" s="227"/>
    </row>
    <row r="788" spans="1:53" ht="16.5" customHeight="1" thickTop="1" thickBot="1" x14ac:dyDescent="0.35">
      <c r="A788" s="88"/>
      <c r="B788" s="40" t="s">
        <v>247</v>
      </c>
      <c r="C788" s="30">
        <v>0</v>
      </c>
      <c r="D788" s="41" t="s">
        <v>248</v>
      </c>
      <c r="E788" s="42"/>
      <c r="F788" s="88"/>
      <c r="G788" s="321" t="s">
        <v>249</v>
      </c>
      <c r="H788" s="43" t="s">
        <v>250</v>
      </c>
      <c r="I788" s="35">
        <f>IF(E788&lt;&gt;0,1,0)</f>
        <v>0</v>
      </c>
      <c r="J788" s="291" t="s">
        <v>251</v>
      </c>
      <c r="K788" s="292"/>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252</v>
      </c>
      <c r="AU788" s="109">
        <f>COUNTIFS($E786,"SS",$AS788,"Y")</f>
        <v>0</v>
      </c>
      <c r="AV788" s="108">
        <f>COUNTIFS($E786,"RPX",$AS788,"Y")</f>
        <v>0</v>
      </c>
      <c r="AW788" s="108">
        <f>COUNTIFS($E786,"EUC",$AS788,"Y")</f>
        <v>0</v>
      </c>
      <c r="AX788" s="109">
        <f>COUNTIFS($E786,"RPX-T",$AS788,"Y")</f>
        <v>0</v>
      </c>
      <c r="BA788" s="227"/>
    </row>
    <row r="789" spans="1:53" ht="15.6" thickTop="1" thickBot="1" x14ac:dyDescent="0.35">
      <c r="A789" s="88"/>
      <c r="B789" s="29" t="s">
        <v>253</v>
      </c>
      <c r="C789" s="37">
        <v>0</v>
      </c>
      <c r="D789" s="41" t="s">
        <v>254</v>
      </c>
      <c r="E789" s="42"/>
      <c r="F789" s="88"/>
      <c r="G789" s="322"/>
      <c r="H789" s="47" t="s">
        <v>255</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5">
      <c r="A790" s="88"/>
      <c r="B790" s="36" t="s">
        <v>256</v>
      </c>
      <c r="C790" s="30">
        <v>0</v>
      </c>
      <c r="D790" s="49" t="s">
        <v>257</v>
      </c>
      <c r="E790" s="50">
        <f>E787/12</f>
        <v>0</v>
      </c>
      <c r="F790" s="88"/>
      <c r="G790" s="321" t="s">
        <v>258</v>
      </c>
      <c r="H790" s="51" t="s">
        <v>259</v>
      </c>
      <c r="I790" s="112">
        <f>E789</f>
        <v>0</v>
      </c>
      <c r="J790" s="323" t="s">
        <v>260</v>
      </c>
      <c r="K790" s="324"/>
      <c r="L790" s="325"/>
      <c r="M790" s="52" t="s">
        <v>261</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5.6" thickTop="1" thickBot="1" x14ac:dyDescent="0.35">
      <c r="A791" s="88"/>
      <c r="B791" s="36" t="s">
        <v>262</v>
      </c>
      <c r="C791" s="30">
        <v>0</v>
      </c>
      <c r="D791" s="31" t="s">
        <v>263</v>
      </c>
      <c r="E791" s="101" t="str">
        <f>IF('Cable Calculator'!CU5="","",'Cable Calculator'!CU5)</f>
        <v/>
      </c>
      <c r="F791" s="88"/>
      <c r="G791" s="322"/>
      <c r="H791" s="47" t="s">
        <v>264</v>
      </c>
      <c r="I791" s="35" t="str">
        <f>IF(E789="","0",IF(AND(E786="EUC",E787=432), I790+(203-E788),IF(E789=0,0,(E789+(E787-E788)-1))))</f>
        <v>0</v>
      </c>
      <c r="J791" s="286" t="str">
        <f>IFERROR(IF(OR(E786="EUC",E786="SS"),"---",IF(OR(P785,S785),"NO 2F Tethers for RPX!",IF(OR(P787,S787),"NO 6F Tethers for RPX!","---"))),"---")</f>
        <v>---</v>
      </c>
      <c r="K791" s="287"/>
      <c r="L791" s="288"/>
      <c r="M791" s="286" t="str">
        <f>IF(E788&gt;60,"Dead Count &gt;60: Consider Downsize","---")</f>
        <v>---</v>
      </c>
      <c r="N791" s="287"/>
      <c r="O791" s="287"/>
      <c r="P791" s="287"/>
      <c r="Q791" s="287"/>
      <c r="R791" s="287"/>
      <c r="S791" s="287"/>
      <c r="T791" s="287"/>
      <c r="U791" s="288"/>
      <c r="V791" s="100"/>
      <c r="W791" s="54">
        <f>SUM(P791:U791)</f>
        <v>0</v>
      </c>
      <c r="X791" s="54"/>
      <c r="Y791" s="25"/>
      <c r="Z791" s="45">
        <v>4</v>
      </c>
      <c r="AA791" s="46">
        <v>37</v>
      </c>
      <c r="AB791" s="46">
        <v>48</v>
      </c>
      <c r="AC791" s="25"/>
      <c r="AD791" s="25"/>
      <c r="BA791" s="227"/>
    </row>
    <row r="792" spans="1:53" ht="15.6" thickTop="1" thickBot="1" x14ac:dyDescent="0.35">
      <c r="A792" s="88"/>
      <c r="B792" s="55" t="s">
        <v>265</v>
      </c>
      <c r="C792" s="56">
        <f>SUM(C786:C791)+I785</f>
        <v>0</v>
      </c>
      <c r="D792" s="31" t="s">
        <v>266</v>
      </c>
      <c r="E792" s="101" t="str">
        <f>IF(AS786="Y","DBL",IF(AS787="Y","TRPL",IF(AS788="Y","QUAD","")))</f>
        <v/>
      </c>
      <c r="F792" s="88"/>
      <c r="G792" s="192"/>
      <c r="H792" s="57"/>
      <c r="I792" s="192"/>
      <c r="J792" s="286"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7"/>
      <c r="L792" s="288"/>
      <c r="M792" s="286" t="str">
        <f>IF(AND(OR(E786="SS",E786="RPX",E786="EUC",E786="RPX-T"),(OR(C796="",C796="Field SPL"))),"Cannot have FlexNap cables without tethers","---")</f>
        <v>---</v>
      </c>
      <c r="N792" s="287"/>
      <c r="O792" s="287"/>
      <c r="P792" s="287"/>
      <c r="Q792" s="287"/>
      <c r="R792" s="287"/>
      <c r="S792" s="287"/>
      <c r="T792" s="287"/>
      <c r="U792" s="288"/>
      <c r="V792" s="25"/>
      <c r="W792" s="58"/>
      <c r="X792" s="58"/>
      <c r="Y792" s="25"/>
      <c r="Z792" s="45">
        <v>5</v>
      </c>
      <c r="AA792" s="46">
        <v>49</v>
      </c>
      <c r="AB792" s="46">
        <v>60</v>
      </c>
      <c r="AC792" s="25"/>
      <c r="AD792" s="25"/>
      <c r="BA792" s="227"/>
    </row>
    <row r="793" spans="1:53" ht="15.6" thickTop="1" thickBot="1" x14ac:dyDescent="0.35">
      <c r="A793" s="88"/>
      <c r="B793" s="59"/>
      <c r="C793" s="60"/>
      <c r="D793" s="61"/>
      <c r="E793" s="62"/>
      <c r="F793" s="88"/>
      <c r="G793" s="63"/>
      <c r="H793" s="64"/>
      <c r="I793" s="63"/>
      <c r="J793" s="286" t="str">
        <f>IF(AND(OR(E786="RPX", E786="RPX-T", E786="SS"),E787=216),"NO 216 For RPX, RPX-T, OR SS CABLE","---")</f>
        <v>---</v>
      </c>
      <c r="K793" s="287"/>
      <c r="L793" s="288"/>
      <c r="M793" s="286" t="str" cm="1">
        <f t="array" ref="M793">IF(AND(E786="",OR(C796:C820="FST",C796:C820="REV T",C796:C820="DBL REV",C796:C820="TPL REV", C796:C820="QD REV")),"Non-FlexNap cables cannot have tethers","---")</f>
        <v>---</v>
      </c>
      <c r="N793" s="287"/>
      <c r="O793" s="287"/>
      <c r="P793" s="287"/>
      <c r="Q793" s="287"/>
      <c r="R793" s="287"/>
      <c r="S793" s="287"/>
      <c r="T793" s="287"/>
      <c r="U793" s="288"/>
      <c r="V793" s="25"/>
      <c r="W793" s="58"/>
      <c r="X793" s="58"/>
      <c r="Y793" s="25"/>
      <c r="Z793" s="45">
        <v>6</v>
      </c>
      <c r="AA793" s="65">
        <v>61</v>
      </c>
      <c r="AB793" s="65">
        <v>72</v>
      </c>
      <c r="AC793" s="25"/>
      <c r="AD793" s="25"/>
      <c r="BA793" s="226"/>
    </row>
    <row r="794" spans="1:53" ht="15.75" customHeight="1" thickBot="1" x14ac:dyDescent="0.35">
      <c r="A794" s="88"/>
      <c r="B794" s="321" t="s">
        <v>267</v>
      </c>
      <c r="C794" s="293" t="s">
        <v>268</v>
      </c>
      <c r="D794" s="293" t="s">
        <v>269</v>
      </c>
      <c r="E794" s="306" t="s">
        <v>270</v>
      </c>
      <c r="F794" s="293" t="s">
        <v>271</v>
      </c>
      <c r="G794" s="308" t="s">
        <v>272</v>
      </c>
      <c r="H794" s="308" t="s">
        <v>273</v>
      </c>
      <c r="I794" s="308" t="s">
        <v>274</v>
      </c>
      <c r="J794" s="310" t="s">
        <v>275</v>
      </c>
      <c r="K794" s="293" t="s">
        <v>276</v>
      </c>
      <c r="L794" s="280" t="s">
        <v>277</v>
      </c>
      <c r="M794" s="282" t="s">
        <v>278</v>
      </c>
      <c r="N794" s="282"/>
      <c r="O794" s="282"/>
      <c r="P794" s="282"/>
      <c r="Q794" s="282"/>
      <c r="R794" s="282"/>
      <c r="S794" s="282"/>
      <c r="T794" s="282"/>
      <c r="U794" s="283"/>
      <c r="V794" s="107"/>
      <c r="W794" s="72"/>
      <c r="X794" s="72"/>
      <c r="Y794" s="72"/>
      <c r="Z794" s="45">
        <v>7</v>
      </c>
      <c r="AA794" s="65">
        <v>73</v>
      </c>
      <c r="AB794" s="65">
        <v>84</v>
      </c>
      <c r="AC794" s="25"/>
      <c r="AD794" s="25"/>
      <c r="BA794" s="228"/>
    </row>
    <row r="795" spans="1:53" ht="15" thickBot="1" x14ac:dyDescent="0.35">
      <c r="A795" s="88"/>
      <c r="B795" s="322"/>
      <c r="C795" s="294"/>
      <c r="D795" s="294"/>
      <c r="E795" s="307"/>
      <c r="F795" s="294"/>
      <c r="G795" s="309"/>
      <c r="H795" s="309"/>
      <c r="I795" s="309"/>
      <c r="J795" s="311"/>
      <c r="K795" s="294"/>
      <c r="L795" s="281"/>
      <c r="M795" s="284"/>
      <c r="N795" s="284"/>
      <c r="O795" s="284"/>
      <c r="P795" s="284"/>
      <c r="Q795" s="284"/>
      <c r="R795" s="284"/>
      <c r="S795" s="284"/>
      <c r="T795" s="284"/>
      <c r="U795" s="285"/>
      <c r="V795" s="107"/>
      <c r="W795" s="72"/>
      <c r="X795" s="72"/>
      <c r="Y795" s="72"/>
      <c r="Z795" s="45">
        <v>8</v>
      </c>
      <c r="AA795" s="46">
        <v>85</v>
      </c>
      <c r="AB795" s="46">
        <v>96</v>
      </c>
      <c r="AC795" s="25"/>
      <c r="AD795" s="25"/>
      <c r="AI795" s="109" t="s">
        <v>279</v>
      </c>
      <c r="AJ795" s="109" t="s">
        <v>280</v>
      </c>
      <c r="AK795" s="109" t="s">
        <v>281</v>
      </c>
      <c r="AL795" s="109" t="s">
        <v>282</v>
      </c>
      <c r="BA795" s="228"/>
    </row>
    <row r="796" spans="1:53" ht="15" thickBot="1" x14ac:dyDescent="0.35">
      <c r="A796" s="88"/>
      <c r="B796" s="66" t="s">
        <v>283</v>
      </c>
      <c r="C796" s="67"/>
      <c r="D796" s="102"/>
      <c r="E796" s="32"/>
      <c r="F796" s="32"/>
      <c r="G796" s="68" t="s">
        <v>285</v>
      </c>
      <c r="H796" s="69">
        <f>IF(I796=0,0,I796-(E796-1))</f>
        <v>0</v>
      </c>
      <c r="I796" s="70">
        <f>IF(E796=0,0,I791)</f>
        <v>0</v>
      </c>
      <c r="J796" s="71" t="s">
        <v>286</v>
      </c>
      <c r="K796" s="32"/>
      <c r="L796" s="233"/>
      <c r="M796" s="278"/>
      <c r="N796" s="278"/>
      <c r="O796" s="278"/>
      <c r="P796" s="278"/>
      <c r="Q796" s="278"/>
      <c r="R796" s="278"/>
      <c r="S796" s="278"/>
      <c r="T796" s="278"/>
      <c r="U796" s="279"/>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 thickBot="1" x14ac:dyDescent="0.35">
      <c r="A797" s="88"/>
      <c r="B797" s="66" t="s">
        <v>288</v>
      </c>
      <c r="C797" s="67"/>
      <c r="D797" s="102"/>
      <c r="E797" s="32"/>
      <c r="F797" s="32"/>
      <c r="G797" s="68" t="s">
        <v>285</v>
      </c>
      <c r="H797" s="69">
        <f t="shared" ref="H797:H820" si="332">IF(E797=0,0,I797-(E797-1))</f>
        <v>0</v>
      </c>
      <c r="I797" s="70">
        <f t="shared" ref="I797:I820" si="333">IF(E797=0,0,H796-1)</f>
        <v>0</v>
      </c>
      <c r="J797" s="73" t="str">
        <f>IF(C797="","--",IF(AND(C797&lt;&gt;"FST",C797&lt;&gt;"TCF",BA796&lt;&gt;0),BA796,"--"))</f>
        <v>--</v>
      </c>
      <c r="K797" s="32"/>
      <c r="L797" s="233"/>
      <c r="M797" s="278"/>
      <c r="N797" s="278"/>
      <c r="O797" s="278"/>
      <c r="P797" s="278"/>
      <c r="Q797" s="278"/>
      <c r="R797" s="278"/>
      <c r="S797" s="278"/>
      <c r="T797" s="278"/>
      <c r="U797" s="279"/>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 thickBot="1" x14ac:dyDescent="0.35">
      <c r="A798" s="88"/>
      <c r="B798" s="74" t="s">
        <v>290</v>
      </c>
      <c r="C798" s="67"/>
      <c r="D798" s="102"/>
      <c r="E798" s="32"/>
      <c r="F798" s="32"/>
      <c r="G798" s="75" t="s">
        <v>285</v>
      </c>
      <c r="H798" s="69">
        <f t="shared" si="332"/>
        <v>0</v>
      </c>
      <c r="I798" s="70">
        <f t="shared" si="333"/>
        <v>0</v>
      </c>
      <c r="J798" s="73" t="str">
        <f t="shared" ref="J798:J820" si="334">IF(C798="","--",IF(AND(C798&lt;&gt;"FST",C798&lt;&gt;"TCF",BA797&lt;&gt;0),BA797,"--"))</f>
        <v>--</v>
      </c>
      <c r="K798" s="32"/>
      <c r="L798" s="233"/>
      <c r="M798" s="278"/>
      <c r="N798" s="278"/>
      <c r="O798" s="278"/>
      <c r="P798" s="278"/>
      <c r="Q798" s="278"/>
      <c r="R798" s="278"/>
      <c r="S798" s="278"/>
      <c r="T798" s="278"/>
      <c r="U798" s="279"/>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 thickBot="1" x14ac:dyDescent="0.35">
      <c r="A799" s="88"/>
      <c r="B799" s="66" t="s">
        <v>292</v>
      </c>
      <c r="C799" s="67"/>
      <c r="D799" s="102"/>
      <c r="E799" s="32"/>
      <c r="F799" s="32"/>
      <c r="G799" s="68" t="s">
        <v>285</v>
      </c>
      <c r="H799" s="69">
        <f t="shared" si="332"/>
        <v>0</v>
      </c>
      <c r="I799" s="70">
        <f t="shared" si="333"/>
        <v>0</v>
      </c>
      <c r="J799" s="73" t="str">
        <f t="shared" si="334"/>
        <v>--</v>
      </c>
      <c r="K799" s="32"/>
      <c r="L799" s="233"/>
      <c r="M799" s="278"/>
      <c r="N799" s="278"/>
      <c r="O799" s="278"/>
      <c r="P799" s="278"/>
      <c r="Q799" s="278"/>
      <c r="R799" s="278"/>
      <c r="S799" s="278"/>
      <c r="T799" s="278"/>
      <c r="U799" s="279"/>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 thickBot="1" x14ac:dyDescent="0.35">
      <c r="A800" s="88"/>
      <c r="B800" s="66" t="s">
        <v>293</v>
      </c>
      <c r="C800" s="67"/>
      <c r="D800" s="102"/>
      <c r="E800" s="32"/>
      <c r="F800" s="32"/>
      <c r="G800" s="68" t="s">
        <v>285</v>
      </c>
      <c r="H800" s="69">
        <f t="shared" si="332"/>
        <v>0</v>
      </c>
      <c r="I800" s="70">
        <f t="shared" si="333"/>
        <v>0</v>
      </c>
      <c r="J800" s="73" t="str">
        <f t="shared" si="334"/>
        <v>--</v>
      </c>
      <c r="K800" s="32"/>
      <c r="L800" s="233"/>
      <c r="M800" s="278"/>
      <c r="N800" s="278"/>
      <c r="O800" s="278"/>
      <c r="P800" s="278"/>
      <c r="Q800" s="278"/>
      <c r="R800" s="278"/>
      <c r="S800" s="278"/>
      <c r="T800" s="278"/>
      <c r="U800" s="279"/>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 thickBot="1" x14ac:dyDescent="0.35">
      <c r="A801" s="88"/>
      <c r="B801" s="66" t="s">
        <v>294</v>
      </c>
      <c r="C801" s="67"/>
      <c r="D801" s="102"/>
      <c r="E801" s="32"/>
      <c r="F801" s="32"/>
      <c r="G801" s="68" t="s">
        <v>285</v>
      </c>
      <c r="H801" s="69">
        <f t="shared" si="332"/>
        <v>0</v>
      </c>
      <c r="I801" s="70">
        <f t="shared" si="333"/>
        <v>0</v>
      </c>
      <c r="J801" s="73" t="str">
        <f t="shared" si="334"/>
        <v>--</v>
      </c>
      <c r="K801" s="32"/>
      <c r="L801" s="233"/>
      <c r="M801" s="278"/>
      <c r="N801" s="278"/>
      <c r="O801" s="278"/>
      <c r="P801" s="278"/>
      <c r="Q801" s="278"/>
      <c r="R801" s="278"/>
      <c r="S801" s="278"/>
      <c r="T801" s="278"/>
      <c r="U801" s="279"/>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 thickBot="1" x14ac:dyDescent="0.35">
      <c r="A802" s="88"/>
      <c r="B802" s="66" t="s">
        <v>295</v>
      </c>
      <c r="C802" s="67"/>
      <c r="D802" s="102"/>
      <c r="E802" s="32"/>
      <c r="F802" s="32"/>
      <c r="G802" s="68" t="s">
        <v>285</v>
      </c>
      <c r="H802" s="69">
        <f t="shared" si="332"/>
        <v>0</v>
      </c>
      <c r="I802" s="70">
        <f t="shared" si="333"/>
        <v>0</v>
      </c>
      <c r="J802" s="73" t="str">
        <f t="shared" si="334"/>
        <v>--</v>
      </c>
      <c r="K802" s="32"/>
      <c r="L802" s="233"/>
      <c r="M802" s="278"/>
      <c r="N802" s="278"/>
      <c r="O802" s="278"/>
      <c r="P802" s="278"/>
      <c r="Q802" s="278"/>
      <c r="R802" s="278"/>
      <c r="S802" s="278"/>
      <c r="T802" s="278"/>
      <c r="U802" s="27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 thickBot="1" x14ac:dyDescent="0.35">
      <c r="A803" s="88"/>
      <c r="B803" s="66" t="s">
        <v>296</v>
      </c>
      <c r="C803" s="67"/>
      <c r="D803" s="102"/>
      <c r="E803" s="32"/>
      <c r="F803" s="32"/>
      <c r="G803" s="68" t="s">
        <v>285</v>
      </c>
      <c r="H803" s="69">
        <f t="shared" si="332"/>
        <v>0</v>
      </c>
      <c r="I803" s="70">
        <f t="shared" si="333"/>
        <v>0</v>
      </c>
      <c r="J803" s="73" t="str">
        <f t="shared" si="334"/>
        <v>--</v>
      </c>
      <c r="K803" s="32"/>
      <c r="L803" s="233"/>
      <c r="M803" s="278"/>
      <c r="N803" s="278"/>
      <c r="O803" s="278"/>
      <c r="P803" s="278"/>
      <c r="Q803" s="278"/>
      <c r="R803" s="278"/>
      <c r="S803" s="278"/>
      <c r="T803" s="278"/>
      <c r="U803" s="27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 thickBot="1" x14ac:dyDescent="0.35">
      <c r="A804" s="88"/>
      <c r="B804" s="66" t="s">
        <v>297</v>
      </c>
      <c r="C804" s="67"/>
      <c r="D804" s="102"/>
      <c r="E804" s="32"/>
      <c r="F804" s="32"/>
      <c r="G804" s="68" t="s">
        <v>285</v>
      </c>
      <c r="H804" s="69">
        <f t="shared" si="332"/>
        <v>0</v>
      </c>
      <c r="I804" s="70">
        <f t="shared" si="333"/>
        <v>0</v>
      </c>
      <c r="J804" s="73" t="str">
        <f t="shared" si="334"/>
        <v>--</v>
      </c>
      <c r="K804" s="32"/>
      <c r="L804" s="233"/>
      <c r="M804" s="278"/>
      <c r="N804" s="278"/>
      <c r="O804" s="278"/>
      <c r="P804" s="278"/>
      <c r="Q804" s="278"/>
      <c r="R804" s="278"/>
      <c r="S804" s="278"/>
      <c r="T804" s="278"/>
      <c r="U804" s="27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 thickBot="1" x14ac:dyDescent="0.35">
      <c r="A805" s="88"/>
      <c r="B805" s="66" t="s">
        <v>298</v>
      </c>
      <c r="C805" s="67"/>
      <c r="D805" s="102"/>
      <c r="E805" s="32"/>
      <c r="F805" s="32"/>
      <c r="G805" s="68" t="s">
        <v>285</v>
      </c>
      <c r="H805" s="69">
        <f t="shared" si="332"/>
        <v>0</v>
      </c>
      <c r="I805" s="70">
        <f t="shared" si="333"/>
        <v>0</v>
      </c>
      <c r="J805" s="73" t="str">
        <f t="shared" si="334"/>
        <v>--</v>
      </c>
      <c r="K805" s="32"/>
      <c r="L805" s="233"/>
      <c r="M805" s="278"/>
      <c r="N805" s="278"/>
      <c r="O805" s="278"/>
      <c r="P805" s="278"/>
      <c r="Q805" s="278"/>
      <c r="R805" s="278"/>
      <c r="S805" s="278"/>
      <c r="T805" s="278"/>
      <c r="U805" s="27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 thickBot="1" x14ac:dyDescent="0.35">
      <c r="A806" s="88"/>
      <c r="B806" s="66" t="s">
        <v>299</v>
      </c>
      <c r="C806" s="67"/>
      <c r="D806" s="102"/>
      <c r="E806" s="32"/>
      <c r="F806" s="32"/>
      <c r="G806" s="68" t="s">
        <v>285</v>
      </c>
      <c r="H806" s="69">
        <f t="shared" si="332"/>
        <v>0</v>
      </c>
      <c r="I806" s="70">
        <f t="shared" si="333"/>
        <v>0</v>
      </c>
      <c r="J806" s="73" t="str">
        <f t="shared" si="334"/>
        <v>--</v>
      </c>
      <c r="K806" s="32"/>
      <c r="L806" s="233"/>
      <c r="M806" s="278"/>
      <c r="N806" s="278"/>
      <c r="O806" s="278"/>
      <c r="P806" s="278"/>
      <c r="Q806" s="278"/>
      <c r="R806" s="278"/>
      <c r="S806" s="278"/>
      <c r="T806" s="278"/>
      <c r="U806" s="279"/>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 thickBot="1" x14ac:dyDescent="0.35">
      <c r="A807" s="88"/>
      <c r="B807" s="66" t="s">
        <v>300</v>
      </c>
      <c r="C807" s="67"/>
      <c r="D807" s="102"/>
      <c r="E807" s="32"/>
      <c r="F807" s="32"/>
      <c r="G807" s="68" t="s">
        <v>285</v>
      </c>
      <c r="H807" s="69">
        <f t="shared" si="332"/>
        <v>0</v>
      </c>
      <c r="I807" s="70">
        <f t="shared" si="333"/>
        <v>0</v>
      </c>
      <c r="J807" s="73" t="str">
        <f t="shared" si="334"/>
        <v>--</v>
      </c>
      <c r="K807" s="32"/>
      <c r="L807" s="233"/>
      <c r="M807" s="278"/>
      <c r="N807" s="278"/>
      <c r="O807" s="278"/>
      <c r="P807" s="278"/>
      <c r="Q807" s="278"/>
      <c r="R807" s="278"/>
      <c r="S807" s="278"/>
      <c r="T807" s="278"/>
      <c r="U807" s="279"/>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 thickBot="1" x14ac:dyDescent="0.35">
      <c r="A808" s="88"/>
      <c r="B808" s="66" t="s">
        <v>301</v>
      </c>
      <c r="C808" s="67"/>
      <c r="D808" s="102"/>
      <c r="E808" s="32"/>
      <c r="F808" s="32"/>
      <c r="G808" s="68" t="s">
        <v>285</v>
      </c>
      <c r="H808" s="69">
        <f t="shared" si="332"/>
        <v>0</v>
      </c>
      <c r="I808" s="70">
        <f t="shared" si="333"/>
        <v>0</v>
      </c>
      <c r="J808" s="73" t="str">
        <f t="shared" si="334"/>
        <v>--</v>
      </c>
      <c r="K808" s="32"/>
      <c r="L808" s="233"/>
      <c r="M808" s="278"/>
      <c r="N808" s="278"/>
      <c r="O808" s="278"/>
      <c r="P808" s="278"/>
      <c r="Q808" s="278"/>
      <c r="R808" s="278"/>
      <c r="S808" s="278"/>
      <c r="T808" s="278"/>
      <c r="U808" s="279"/>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 thickBot="1" x14ac:dyDescent="0.35">
      <c r="A809" s="88"/>
      <c r="B809" s="66" t="s">
        <v>302</v>
      </c>
      <c r="C809" s="67"/>
      <c r="D809" s="102"/>
      <c r="E809" s="32"/>
      <c r="F809" s="32"/>
      <c r="G809" s="68" t="s">
        <v>285</v>
      </c>
      <c r="H809" s="69">
        <f t="shared" si="332"/>
        <v>0</v>
      </c>
      <c r="I809" s="70">
        <f t="shared" si="333"/>
        <v>0</v>
      </c>
      <c r="J809" s="73" t="str">
        <f t="shared" si="334"/>
        <v>--</v>
      </c>
      <c r="K809" s="32"/>
      <c r="L809" s="233"/>
      <c r="M809" s="278"/>
      <c r="N809" s="278"/>
      <c r="O809" s="278"/>
      <c r="P809" s="278"/>
      <c r="Q809" s="278"/>
      <c r="R809" s="278"/>
      <c r="S809" s="278"/>
      <c r="T809" s="278"/>
      <c r="U809" s="279"/>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 thickBot="1" x14ac:dyDescent="0.35">
      <c r="A810" s="88"/>
      <c r="B810" s="66" t="s">
        <v>303</v>
      </c>
      <c r="C810" s="67"/>
      <c r="D810" s="102"/>
      <c r="E810" s="32"/>
      <c r="F810" s="32"/>
      <c r="G810" s="68" t="s">
        <v>285</v>
      </c>
      <c r="H810" s="69">
        <f t="shared" si="332"/>
        <v>0</v>
      </c>
      <c r="I810" s="70">
        <f t="shared" si="333"/>
        <v>0</v>
      </c>
      <c r="J810" s="73" t="str">
        <f t="shared" si="334"/>
        <v>--</v>
      </c>
      <c r="K810" s="32"/>
      <c r="L810" s="233"/>
      <c r="M810" s="278"/>
      <c r="N810" s="278"/>
      <c r="O810" s="278"/>
      <c r="P810" s="278"/>
      <c r="Q810" s="278"/>
      <c r="R810" s="278"/>
      <c r="S810" s="278"/>
      <c r="T810" s="278"/>
      <c r="U810" s="279"/>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 thickBot="1" x14ac:dyDescent="0.35">
      <c r="A811" s="88"/>
      <c r="B811" s="66" t="s">
        <v>304</v>
      </c>
      <c r="C811" s="67"/>
      <c r="D811" s="102"/>
      <c r="E811" s="32"/>
      <c r="F811" s="32"/>
      <c r="G811" s="68" t="s">
        <v>285</v>
      </c>
      <c r="H811" s="69">
        <f t="shared" si="332"/>
        <v>0</v>
      </c>
      <c r="I811" s="70">
        <f t="shared" si="333"/>
        <v>0</v>
      </c>
      <c r="J811" s="73" t="str">
        <f t="shared" si="334"/>
        <v>--</v>
      </c>
      <c r="K811" s="32"/>
      <c r="L811" s="233"/>
      <c r="M811" s="278"/>
      <c r="N811" s="278"/>
      <c r="O811" s="278"/>
      <c r="P811" s="278"/>
      <c r="Q811" s="278"/>
      <c r="R811" s="278"/>
      <c r="S811" s="278"/>
      <c r="T811" s="278"/>
      <c r="U811" s="279"/>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 thickBot="1" x14ac:dyDescent="0.35">
      <c r="A812" s="88"/>
      <c r="B812" s="66" t="s">
        <v>305</v>
      </c>
      <c r="C812" s="67"/>
      <c r="D812" s="102"/>
      <c r="E812" s="32"/>
      <c r="F812" s="32"/>
      <c r="G812" s="68" t="s">
        <v>285</v>
      </c>
      <c r="H812" s="69">
        <f t="shared" si="332"/>
        <v>0</v>
      </c>
      <c r="I812" s="70">
        <f t="shared" si="333"/>
        <v>0</v>
      </c>
      <c r="J812" s="73" t="str">
        <f t="shared" si="334"/>
        <v>--</v>
      </c>
      <c r="K812" s="32"/>
      <c r="L812" s="233"/>
      <c r="M812" s="278"/>
      <c r="N812" s="278"/>
      <c r="O812" s="278"/>
      <c r="P812" s="278"/>
      <c r="Q812" s="278"/>
      <c r="R812" s="278"/>
      <c r="S812" s="278"/>
      <c r="T812" s="278"/>
      <c r="U812" s="279"/>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 thickBot="1" x14ac:dyDescent="0.35">
      <c r="A813" s="88"/>
      <c r="B813" s="66" t="s">
        <v>306</v>
      </c>
      <c r="C813" s="67"/>
      <c r="D813" s="102"/>
      <c r="E813" s="32"/>
      <c r="F813" s="32"/>
      <c r="G813" s="68" t="s">
        <v>285</v>
      </c>
      <c r="H813" s="69">
        <f t="shared" si="332"/>
        <v>0</v>
      </c>
      <c r="I813" s="70">
        <f t="shared" si="333"/>
        <v>0</v>
      </c>
      <c r="J813" s="73" t="str">
        <f t="shared" si="334"/>
        <v>--</v>
      </c>
      <c r="K813" s="32"/>
      <c r="L813" s="233"/>
      <c r="M813" s="278"/>
      <c r="N813" s="278"/>
      <c r="O813" s="278"/>
      <c r="P813" s="278"/>
      <c r="Q813" s="278"/>
      <c r="R813" s="278"/>
      <c r="S813" s="278"/>
      <c r="T813" s="278"/>
      <c r="U813" s="279"/>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 thickBot="1" x14ac:dyDescent="0.35">
      <c r="A814" s="88"/>
      <c r="B814" s="66" t="s">
        <v>307</v>
      </c>
      <c r="C814" s="67"/>
      <c r="D814" s="102"/>
      <c r="E814" s="32"/>
      <c r="F814" s="32"/>
      <c r="G814" s="68" t="s">
        <v>285</v>
      </c>
      <c r="H814" s="69">
        <f t="shared" si="332"/>
        <v>0</v>
      </c>
      <c r="I814" s="70">
        <f t="shared" si="333"/>
        <v>0</v>
      </c>
      <c r="J814" s="73" t="str">
        <f t="shared" si="334"/>
        <v>--</v>
      </c>
      <c r="K814" s="32"/>
      <c r="L814" s="233"/>
      <c r="M814" s="278"/>
      <c r="N814" s="278"/>
      <c r="O814" s="278"/>
      <c r="P814" s="278"/>
      <c r="Q814" s="278"/>
      <c r="R814" s="278"/>
      <c r="S814" s="278"/>
      <c r="T814" s="278"/>
      <c r="U814" s="279"/>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 thickBot="1" x14ac:dyDescent="0.35">
      <c r="A815" s="88"/>
      <c r="B815" s="66" t="s">
        <v>308</v>
      </c>
      <c r="C815" s="67"/>
      <c r="D815" s="102"/>
      <c r="E815" s="32"/>
      <c r="F815" s="32"/>
      <c r="G815" s="68" t="s">
        <v>285</v>
      </c>
      <c r="H815" s="69">
        <f t="shared" si="332"/>
        <v>0</v>
      </c>
      <c r="I815" s="70">
        <f t="shared" si="333"/>
        <v>0</v>
      </c>
      <c r="J815" s="73" t="str">
        <f t="shared" si="334"/>
        <v>--</v>
      </c>
      <c r="K815" s="32"/>
      <c r="L815" s="233"/>
      <c r="M815" s="278"/>
      <c r="N815" s="278"/>
      <c r="O815" s="278"/>
      <c r="P815" s="278"/>
      <c r="Q815" s="278"/>
      <c r="R815" s="278"/>
      <c r="S815" s="278"/>
      <c r="T815" s="278"/>
      <c r="U815" s="279"/>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 thickBot="1" x14ac:dyDescent="0.35">
      <c r="A816" s="88"/>
      <c r="B816" s="66" t="s">
        <v>309</v>
      </c>
      <c r="C816" s="67"/>
      <c r="D816" s="102"/>
      <c r="E816" s="32"/>
      <c r="F816" s="32"/>
      <c r="G816" s="68" t="s">
        <v>285</v>
      </c>
      <c r="H816" s="69">
        <f t="shared" si="332"/>
        <v>0</v>
      </c>
      <c r="I816" s="70">
        <f t="shared" si="333"/>
        <v>0</v>
      </c>
      <c r="J816" s="73" t="str">
        <f t="shared" si="334"/>
        <v>--</v>
      </c>
      <c r="K816" s="32"/>
      <c r="L816" s="233"/>
      <c r="M816" s="278"/>
      <c r="N816" s="278"/>
      <c r="O816" s="278"/>
      <c r="P816" s="278"/>
      <c r="Q816" s="278"/>
      <c r="R816" s="278"/>
      <c r="S816" s="278"/>
      <c r="T816" s="278"/>
      <c r="U816" s="279"/>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 thickBot="1" x14ac:dyDescent="0.35">
      <c r="A817" s="88"/>
      <c r="B817" s="66" t="s">
        <v>310</v>
      </c>
      <c r="C817" s="67"/>
      <c r="D817" s="102"/>
      <c r="E817" s="32"/>
      <c r="F817" s="32"/>
      <c r="G817" s="68" t="s">
        <v>285</v>
      </c>
      <c r="H817" s="69">
        <f t="shared" si="332"/>
        <v>0</v>
      </c>
      <c r="I817" s="70">
        <f t="shared" si="333"/>
        <v>0</v>
      </c>
      <c r="J817" s="73" t="str">
        <f t="shared" si="334"/>
        <v>--</v>
      </c>
      <c r="K817" s="32"/>
      <c r="L817" s="233"/>
      <c r="M817" s="278"/>
      <c r="N817" s="278"/>
      <c r="O817" s="278"/>
      <c r="P817" s="278"/>
      <c r="Q817" s="278"/>
      <c r="R817" s="278"/>
      <c r="S817" s="278"/>
      <c r="T817" s="278"/>
      <c r="U817" s="279"/>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 thickBot="1" x14ac:dyDescent="0.35">
      <c r="A818" s="88"/>
      <c r="B818" s="66" t="s">
        <v>311</v>
      </c>
      <c r="C818" s="67"/>
      <c r="D818" s="102"/>
      <c r="E818" s="32"/>
      <c r="F818" s="32"/>
      <c r="G818" s="68" t="s">
        <v>285</v>
      </c>
      <c r="H818" s="69">
        <f t="shared" si="332"/>
        <v>0</v>
      </c>
      <c r="I818" s="70">
        <f t="shared" si="333"/>
        <v>0</v>
      </c>
      <c r="J818" s="73" t="str">
        <f t="shared" si="334"/>
        <v>--</v>
      </c>
      <c r="K818" s="32"/>
      <c r="L818" s="233"/>
      <c r="M818" s="278"/>
      <c r="N818" s="278"/>
      <c r="O818" s="278"/>
      <c r="P818" s="278"/>
      <c r="Q818" s="278"/>
      <c r="R818" s="278"/>
      <c r="S818" s="278"/>
      <c r="T818" s="278"/>
      <c r="U818" s="279"/>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 thickBot="1" x14ac:dyDescent="0.35">
      <c r="A819" s="88"/>
      <c r="B819" s="66" t="s">
        <v>312</v>
      </c>
      <c r="C819" s="67"/>
      <c r="D819" s="102"/>
      <c r="E819" s="32"/>
      <c r="F819" s="32"/>
      <c r="G819" s="68" t="s">
        <v>285</v>
      </c>
      <c r="H819" s="69">
        <f t="shared" si="332"/>
        <v>0</v>
      </c>
      <c r="I819" s="70">
        <f t="shared" si="333"/>
        <v>0</v>
      </c>
      <c r="J819" s="73" t="str">
        <f t="shared" si="334"/>
        <v>--</v>
      </c>
      <c r="K819" s="32"/>
      <c r="L819" s="233"/>
      <c r="M819" s="278"/>
      <c r="N819" s="278"/>
      <c r="O819" s="278"/>
      <c r="P819" s="278"/>
      <c r="Q819" s="278"/>
      <c r="R819" s="278"/>
      <c r="S819" s="278"/>
      <c r="T819" s="278"/>
      <c r="U819" s="279"/>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 thickBot="1" x14ac:dyDescent="0.35">
      <c r="A820" s="88"/>
      <c r="B820" s="66" t="s">
        <v>313</v>
      </c>
      <c r="C820" s="67"/>
      <c r="D820" s="102"/>
      <c r="E820" s="32"/>
      <c r="F820" s="32"/>
      <c r="G820" s="68" t="s">
        <v>285</v>
      </c>
      <c r="H820" s="69">
        <f t="shared" si="332"/>
        <v>0</v>
      </c>
      <c r="I820" s="70">
        <f t="shared" si="333"/>
        <v>0</v>
      </c>
      <c r="J820" s="73" t="str">
        <f t="shared" si="334"/>
        <v>--</v>
      </c>
      <c r="K820" s="32"/>
      <c r="L820" s="234"/>
      <c r="M820" s="278"/>
      <c r="N820" s="278"/>
      <c r="O820" s="278"/>
      <c r="P820" s="278"/>
      <c r="Q820" s="278"/>
      <c r="R820" s="278"/>
      <c r="S820" s="278"/>
      <c r="T820" s="278"/>
      <c r="U820" s="279"/>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2" thickBot="1" x14ac:dyDescent="0.35">
      <c r="A821" s="88"/>
      <c r="B821" s="319" t="s">
        <v>414</v>
      </c>
      <c r="C821" s="320"/>
      <c r="D821" s="79"/>
      <c r="E821" s="80"/>
      <c r="F821" s="80"/>
      <c r="G821" s="81"/>
      <c r="H821" s="192"/>
      <c r="I821" s="192"/>
      <c r="J821" s="192"/>
      <c r="K821" s="82"/>
      <c r="L821" s="319" t="s">
        <v>319</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2" thickBot="1" x14ac:dyDescent="0.35">
      <c r="A822" s="88"/>
      <c r="B822" s="319" t="s">
        <v>320</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3">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 thickBot="1" x14ac:dyDescent="0.35">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5">
      <c r="A825" s="88"/>
      <c r="B825" s="85" t="s">
        <v>415</v>
      </c>
      <c r="C825" s="25"/>
      <c r="D825" s="25"/>
      <c r="E825" s="25"/>
      <c r="F825" s="88"/>
      <c r="G825" s="25"/>
      <c r="H825" s="25"/>
      <c r="I825" s="87"/>
      <c r="J825" s="26"/>
      <c r="K825" s="25"/>
      <c r="L825" s="25"/>
      <c r="M825" s="196" t="s">
        <v>217</v>
      </c>
      <c r="N825" s="196" t="s">
        <v>218</v>
      </c>
      <c r="O825" s="196" t="s">
        <v>219</v>
      </c>
      <c r="P825" s="196" t="s">
        <v>220</v>
      </c>
      <c r="Q825" s="196" t="s">
        <v>221</v>
      </c>
      <c r="R825" s="196" t="s">
        <v>222</v>
      </c>
      <c r="S825" s="196" t="s">
        <v>223</v>
      </c>
      <c r="T825" s="196" t="s">
        <v>224</v>
      </c>
      <c r="U825" s="196" t="s">
        <v>225</v>
      </c>
      <c r="V825" s="196" t="s">
        <v>226</v>
      </c>
      <c r="W825" s="113" t="s">
        <v>227</v>
      </c>
      <c r="X825" s="196" t="s">
        <v>228</v>
      </c>
      <c r="Y825" s="25"/>
      <c r="Z825" s="25"/>
      <c r="AA825" s="25"/>
      <c r="AB825" s="25"/>
      <c r="AC825" s="25"/>
      <c r="AD825" s="25"/>
      <c r="BA825" s="226"/>
    </row>
    <row r="826" spans="1:53" ht="15.6" thickTop="1" thickBot="1" x14ac:dyDescent="0.35">
      <c r="A826" s="88"/>
      <c r="B826" s="312" t="s">
        <v>229</v>
      </c>
      <c r="C826" s="313"/>
      <c r="D826" s="314" t="s">
        <v>230</v>
      </c>
      <c r="E826" s="305"/>
      <c r="F826" s="88"/>
      <c r="G826" s="315" t="s">
        <v>231</v>
      </c>
      <c r="H826" s="316"/>
      <c r="I826" s="28">
        <f>SUM(E837:E861)</f>
        <v>0</v>
      </c>
      <c r="J826" s="317" t="s">
        <v>232</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233</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234</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5">
      <c r="A827" s="88"/>
      <c r="B827" s="29" t="s">
        <v>235</v>
      </c>
      <c r="C827" s="30">
        <v>0</v>
      </c>
      <c r="D827" s="31" t="s">
        <v>236</v>
      </c>
      <c r="E827" s="66" t="str">
        <f>TEXT(IF('Cable Calculator'!CZ7="","",'Cable Calculator'!CZ7),)</f>
        <v/>
      </c>
      <c r="F827" s="88"/>
      <c r="G827" s="304" t="s">
        <v>237</v>
      </c>
      <c r="H827" s="305"/>
      <c r="I827" s="33">
        <f>E828-I826</f>
        <v>0</v>
      </c>
      <c r="J827" s="289" t="s">
        <v>238</v>
      </c>
      <c r="K827" s="290"/>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239</v>
      </c>
      <c r="AA827" s="300" t="s">
        <v>240</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241</v>
      </c>
      <c r="AU827" s="109">
        <f>COUNTIFS($E827,"SS",$AS827,"Y")</f>
        <v>0</v>
      </c>
      <c r="AV827" s="111">
        <f>COUNTIFS($E827,"RPX",$AS827,"Y")</f>
        <v>0</v>
      </c>
      <c r="AW827" s="111">
        <f>COUNTIFS($E827,"EUC",$AS827,"Y")</f>
        <v>0</v>
      </c>
      <c r="AX827" s="109">
        <f>COUNTIFS($E827,"RPX-T",$AS827,"Y")</f>
        <v>0</v>
      </c>
      <c r="BA827" s="227"/>
    </row>
    <row r="828" spans="1:53" ht="15.6" thickTop="1" thickBot="1" x14ac:dyDescent="0.35">
      <c r="A828" s="88"/>
      <c r="B828" s="36" t="s">
        <v>242</v>
      </c>
      <c r="C828" s="37">
        <v>0</v>
      </c>
      <c r="D828" s="38" t="s">
        <v>243</v>
      </c>
      <c r="E828" s="32"/>
      <c r="F828" s="88"/>
      <c r="G828" s="291" t="s">
        <v>244</v>
      </c>
      <c r="H828" s="292"/>
      <c r="I828" s="35">
        <f>IF(E828=0,0,12-(MOD(I826,12)))</f>
        <v>0</v>
      </c>
      <c r="J828" s="289" t="s">
        <v>245</v>
      </c>
      <c r="K828" s="290"/>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246</v>
      </c>
      <c r="AU828" s="109">
        <f>COUNTIFS($E827,"SS",$AS828,"Y")</f>
        <v>0</v>
      </c>
      <c r="AV828" s="108">
        <f>COUNTIFS($E827,"RPX",$AS828,"Y")</f>
        <v>0</v>
      </c>
      <c r="AW828" s="108">
        <f>COUNTIFS($E827,"EUC",$AS828,"Y")</f>
        <v>0</v>
      </c>
      <c r="AX828" s="109">
        <f>COUNTIFS($E827,"RPX-T",$AS828,"Y")</f>
        <v>0</v>
      </c>
      <c r="BA828" s="227"/>
    </row>
    <row r="829" spans="1:53" ht="16.5" customHeight="1" thickTop="1" thickBot="1" x14ac:dyDescent="0.35">
      <c r="A829" s="88"/>
      <c r="B829" s="40" t="s">
        <v>247</v>
      </c>
      <c r="C829" s="30">
        <v>0</v>
      </c>
      <c r="D829" s="41" t="s">
        <v>248</v>
      </c>
      <c r="E829" s="42"/>
      <c r="F829" s="88"/>
      <c r="G829" s="321" t="s">
        <v>249</v>
      </c>
      <c r="H829" s="43" t="s">
        <v>250</v>
      </c>
      <c r="I829" s="35">
        <f>IF(E829&lt;&gt;0,1,0)</f>
        <v>0</v>
      </c>
      <c r="J829" s="291" t="s">
        <v>251</v>
      </c>
      <c r="K829" s="292"/>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252</v>
      </c>
      <c r="AU829" s="109">
        <f>COUNTIFS($E827,"SS",$AS829,"Y")</f>
        <v>0</v>
      </c>
      <c r="AV829" s="108">
        <f>COUNTIFS($E827,"RPX",$AS829,"Y")</f>
        <v>0</v>
      </c>
      <c r="AW829" s="108">
        <f>COUNTIFS($E827,"EUC",$AS829,"Y")</f>
        <v>0</v>
      </c>
      <c r="AX829" s="109">
        <f>COUNTIFS($E827,"RPX-T",$AS829,"Y")</f>
        <v>0</v>
      </c>
      <c r="BA829" s="227"/>
    </row>
    <row r="830" spans="1:53" ht="15.6" thickTop="1" thickBot="1" x14ac:dyDescent="0.35">
      <c r="A830" s="88"/>
      <c r="B830" s="29" t="s">
        <v>253</v>
      </c>
      <c r="C830" s="37">
        <v>0</v>
      </c>
      <c r="D830" s="41" t="s">
        <v>254</v>
      </c>
      <c r="E830" s="42"/>
      <c r="F830" s="88"/>
      <c r="G830" s="322"/>
      <c r="H830" s="47" t="s">
        <v>255</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5">
      <c r="A831" s="88"/>
      <c r="B831" s="36" t="s">
        <v>256</v>
      </c>
      <c r="C831" s="30">
        <v>0</v>
      </c>
      <c r="D831" s="49" t="s">
        <v>257</v>
      </c>
      <c r="E831" s="50">
        <f>E828/12</f>
        <v>0</v>
      </c>
      <c r="F831" s="88"/>
      <c r="G831" s="321" t="s">
        <v>258</v>
      </c>
      <c r="H831" s="51" t="s">
        <v>259</v>
      </c>
      <c r="I831" s="112">
        <f>E830</f>
        <v>0</v>
      </c>
      <c r="J831" s="323" t="s">
        <v>260</v>
      </c>
      <c r="K831" s="324"/>
      <c r="L831" s="325"/>
      <c r="M831" s="52" t="s">
        <v>261</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5.6" thickTop="1" thickBot="1" x14ac:dyDescent="0.35">
      <c r="A832" s="88"/>
      <c r="B832" s="36" t="s">
        <v>262</v>
      </c>
      <c r="C832" s="30">
        <v>0</v>
      </c>
      <c r="D832" s="31" t="s">
        <v>263</v>
      </c>
      <c r="E832" s="101" t="str">
        <f>IF('Cable Calculator'!CZ5="","",'Cable Calculator'!CZ5)</f>
        <v/>
      </c>
      <c r="F832" s="88"/>
      <c r="G832" s="322"/>
      <c r="H832" s="47" t="s">
        <v>264</v>
      </c>
      <c r="I832" s="35" t="str">
        <f>IF(E830="","0",IF(AND(E827="EUC",E828=432), I831+(203-E829),IF(E830=0,0,(E830+(E828-E829)-1))))</f>
        <v>0</v>
      </c>
      <c r="J832" s="286" t="str">
        <f>IFERROR(IF(OR(E827="EUC",E827="SS"),"---",IF(OR(P826,S826),"NO 2F Tethers for RPX!",IF(OR(P828,S828),"NO 6F Tethers for RPX!","---"))),"---")</f>
        <v>---</v>
      </c>
      <c r="K832" s="287"/>
      <c r="L832" s="288"/>
      <c r="M832" s="286" t="str">
        <f>IF(E829&gt;60,"Dead Count &gt;60: Consider Downsize","---")</f>
        <v>---</v>
      </c>
      <c r="N832" s="287"/>
      <c r="O832" s="287"/>
      <c r="P832" s="287"/>
      <c r="Q832" s="287"/>
      <c r="R832" s="287"/>
      <c r="S832" s="287"/>
      <c r="T832" s="287"/>
      <c r="U832" s="288"/>
      <c r="V832" s="100"/>
      <c r="W832" s="54">
        <f>SUM(P832:U832)</f>
        <v>0</v>
      </c>
      <c r="X832" s="54"/>
      <c r="Y832" s="25"/>
      <c r="Z832" s="45">
        <v>4</v>
      </c>
      <c r="AA832" s="46">
        <v>37</v>
      </c>
      <c r="AB832" s="46">
        <v>48</v>
      </c>
      <c r="AC832" s="25"/>
      <c r="AD832" s="25"/>
      <c r="BA832" s="227"/>
    </row>
    <row r="833" spans="1:53" ht="15.6" thickTop="1" thickBot="1" x14ac:dyDescent="0.35">
      <c r="A833" s="88"/>
      <c r="B833" s="55" t="s">
        <v>265</v>
      </c>
      <c r="C833" s="56">
        <f>SUM(C827:C832)+I826</f>
        <v>0</v>
      </c>
      <c r="D833" s="31" t="s">
        <v>266</v>
      </c>
      <c r="E833" s="101" t="str">
        <f>IF(AS827="Y","DBL",IF(AS828="Y","TRPL",IF(AS829="Y","QUAD","")))</f>
        <v/>
      </c>
      <c r="F833" s="88"/>
      <c r="G833" s="192"/>
      <c r="H833" s="57"/>
      <c r="I833" s="192"/>
      <c r="J833" s="286"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7"/>
      <c r="L833" s="288"/>
      <c r="M833" s="286" t="str">
        <f>IF(AND(OR(E827="SS",E827="RPX",E827="EUC",E827="RPX-T"),(OR(C837="",C837="Field SPL"))),"Cannot have FlexNap cables without tethers","---")</f>
        <v>---</v>
      </c>
      <c r="N833" s="287"/>
      <c r="O833" s="287"/>
      <c r="P833" s="287"/>
      <c r="Q833" s="287"/>
      <c r="R833" s="287"/>
      <c r="S833" s="287"/>
      <c r="T833" s="287"/>
      <c r="U833" s="288"/>
      <c r="V833" s="25"/>
      <c r="W833" s="58"/>
      <c r="X833" s="58"/>
      <c r="Y833" s="25"/>
      <c r="Z833" s="45">
        <v>5</v>
      </c>
      <c r="AA833" s="46">
        <v>49</v>
      </c>
      <c r="AB833" s="46">
        <v>60</v>
      </c>
      <c r="AC833" s="25"/>
      <c r="AD833" s="25"/>
      <c r="BA833" s="227"/>
    </row>
    <row r="834" spans="1:53" ht="15.6" thickTop="1" thickBot="1" x14ac:dyDescent="0.35">
      <c r="A834" s="88"/>
      <c r="B834" s="59"/>
      <c r="C834" s="60"/>
      <c r="D834" s="61"/>
      <c r="E834" s="62"/>
      <c r="F834" s="88"/>
      <c r="G834" s="63"/>
      <c r="H834" s="64"/>
      <c r="I834" s="63"/>
      <c r="J834" s="286" t="str">
        <f>IF(AND(OR(E827="RPX", E827="RPX-T", E827="SS"),E828=216),"NO 216 For RPX, RPX-T, OR SS CABLE","---")</f>
        <v>---</v>
      </c>
      <c r="K834" s="287"/>
      <c r="L834" s="288"/>
      <c r="M834" s="286" t="str" cm="1">
        <f t="array" ref="M834">IF(AND(E827="",OR(C837:C861="FST",C837:C861="REV T",C837:C861="DBL REV",C837:C861="TPL REV", C837:C861="QD REV")),"Non-FlexNap cables cannot have tethers","---")</f>
        <v>---</v>
      </c>
      <c r="N834" s="287"/>
      <c r="O834" s="287"/>
      <c r="P834" s="287"/>
      <c r="Q834" s="287"/>
      <c r="R834" s="287"/>
      <c r="S834" s="287"/>
      <c r="T834" s="287"/>
      <c r="U834" s="288"/>
      <c r="V834" s="25"/>
      <c r="W834" s="58"/>
      <c r="X834" s="58"/>
      <c r="Y834" s="25"/>
      <c r="Z834" s="45">
        <v>6</v>
      </c>
      <c r="AA834" s="65">
        <v>61</v>
      </c>
      <c r="AB834" s="65">
        <v>72</v>
      </c>
      <c r="AC834" s="25"/>
      <c r="AD834" s="25"/>
      <c r="BA834" s="226"/>
    </row>
    <row r="835" spans="1:53" ht="15.75" customHeight="1" thickBot="1" x14ac:dyDescent="0.35">
      <c r="A835" s="88"/>
      <c r="B835" s="321" t="s">
        <v>267</v>
      </c>
      <c r="C835" s="293" t="s">
        <v>268</v>
      </c>
      <c r="D835" s="293" t="s">
        <v>269</v>
      </c>
      <c r="E835" s="306" t="s">
        <v>270</v>
      </c>
      <c r="F835" s="293" t="s">
        <v>271</v>
      </c>
      <c r="G835" s="308" t="s">
        <v>272</v>
      </c>
      <c r="H835" s="308" t="s">
        <v>273</v>
      </c>
      <c r="I835" s="308" t="s">
        <v>274</v>
      </c>
      <c r="J835" s="310" t="s">
        <v>275</v>
      </c>
      <c r="K835" s="293" t="s">
        <v>276</v>
      </c>
      <c r="L835" s="280" t="s">
        <v>277</v>
      </c>
      <c r="M835" s="282" t="s">
        <v>278</v>
      </c>
      <c r="N835" s="282"/>
      <c r="O835" s="282"/>
      <c r="P835" s="282"/>
      <c r="Q835" s="282"/>
      <c r="R835" s="282"/>
      <c r="S835" s="282"/>
      <c r="T835" s="282"/>
      <c r="U835" s="283"/>
      <c r="V835" s="107"/>
      <c r="W835" s="72"/>
      <c r="X835" s="72"/>
      <c r="Y835" s="72"/>
      <c r="Z835" s="45">
        <v>7</v>
      </c>
      <c r="AA835" s="65">
        <v>73</v>
      </c>
      <c r="AB835" s="65">
        <v>84</v>
      </c>
      <c r="AC835" s="25"/>
      <c r="AD835" s="25"/>
      <c r="BA835" s="228"/>
    </row>
    <row r="836" spans="1:53" ht="15" thickBot="1" x14ac:dyDescent="0.35">
      <c r="A836" s="88"/>
      <c r="B836" s="322"/>
      <c r="C836" s="294"/>
      <c r="D836" s="294"/>
      <c r="E836" s="307"/>
      <c r="F836" s="294"/>
      <c r="G836" s="309"/>
      <c r="H836" s="309"/>
      <c r="I836" s="309"/>
      <c r="J836" s="311"/>
      <c r="K836" s="294"/>
      <c r="L836" s="281"/>
      <c r="M836" s="284"/>
      <c r="N836" s="284"/>
      <c r="O836" s="284"/>
      <c r="P836" s="284"/>
      <c r="Q836" s="284"/>
      <c r="R836" s="284"/>
      <c r="S836" s="284"/>
      <c r="T836" s="284"/>
      <c r="U836" s="285"/>
      <c r="V836" s="107"/>
      <c r="W836" s="72"/>
      <c r="X836" s="72"/>
      <c r="Y836" s="72"/>
      <c r="Z836" s="45">
        <v>8</v>
      </c>
      <c r="AA836" s="46">
        <v>85</v>
      </c>
      <c r="AB836" s="46">
        <v>96</v>
      </c>
      <c r="AC836" s="25"/>
      <c r="AD836" s="25"/>
      <c r="AI836" s="109" t="s">
        <v>279</v>
      </c>
      <c r="AJ836" s="109" t="s">
        <v>280</v>
      </c>
      <c r="AK836" s="109" t="s">
        <v>281</v>
      </c>
      <c r="AL836" s="109" t="s">
        <v>282</v>
      </c>
      <c r="BA836" s="228"/>
    </row>
    <row r="837" spans="1:53" ht="15" thickBot="1" x14ac:dyDescent="0.35">
      <c r="A837" s="88"/>
      <c r="B837" s="66" t="s">
        <v>283</v>
      </c>
      <c r="C837" s="67"/>
      <c r="D837" s="102"/>
      <c r="E837" s="32"/>
      <c r="F837" s="32"/>
      <c r="G837" s="68" t="s">
        <v>285</v>
      </c>
      <c r="H837" s="69">
        <f>IF(I837=0,0,I837-(E837-1))</f>
        <v>0</v>
      </c>
      <c r="I837" s="70">
        <f>IF(E837=0,0,I832)</f>
        <v>0</v>
      </c>
      <c r="J837" s="71" t="s">
        <v>286</v>
      </c>
      <c r="K837" s="32"/>
      <c r="L837" s="233"/>
      <c r="M837" s="278"/>
      <c r="N837" s="278"/>
      <c r="O837" s="278"/>
      <c r="P837" s="278"/>
      <c r="Q837" s="278"/>
      <c r="R837" s="278"/>
      <c r="S837" s="278"/>
      <c r="T837" s="278"/>
      <c r="U837" s="279"/>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 thickBot="1" x14ac:dyDescent="0.35">
      <c r="A838" s="88"/>
      <c r="B838" s="66" t="s">
        <v>288</v>
      </c>
      <c r="C838" s="67"/>
      <c r="D838" s="102"/>
      <c r="E838" s="32"/>
      <c r="F838" s="32"/>
      <c r="G838" s="68" t="s">
        <v>285</v>
      </c>
      <c r="H838" s="69">
        <f t="shared" ref="H838:H861" si="349">IF(E838=0,0,I838-(E838-1))</f>
        <v>0</v>
      </c>
      <c r="I838" s="70">
        <f t="shared" ref="I838:I861" si="350">IF(E838=0,0,H837-1)</f>
        <v>0</v>
      </c>
      <c r="J838" s="73" t="str">
        <f>IF(C838="","--",IF(AND(C838&lt;&gt;"FST",C838&lt;&gt;"TCF",BA837&lt;&gt;0),BA837,"--"))</f>
        <v>--</v>
      </c>
      <c r="K838" s="32"/>
      <c r="L838" s="233"/>
      <c r="M838" s="278"/>
      <c r="N838" s="278"/>
      <c r="O838" s="278"/>
      <c r="P838" s="278"/>
      <c r="Q838" s="278"/>
      <c r="R838" s="278"/>
      <c r="S838" s="278"/>
      <c r="T838" s="278"/>
      <c r="U838" s="279"/>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 thickBot="1" x14ac:dyDescent="0.35">
      <c r="A839" s="88"/>
      <c r="B839" s="74" t="s">
        <v>290</v>
      </c>
      <c r="C839" s="67"/>
      <c r="D839" s="102"/>
      <c r="E839" s="32"/>
      <c r="F839" s="32"/>
      <c r="G839" s="75" t="s">
        <v>285</v>
      </c>
      <c r="H839" s="69">
        <f t="shared" si="349"/>
        <v>0</v>
      </c>
      <c r="I839" s="70">
        <f t="shared" si="350"/>
        <v>0</v>
      </c>
      <c r="J839" s="73" t="str">
        <f t="shared" ref="J839:J861" si="351">IF(C839="","--",IF(AND(C839&lt;&gt;"FST",C839&lt;&gt;"TCF",BA838&lt;&gt;0),BA838,"--"))</f>
        <v>--</v>
      </c>
      <c r="K839" s="32"/>
      <c r="L839" s="233"/>
      <c r="M839" s="278"/>
      <c r="N839" s="278"/>
      <c r="O839" s="278"/>
      <c r="P839" s="278"/>
      <c r="Q839" s="278"/>
      <c r="R839" s="278"/>
      <c r="S839" s="278"/>
      <c r="T839" s="278"/>
      <c r="U839" s="279"/>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 thickBot="1" x14ac:dyDescent="0.35">
      <c r="A840" s="88"/>
      <c r="B840" s="66" t="s">
        <v>292</v>
      </c>
      <c r="C840" s="67"/>
      <c r="D840" s="102"/>
      <c r="E840" s="32"/>
      <c r="F840" s="32"/>
      <c r="G840" s="68" t="s">
        <v>285</v>
      </c>
      <c r="H840" s="69">
        <f t="shared" si="349"/>
        <v>0</v>
      </c>
      <c r="I840" s="70">
        <f t="shared" si="350"/>
        <v>0</v>
      </c>
      <c r="J840" s="73" t="str">
        <f t="shared" si="351"/>
        <v>--</v>
      </c>
      <c r="K840" s="32"/>
      <c r="L840" s="233"/>
      <c r="M840" s="278"/>
      <c r="N840" s="278"/>
      <c r="O840" s="278"/>
      <c r="P840" s="278"/>
      <c r="Q840" s="278"/>
      <c r="R840" s="278"/>
      <c r="S840" s="278"/>
      <c r="T840" s="278"/>
      <c r="U840" s="279"/>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 thickBot="1" x14ac:dyDescent="0.35">
      <c r="A841" s="88"/>
      <c r="B841" s="66" t="s">
        <v>293</v>
      </c>
      <c r="C841" s="67"/>
      <c r="D841" s="102"/>
      <c r="E841" s="32"/>
      <c r="F841" s="32"/>
      <c r="G841" s="68" t="s">
        <v>285</v>
      </c>
      <c r="H841" s="69">
        <f t="shared" si="349"/>
        <v>0</v>
      </c>
      <c r="I841" s="70">
        <f t="shared" si="350"/>
        <v>0</v>
      </c>
      <c r="J841" s="73" t="str">
        <f t="shared" si="351"/>
        <v>--</v>
      </c>
      <c r="K841" s="32"/>
      <c r="L841" s="233"/>
      <c r="M841" s="278"/>
      <c r="N841" s="278"/>
      <c r="O841" s="278"/>
      <c r="P841" s="278"/>
      <c r="Q841" s="278"/>
      <c r="R841" s="278"/>
      <c r="S841" s="278"/>
      <c r="T841" s="278"/>
      <c r="U841" s="279"/>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 thickBot="1" x14ac:dyDescent="0.35">
      <c r="A842" s="88"/>
      <c r="B842" s="66" t="s">
        <v>294</v>
      </c>
      <c r="C842" s="67"/>
      <c r="D842" s="102"/>
      <c r="E842" s="32"/>
      <c r="F842" s="32"/>
      <c r="G842" s="68" t="s">
        <v>285</v>
      </c>
      <c r="H842" s="69">
        <f t="shared" si="349"/>
        <v>0</v>
      </c>
      <c r="I842" s="70">
        <f t="shared" si="350"/>
        <v>0</v>
      </c>
      <c r="J842" s="73" t="str">
        <f t="shared" si="351"/>
        <v>--</v>
      </c>
      <c r="K842" s="32"/>
      <c r="L842" s="233"/>
      <c r="M842" s="278"/>
      <c r="N842" s="278"/>
      <c r="O842" s="278"/>
      <c r="P842" s="278"/>
      <c r="Q842" s="278"/>
      <c r="R842" s="278"/>
      <c r="S842" s="278"/>
      <c r="T842" s="278"/>
      <c r="U842" s="279"/>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 thickBot="1" x14ac:dyDescent="0.35">
      <c r="A843" s="88"/>
      <c r="B843" s="66" t="s">
        <v>295</v>
      </c>
      <c r="C843" s="67"/>
      <c r="D843" s="102"/>
      <c r="E843" s="32"/>
      <c r="F843" s="32"/>
      <c r="G843" s="68" t="s">
        <v>285</v>
      </c>
      <c r="H843" s="69">
        <f t="shared" si="349"/>
        <v>0</v>
      </c>
      <c r="I843" s="70">
        <f t="shared" si="350"/>
        <v>0</v>
      </c>
      <c r="J843" s="73" t="str">
        <f t="shared" si="351"/>
        <v>--</v>
      </c>
      <c r="K843" s="32"/>
      <c r="L843" s="233"/>
      <c r="M843" s="278"/>
      <c r="N843" s="278"/>
      <c r="O843" s="278"/>
      <c r="P843" s="278"/>
      <c r="Q843" s="278"/>
      <c r="R843" s="278"/>
      <c r="S843" s="278"/>
      <c r="T843" s="278"/>
      <c r="U843" s="279"/>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 thickBot="1" x14ac:dyDescent="0.35">
      <c r="A844" s="88"/>
      <c r="B844" s="66" t="s">
        <v>296</v>
      </c>
      <c r="C844" s="67"/>
      <c r="D844" s="102"/>
      <c r="E844" s="32"/>
      <c r="F844" s="32"/>
      <c r="G844" s="68" t="s">
        <v>285</v>
      </c>
      <c r="H844" s="69">
        <f t="shared" si="349"/>
        <v>0</v>
      </c>
      <c r="I844" s="70">
        <f t="shared" si="350"/>
        <v>0</v>
      </c>
      <c r="J844" s="73" t="str">
        <f t="shared" si="351"/>
        <v>--</v>
      </c>
      <c r="K844" s="32"/>
      <c r="L844" s="233"/>
      <c r="M844" s="278"/>
      <c r="N844" s="278"/>
      <c r="O844" s="278"/>
      <c r="P844" s="278"/>
      <c r="Q844" s="278"/>
      <c r="R844" s="278"/>
      <c r="S844" s="278"/>
      <c r="T844" s="278"/>
      <c r="U844" s="279"/>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 thickBot="1" x14ac:dyDescent="0.35">
      <c r="A845" s="88"/>
      <c r="B845" s="66" t="s">
        <v>297</v>
      </c>
      <c r="C845" s="67"/>
      <c r="D845" s="102"/>
      <c r="E845" s="32"/>
      <c r="F845" s="32"/>
      <c r="G845" s="68" t="s">
        <v>285</v>
      </c>
      <c r="H845" s="69">
        <f t="shared" si="349"/>
        <v>0</v>
      </c>
      <c r="I845" s="70">
        <f t="shared" si="350"/>
        <v>0</v>
      </c>
      <c r="J845" s="73" t="str">
        <f t="shared" si="351"/>
        <v>--</v>
      </c>
      <c r="K845" s="32"/>
      <c r="L845" s="233"/>
      <c r="M845" s="278"/>
      <c r="N845" s="278"/>
      <c r="O845" s="278"/>
      <c r="P845" s="278"/>
      <c r="Q845" s="278"/>
      <c r="R845" s="278"/>
      <c r="S845" s="278"/>
      <c r="T845" s="278"/>
      <c r="U845" s="279"/>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 thickBot="1" x14ac:dyDescent="0.35">
      <c r="A846" s="88"/>
      <c r="B846" s="66" t="s">
        <v>298</v>
      </c>
      <c r="C846" s="67"/>
      <c r="D846" s="102"/>
      <c r="E846" s="32"/>
      <c r="F846" s="32"/>
      <c r="G846" s="68" t="s">
        <v>285</v>
      </c>
      <c r="H846" s="69">
        <f t="shared" si="349"/>
        <v>0</v>
      </c>
      <c r="I846" s="70">
        <f t="shared" si="350"/>
        <v>0</v>
      </c>
      <c r="J846" s="73" t="str">
        <f t="shared" si="351"/>
        <v>--</v>
      </c>
      <c r="K846" s="32"/>
      <c r="L846" s="233"/>
      <c r="M846" s="278"/>
      <c r="N846" s="278"/>
      <c r="O846" s="278"/>
      <c r="P846" s="278"/>
      <c r="Q846" s="278"/>
      <c r="R846" s="278"/>
      <c r="S846" s="278"/>
      <c r="T846" s="278"/>
      <c r="U846" s="279"/>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 thickBot="1" x14ac:dyDescent="0.35">
      <c r="A847" s="88"/>
      <c r="B847" s="66" t="s">
        <v>299</v>
      </c>
      <c r="C847" s="67"/>
      <c r="D847" s="102"/>
      <c r="E847" s="32"/>
      <c r="F847" s="32"/>
      <c r="G847" s="68" t="s">
        <v>285</v>
      </c>
      <c r="H847" s="69">
        <f t="shared" si="349"/>
        <v>0</v>
      </c>
      <c r="I847" s="70">
        <f t="shared" si="350"/>
        <v>0</v>
      </c>
      <c r="J847" s="73" t="str">
        <f t="shared" si="351"/>
        <v>--</v>
      </c>
      <c r="K847" s="32"/>
      <c r="L847" s="233"/>
      <c r="M847" s="278"/>
      <c r="N847" s="278"/>
      <c r="O847" s="278"/>
      <c r="P847" s="278"/>
      <c r="Q847" s="278"/>
      <c r="R847" s="278"/>
      <c r="S847" s="278"/>
      <c r="T847" s="278"/>
      <c r="U847" s="279"/>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 thickBot="1" x14ac:dyDescent="0.35">
      <c r="A848" s="88"/>
      <c r="B848" s="66" t="s">
        <v>300</v>
      </c>
      <c r="C848" s="67"/>
      <c r="D848" s="102"/>
      <c r="E848" s="32"/>
      <c r="F848" s="32"/>
      <c r="G848" s="68" t="s">
        <v>285</v>
      </c>
      <c r="H848" s="69">
        <f t="shared" si="349"/>
        <v>0</v>
      </c>
      <c r="I848" s="70">
        <f t="shared" si="350"/>
        <v>0</v>
      </c>
      <c r="J848" s="73" t="str">
        <f t="shared" si="351"/>
        <v>--</v>
      </c>
      <c r="K848" s="32"/>
      <c r="L848" s="233"/>
      <c r="M848" s="278"/>
      <c r="N848" s="278"/>
      <c r="O848" s="278"/>
      <c r="P848" s="278"/>
      <c r="Q848" s="278"/>
      <c r="R848" s="278"/>
      <c r="S848" s="278"/>
      <c r="T848" s="278"/>
      <c r="U848" s="279"/>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 thickBot="1" x14ac:dyDescent="0.35">
      <c r="A849" s="88"/>
      <c r="B849" s="66" t="s">
        <v>301</v>
      </c>
      <c r="C849" s="67"/>
      <c r="D849" s="102"/>
      <c r="E849" s="32"/>
      <c r="F849" s="32"/>
      <c r="G849" s="68" t="s">
        <v>285</v>
      </c>
      <c r="H849" s="69">
        <f t="shared" si="349"/>
        <v>0</v>
      </c>
      <c r="I849" s="70">
        <f t="shared" si="350"/>
        <v>0</v>
      </c>
      <c r="J849" s="73" t="str">
        <f t="shared" si="351"/>
        <v>--</v>
      </c>
      <c r="K849" s="32"/>
      <c r="L849" s="233"/>
      <c r="M849" s="278"/>
      <c r="N849" s="278"/>
      <c r="O849" s="278"/>
      <c r="P849" s="278"/>
      <c r="Q849" s="278"/>
      <c r="R849" s="278"/>
      <c r="S849" s="278"/>
      <c r="T849" s="278"/>
      <c r="U849" s="279"/>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 thickBot="1" x14ac:dyDescent="0.35">
      <c r="A850" s="88"/>
      <c r="B850" s="66" t="s">
        <v>302</v>
      </c>
      <c r="C850" s="67"/>
      <c r="D850" s="102"/>
      <c r="E850" s="32"/>
      <c r="F850" s="32"/>
      <c r="G850" s="68" t="s">
        <v>285</v>
      </c>
      <c r="H850" s="69">
        <f t="shared" si="349"/>
        <v>0</v>
      </c>
      <c r="I850" s="70">
        <f t="shared" si="350"/>
        <v>0</v>
      </c>
      <c r="J850" s="73" t="str">
        <f t="shared" si="351"/>
        <v>--</v>
      </c>
      <c r="K850" s="32"/>
      <c r="L850" s="233"/>
      <c r="M850" s="278"/>
      <c r="N850" s="278"/>
      <c r="O850" s="278"/>
      <c r="P850" s="278"/>
      <c r="Q850" s="278"/>
      <c r="R850" s="278"/>
      <c r="S850" s="278"/>
      <c r="T850" s="278"/>
      <c r="U850" s="279"/>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 thickBot="1" x14ac:dyDescent="0.35">
      <c r="A851" s="88"/>
      <c r="B851" s="66" t="s">
        <v>303</v>
      </c>
      <c r="C851" s="67"/>
      <c r="D851" s="102"/>
      <c r="E851" s="32"/>
      <c r="F851" s="32"/>
      <c r="G851" s="68" t="s">
        <v>285</v>
      </c>
      <c r="H851" s="69">
        <f t="shared" si="349"/>
        <v>0</v>
      </c>
      <c r="I851" s="70">
        <f t="shared" si="350"/>
        <v>0</v>
      </c>
      <c r="J851" s="73" t="str">
        <f t="shared" si="351"/>
        <v>--</v>
      </c>
      <c r="K851" s="32"/>
      <c r="L851" s="233"/>
      <c r="M851" s="278"/>
      <c r="N851" s="278"/>
      <c r="O851" s="278"/>
      <c r="P851" s="278"/>
      <c r="Q851" s="278"/>
      <c r="R851" s="278"/>
      <c r="S851" s="278"/>
      <c r="T851" s="278"/>
      <c r="U851" s="279"/>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 thickBot="1" x14ac:dyDescent="0.35">
      <c r="A852" s="88"/>
      <c r="B852" s="66" t="s">
        <v>304</v>
      </c>
      <c r="C852" s="67"/>
      <c r="D852" s="102"/>
      <c r="E852" s="32"/>
      <c r="F852" s="32"/>
      <c r="G852" s="68" t="s">
        <v>285</v>
      </c>
      <c r="H852" s="69">
        <f t="shared" si="349"/>
        <v>0</v>
      </c>
      <c r="I852" s="70">
        <f t="shared" si="350"/>
        <v>0</v>
      </c>
      <c r="J852" s="73" t="str">
        <f t="shared" si="351"/>
        <v>--</v>
      </c>
      <c r="K852" s="32"/>
      <c r="L852" s="233"/>
      <c r="M852" s="278"/>
      <c r="N852" s="278"/>
      <c r="O852" s="278"/>
      <c r="P852" s="278"/>
      <c r="Q852" s="278"/>
      <c r="R852" s="278"/>
      <c r="S852" s="278"/>
      <c r="T852" s="278"/>
      <c r="U852" s="279"/>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 thickBot="1" x14ac:dyDescent="0.35">
      <c r="A853" s="88"/>
      <c r="B853" s="66" t="s">
        <v>305</v>
      </c>
      <c r="C853" s="67"/>
      <c r="D853" s="102"/>
      <c r="E853" s="32"/>
      <c r="F853" s="32"/>
      <c r="G853" s="68" t="s">
        <v>285</v>
      </c>
      <c r="H853" s="69">
        <f t="shared" si="349"/>
        <v>0</v>
      </c>
      <c r="I853" s="70">
        <f t="shared" si="350"/>
        <v>0</v>
      </c>
      <c r="J853" s="73" t="str">
        <f t="shared" si="351"/>
        <v>--</v>
      </c>
      <c r="K853" s="32"/>
      <c r="L853" s="233"/>
      <c r="M853" s="278"/>
      <c r="N853" s="278"/>
      <c r="O853" s="278"/>
      <c r="P853" s="278"/>
      <c r="Q853" s="278"/>
      <c r="R853" s="278"/>
      <c r="S853" s="278"/>
      <c r="T853" s="278"/>
      <c r="U853" s="279"/>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 thickBot="1" x14ac:dyDescent="0.35">
      <c r="A854" s="88"/>
      <c r="B854" s="66" t="s">
        <v>306</v>
      </c>
      <c r="C854" s="67"/>
      <c r="D854" s="102"/>
      <c r="E854" s="32"/>
      <c r="F854" s="32"/>
      <c r="G854" s="68" t="s">
        <v>285</v>
      </c>
      <c r="H854" s="69">
        <f t="shared" si="349"/>
        <v>0</v>
      </c>
      <c r="I854" s="70">
        <f t="shared" si="350"/>
        <v>0</v>
      </c>
      <c r="J854" s="73" t="str">
        <f t="shared" si="351"/>
        <v>--</v>
      </c>
      <c r="K854" s="32"/>
      <c r="L854" s="233"/>
      <c r="M854" s="278"/>
      <c r="N854" s="278"/>
      <c r="O854" s="278"/>
      <c r="P854" s="278"/>
      <c r="Q854" s="278"/>
      <c r="R854" s="278"/>
      <c r="S854" s="278"/>
      <c r="T854" s="278"/>
      <c r="U854" s="279"/>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 thickBot="1" x14ac:dyDescent="0.35">
      <c r="A855" s="88"/>
      <c r="B855" s="66" t="s">
        <v>307</v>
      </c>
      <c r="C855" s="67"/>
      <c r="D855" s="102"/>
      <c r="E855" s="32"/>
      <c r="F855" s="32"/>
      <c r="G855" s="68" t="s">
        <v>285</v>
      </c>
      <c r="H855" s="69">
        <f t="shared" si="349"/>
        <v>0</v>
      </c>
      <c r="I855" s="70">
        <f t="shared" si="350"/>
        <v>0</v>
      </c>
      <c r="J855" s="73" t="str">
        <f t="shared" si="351"/>
        <v>--</v>
      </c>
      <c r="K855" s="32"/>
      <c r="L855" s="233"/>
      <c r="M855" s="278"/>
      <c r="N855" s="278"/>
      <c r="O855" s="278"/>
      <c r="P855" s="278"/>
      <c r="Q855" s="278"/>
      <c r="R855" s="278"/>
      <c r="S855" s="278"/>
      <c r="T855" s="278"/>
      <c r="U855" s="279"/>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 thickBot="1" x14ac:dyDescent="0.35">
      <c r="A856" s="88"/>
      <c r="B856" s="66" t="s">
        <v>308</v>
      </c>
      <c r="C856" s="67"/>
      <c r="D856" s="102"/>
      <c r="E856" s="32"/>
      <c r="F856" s="32"/>
      <c r="G856" s="68" t="s">
        <v>285</v>
      </c>
      <c r="H856" s="69">
        <f t="shared" si="349"/>
        <v>0</v>
      </c>
      <c r="I856" s="70">
        <f t="shared" si="350"/>
        <v>0</v>
      </c>
      <c r="J856" s="73" t="str">
        <f t="shared" si="351"/>
        <v>--</v>
      </c>
      <c r="K856" s="32"/>
      <c r="L856" s="233"/>
      <c r="M856" s="278"/>
      <c r="N856" s="278"/>
      <c r="O856" s="278"/>
      <c r="P856" s="278"/>
      <c r="Q856" s="278"/>
      <c r="R856" s="278"/>
      <c r="S856" s="278"/>
      <c r="T856" s="278"/>
      <c r="U856" s="279"/>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 thickBot="1" x14ac:dyDescent="0.35">
      <c r="A857" s="88"/>
      <c r="B857" s="66" t="s">
        <v>309</v>
      </c>
      <c r="C857" s="67"/>
      <c r="D857" s="102"/>
      <c r="E857" s="32"/>
      <c r="F857" s="32"/>
      <c r="G857" s="68" t="s">
        <v>285</v>
      </c>
      <c r="H857" s="69">
        <f t="shared" si="349"/>
        <v>0</v>
      </c>
      <c r="I857" s="70">
        <f t="shared" si="350"/>
        <v>0</v>
      </c>
      <c r="J857" s="73" t="str">
        <f t="shared" si="351"/>
        <v>--</v>
      </c>
      <c r="K857" s="32"/>
      <c r="L857" s="233"/>
      <c r="M857" s="278"/>
      <c r="N857" s="278"/>
      <c r="O857" s="278"/>
      <c r="P857" s="278"/>
      <c r="Q857" s="278"/>
      <c r="R857" s="278"/>
      <c r="S857" s="278"/>
      <c r="T857" s="278"/>
      <c r="U857" s="279"/>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 thickBot="1" x14ac:dyDescent="0.35">
      <c r="A858" s="88"/>
      <c r="B858" s="66" t="s">
        <v>310</v>
      </c>
      <c r="C858" s="67"/>
      <c r="D858" s="102"/>
      <c r="E858" s="32"/>
      <c r="F858" s="32"/>
      <c r="G858" s="68" t="s">
        <v>285</v>
      </c>
      <c r="H858" s="69">
        <f t="shared" si="349"/>
        <v>0</v>
      </c>
      <c r="I858" s="70">
        <f t="shared" si="350"/>
        <v>0</v>
      </c>
      <c r="J858" s="73" t="str">
        <f t="shared" si="351"/>
        <v>--</v>
      </c>
      <c r="K858" s="32"/>
      <c r="L858" s="233"/>
      <c r="M858" s="278"/>
      <c r="N858" s="278"/>
      <c r="O858" s="278"/>
      <c r="P858" s="278"/>
      <c r="Q858" s="278"/>
      <c r="R858" s="278"/>
      <c r="S858" s="278"/>
      <c r="T858" s="278"/>
      <c r="U858" s="279"/>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 thickBot="1" x14ac:dyDescent="0.35">
      <c r="A859" s="88"/>
      <c r="B859" s="66" t="s">
        <v>311</v>
      </c>
      <c r="C859" s="67"/>
      <c r="D859" s="102"/>
      <c r="E859" s="32"/>
      <c r="F859" s="32"/>
      <c r="G859" s="68" t="s">
        <v>285</v>
      </c>
      <c r="H859" s="69">
        <f t="shared" si="349"/>
        <v>0</v>
      </c>
      <c r="I859" s="70">
        <f t="shared" si="350"/>
        <v>0</v>
      </c>
      <c r="J859" s="73" t="str">
        <f t="shared" si="351"/>
        <v>--</v>
      </c>
      <c r="K859" s="32"/>
      <c r="L859" s="233"/>
      <c r="M859" s="278"/>
      <c r="N859" s="278"/>
      <c r="O859" s="278"/>
      <c r="P859" s="278"/>
      <c r="Q859" s="278"/>
      <c r="R859" s="278"/>
      <c r="S859" s="278"/>
      <c r="T859" s="278"/>
      <c r="U859" s="279"/>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 thickBot="1" x14ac:dyDescent="0.35">
      <c r="A860" s="88"/>
      <c r="B860" s="66" t="s">
        <v>312</v>
      </c>
      <c r="C860" s="67"/>
      <c r="D860" s="102"/>
      <c r="E860" s="32"/>
      <c r="F860" s="32"/>
      <c r="G860" s="68" t="s">
        <v>285</v>
      </c>
      <c r="H860" s="69">
        <f t="shared" si="349"/>
        <v>0</v>
      </c>
      <c r="I860" s="70">
        <f t="shared" si="350"/>
        <v>0</v>
      </c>
      <c r="J860" s="73" t="str">
        <f t="shared" si="351"/>
        <v>--</v>
      </c>
      <c r="K860" s="32"/>
      <c r="L860" s="233"/>
      <c r="M860" s="278"/>
      <c r="N860" s="278"/>
      <c r="O860" s="278"/>
      <c r="P860" s="278"/>
      <c r="Q860" s="278"/>
      <c r="R860" s="278"/>
      <c r="S860" s="278"/>
      <c r="T860" s="278"/>
      <c r="U860" s="279"/>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 thickBot="1" x14ac:dyDescent="0.35">
      <c r="A861" s="88"/>
      <c r="B861" s="66" t="s">
        <v>313</v>
      </c>
      <c r="C861" s="67"/>
      <c r="D861" s="102"/>
      <c r="E861" s="32"/>
      <c r="F861" s="32"/>
      <c r="G861" s="68" t="s">
        <v>285</v>
      </c>
      <c r="H861" s="69">
        <f t="shared" si="349"/>
        <v>0</v>
      </c>
      <c r="I861" s="70">
        <f t="shared" si="350"/>
        <v>0</v>
      </c>
      <c r="J861" s="73" t="str">
        <f t="shared" si="351"/>
        <v>--</v>
      </c>
      <c r="K861" s="32"/>
      <c r="L861" s="234"/>
      <c r="M861" s="278"/>
      <c r="N861" s="278"/>
      <c r="O861" s="278"/>
      <c r="P861" s="278"/>
      <c r="Q861" s="278"/>
      <c r="R861" s="278"/>
      <c r="S861" s="278"/>
      <c r="T861" s="278"/>
      <c r="U861" s="279"/>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2" thickBot="1" x14ac:dyDescent="0.35">
      <c r="A862" s="88"/>
      <c r="B862" s="319" t="s">
        <v>416</v>
      </c>
      <c r="C862" s="320"/>
      <c r="D862" s="79"/>
      <c r="E862" s="80"/>
      <c r="F862" s="80"/>
      <c r="G862" s="81"/>
      <c r="H862" s="192"/>
      <c r="I862" s="192"/>
      <c r="J862" s="192"/>
      <c r="K862" s="82"/>
      <c r="L862" s="319" t="s">
        <v>319</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2" thickBot="1" x14ac:dyDescent="0.35">
      <c r="A863" s="88"/>
      <c r="B863" s="319" t="s">
        <v>320</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3">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 thickBot="1" x14ac:dyDescent="0.35">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5">
      <c r="A866" s="88"/>
      <c r="B866" s="85" t="s">
        <v>417</v>
      </c>
      <c r="C866" s="25"/>
      <c r="D866" s="25"/>
      <c r="E866" s="25"/>
      <c r="F866" s="88"/>
      <c r="G866" s="25"/>
      <c r="H866" s="25"/>
      <c r="I866" s="87"/>
      <c r="J866" s="26"/>
      <c r="K866" s="25"/>
      <c r="L866" s="25"/>
      <c r="M866" s="196" t="s">
        <v>217</v>
      </c>
      <c r="N866" s="196" t="s">
        <v>218</v>
      </c>
      <c r="O866" s="196" t="s">
        <v>219</v>
      </c>
      <c r="P866" s="196" t="s">
        <v>220</v>
      </c>
      <c r="Q866" s="196" t="s">
        <v>221</v>
      </c>
      <c r="R866" s="196" t="s">
        <v>222</v>
      </c>
      <c r="S866" s="196" t="s">
        <v>223</v>
      </c>
      <c r="T866" s="196" t="s">
        <v>224</v>
      </c>
      <c r="U866" s="196" t="s">
        <v>225</v>
      </c>
      <c r="V866" s="196" t="s">
        <v>226</v>
      </c>
      <c r="W866" s="113" t="s">
        <v>227</v>
      </c>
      <c r="X866" s="196" t="s">
        <v>228</v>
      </c>
      <c r="Y866" s="25"/>
      <c r="Z866" s="25"/>
      <c r="AA866" s="25"/>
      <c r="AB866" s="25"/>
      <c r="AC866" s="25"/>
      <c r="AD866" s="25"/>
      <c r="BA866" s="226"/>
    </row>
    <row r="867" spans="1:53" ht="15.6" thickTop="1" thickBot="1" x14ac:dyDescent="0.35">
      <c r="A867" s="88"/>
      <c r="B867" s="312" t="s">
        <v>229</v>
      </c>
      <c r="C867" s="313"/>
      <c r="D867" s="314" t="s">
        <v>230</v>
      </c>
      <c r="E867" s="305"/>
      <c r="F867" s="88"/>
      <c r="G867" s="315" t="s">
        <v>231</v>
      </c>
      <c r="H867" s="316"/>
      <c r="I867" s="28">
        <f>SUM(E878:E902)</f>
        <v>0</v>
      </c>
      <c r="J867" s="317" t="s">
        <v>232</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233</v>
      </c>
      <c r="AA867" s="296"/>
      <c r="AB867" s="297"/>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234</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5">
      <c r="A868" s="88"/>
      <c r="B868" s="29" t="s">
        <v>235</v>
      </c>
      <c r="C868" s="30">
        <v>0</v>
      </c>
      <c r="D868" s="31" t="s">
        <v>236</v>
      </c>
      <c r="E868" s="66" t="str">
        <f>TEXT(IF('Cable Calculator'!DE7="","",'Cable Calculator'!DE7),)</f>
        <v/>
      </c>
      <c r="F868" s="88"/>
      <c r="G868" s="304" t="s">
        <v>237</v>
      </c>
      <c r="H868" s="305"/>
      <c r="I868" s="33">
        <f>E869-I867</f>
        <v>0</v>
      </c>
      <c r="J868" s="289" t="s">
        <v>238</v>
      </c>
      <c r="K868" s="290"/>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8" t="s">
        <v>239</v>
      </c>
      <c r="AA868" s="300" t="s">
        <v>240</v>
      </c>
      <c r="AB868" s="301"/>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241</v>
      </c>
      <c r="AU868" s="109">
        <f>COUNTIFS($E868,"SS",$AS868,"Y")</f>
        <v>0</v>
      </c>
      <c r="AV868" s="111">
        <f>COUNTIFS($E868,"RPX",$AS868,"Y")</f>
        <v>0</v>
      </c>
      <c r="AW868" s="111">
        <f>COUNTIFS($E868,"EUC",$AS868,"Y")</f>
        <v>0</v>
      </c>
      <c r="AX868" s="109">
        <f>COUNTIFS($E868,"RPX-T",$AS868,"Y")</f>
        <v>0</v>
      </c>
      <c r="BA868" s="227"/>
    </row>
    <row r="869" spans="1:53" ht="15.6" thickTop="1" thickBot="1" x14ac:dyDescent="0.35">
      <c r="A869" s="88"/>
      <c r="B869" s="36" t="s">
        <v>242</v>
      </c>
      <c r="C869" s="37">
        <v>0</v>
      </c>
      <c r="D869" s="38" t="s">
        <v>243</v>
      </c>
      <c r="E869" s="32"/>
      <c r="F869" s="88"/>
      <c r="G869" s="291" t="s">
        <v>244</v>
      </c>
      <c r="H869" s="292"/>
      <c r="I869" s="35">
        <f>IF(E869=0,0,12-(MOD(I867,12)))</f>
        <v>0</v>
      </c>
      <c r="J869" s="289" t="s">
        <v>245</v>
      </c>
      <c r="K869" s="290"/>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246</v>
      </c>
      <c r="AU869" s="109">
        <f>COUNTIFS($E868,"SS",$AS869,"Y")</f>
        <v>0</v>
      </c>
      <c r="AV869" s="108">
        <f>COUNTIFS($E868,"RPX",$AS869,"Y")</f>
        <v>0</v>
      </c>
      <c r="AW869" s="108">
        <f>COUNTIFS($E868,"EUC",$AS869,"Y")</f>
        <v>0</v>
      </c>
      <c r="AX869" s="109">
        <f>COUNTIFS($E868,"RPX-T",$AS869,"Y")</f>
        <v>0</v>
      </c>
      <c r="BA869" s="227"/>
    </row>
    <row r="870" spans="1:53" ht="16.5" customHeight="1" thickTop="1" thickBot="1" x14ac:dyDescent="0.35">
      <c r="A870" s="88"/>
      <c r="B870" s="40" t="s">
        <v>247</v>
      </c>
      <c r="C870" s="30">
        <v>0</v>
      </c>
      <c r="D870" s="41" t="s">
        <v>248</v>
      </c>
      <c r="E870" s="42"/>
      <c r="F870" s="88"/>
      <c r="G870" s="321" t="s">
        <v>249</v>
      </c>
      <c r="H870" s="43" t="s">
        <v>250</v>
      </c>
      <c r="I870" s="35">
        <f>IF(E870&lt;&gt;0,1,0)</f>
        <v>0</v>
      </c>
      <c r="J870" s="291" t="s">
        <v>251</v>
      </c>
      <c r="K870" s="292"/>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252</v>
      </c>
      <c r="AU870" s="109">
        <f>COUNTIFS($E868,"SS",$AS870,"Y")</f>
        <v>0</v>
      </c>
      <c r="AV870" s="108">
        <f>COUNTIFS($E868,"RPX",$AS870,"Y")</f>
        <v>0</v>
      </c>
      <c r="AW870" s="108">
        <f>COUNTIFS($E868,"EUC",$AS870,"Y")</f>
        <v>0</v>
      </c>
      <c r="AX870" s="109">
        <f>COUNTIFS($E868,"RPX-T",$AS870,"Y")</f>
        <v>0</v>
      </c>
      <c r="BA870" s="227"/>
    </row>
    <row r="871" spans="1:53" ht="15.6" thickTop="1" thickBot="1" x14ac:dyDescent="0.35">
      <c r="A871" s="88"/>
      <c r="B871" s="29" t="s">
        <v>253</v>
      </c>
      <c r="C871" s="37">
        <v>0</v>
      </c>
      <c r="D871" s="41" t="s">
        <v>254</v>
      </c>
      <c r="E871" s="42"/>
      <c r="F871" s="88"/>
      <c r="G871" s="322"/>
      <c r="H871" s="47" t="s">
        <v>255</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5">
      <c r="A872" s="88"/>
      <c r="B872" s="36" t="s">
        <v>256</v>
      </c>
      <c r="C872" s="30">
        <v>0</v>
      </c>
      <c r="D872" s="49" t="s">
        <v>257</v>
      </c>
      <c r="E872" s="50">
        <f>E869/12</f>
        <v>0</v>
      </c>
      <c r="F872" s="88"/>
      <c r="G872" s="321" t="s">
        <v>258</v>
      </c>
      <c r="H872" s="51" t="s">
        <v>259</v>
      </c>
      <c r="I872" s="112">
        <f>E871</f>
        <v>0</v>
      </c>
      <c r="J872" s="323" t="s">
        <v>260</v>
      </c>
      <c r="K872" s="324"/>
      <c r="L872" s="325"/>
      <c r="M872" s="52" t="s">
        <v>261</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5.6" thickTop="1" thickBot="1" x14ac:dyDescent="0.35">
      <c r="A873" s="88"/>
      <c r="B873" s="36" t="s">
        <v>262</v>
      </c>
      <c r="C873" s="30">
        <v>0</v>
      </c>
      <c r="D873" s="31" t="s">
        <v>263</v>
      </c>
      <c r="E873" s="101" t="str">
        <f>IF('Cable Calculator'!DE5="","",'Cable Calculator'!DE5)</f>
        <v/>
      </c>
      <c r="F873" s="88"/>
      <c r="G873" s="322"/>
      <c r="H873" s="47" t="s">
        <v>264</v>
      </c>
      <c r="I873" s="35" t="str">
        <f>IF(E871="","0",IF(AND(E868="EUC",E869=432), I872+(203-E870),IF(E871=0,0,(E871+(E869-E870)-1))))</f>
        <v>0</v>
      </c>
      <c r="J873" s="286" t="str">
        <f>IFERROR(IF(OR(E868="EUC",E868="SS"),"---",IF(OR(P867,S867),"NO 2F Tethers for RPX!",IF(OR(P869,S869),"NO 6F Tethers for RPX!","---"))),"---")</f>
        <v>---</v>
      </c>
      <c r="K873" s="287"/>
      <c r="L873" s="288"/>
      <c r="M873" s="286" t="str">
        <f>IF(E870&gt;60,"Dead Count &gt;60: Consider Downsize","---")</f>
        <v>---</v>
      </c>
      <c r="N873" s="287"/>
      <c r="O873" s="287"/>
      <c r="P873" s="287"/>
      <c r="Q873" s="287"/>
      <c r="R873" s="287"/>
      <c r="S873" s="287"/>
      <c r="T873" s="287"/>
      <c r="U873" s="288"/>
      <c r="V873" s="100"/>
      <c r="W873" s="54">
        <f>SUM(P873:U873)</f>
        <v>0</v>
      </c>
      <c r="X873" s="54"/>
      <c r="Y873" s="25"/>
      <c r="Z873" s="45">
        <v>4</v>
      </c>
      <c r="AA873" s="46">
        <v>37</v>
      </c>
      <c r="AB873" s="46">
        <v>48</v>
      </c>
      <c r="AC873" s="25"/>
      <c r="AD873" s="25"/>
      <c r="BA873" s="227"/>
    </row>
    <row r="874" spans="1:53" ht="15.6" thickTop="1" thickBot="1" x14ac:dyDescent="0.35">
      <c r="A874" s="88"/>
      <c r="B874" s="55" t="s">
        <v>265</v>
      </c>
      <c r="C874" s="56">
        <f>SUM(C868:C873)+I867</f>
        <v>0</v>
      </c>
      <c r="D874" s="31" t="s">
        <v>266</v>
      </c>
      <c r="E874" s="101" t="str">
        <f>IF(AS868="Y","DBL",IF(AS869="Y","TRPL",IF(AS870="Y","QUAD","")))</f>
        <v/>
      </c>
      <c r="F874" s="88"/>
      <c r="G874" s="192"/>
      <c r="H874" s="57"/>
      <c r="I874" s="192"/>
      <c r="J874" s="286"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7"/>
      <c r="L874" s="288"/>
      <c r="M874" s="286" t="str">
        <f>IF(AND(OR(E868="SS",E868="RPX",E868="EUC",E868="RPX-T"),(OR(C878="",C878="Field SPL"))),"Cannot have FlexNap cables without tethers","---")</f>
        <v>---</v>
      </c>
      <c r="N874" s="287"/>
      <c r="O874" s="287"/>
      <c r="P874" s="287"/>
      <c r="Q874" s="287"/>
      <c r="R874" s="287"/>
      <c r="S874" s="287"/>
      <c r="T874" s="287"/>
      <c r="U874" s="288"/>
      <c r="V874" s="25"/>
      <c r="W874" s="58"/>
      <c r="X874" s="58"/>
      <c r="Y874" s="25"/>
      <c r="Z874" s="45">
        <v>5</v>
      </c>
      <c r="AA874" s="46">
        <v>49</v>
      </c>
      <c r="AB874" s="46">
        <v>60</v>
      </c>
      <c r="AC874" s="25"/>
      <c r="AD874" s="25"/>
      <c r="BA874" s="227"/>
    </row>
    <row r="875" spans="1:53" ht="15.6" thickTop="1" thickBot="1" x14ac:dyDescent="0.35">
      <c r="A875" s="88"/>
      <c r="B875" s="59"/>
      <c r="C875" s="60"/>
      <c r="D875" s="61"/>
      <c r="E875" s="62"/>
      <c r="F875" s="88"/>
      <c r="G875" s="63"/>
      <c r="H875" s="64"/>
      <c r="I875" s="63"/>
      <c r="J875" s="286" t="str">
        <f>IF(AND(OR(E868="RPX", E868="RPX-T", E868="SS"),E869=216),"NO 216 For RPX, RPX-T, OR SS CABLE","---")</f>
        <v>---</v>
      </c>
      <c r="K875" s="287"/>
      <c r="L875" s="288"/>
      <c r="M875" s="286" t="str" cm="1">
        <f t="array" ref="M875">IF(AND(E868="",OR(C878:C902="FST",C878:C902="REV T",C878:C902="DBL REV",C878:C902="TPL REV", C878:C902="QD REV")),"Non-FlexNap cables cannot have tethers","---")</f>
        <v>---</v>
      </c>
      <c r="N875" s="287"/>
      <c r="O875" s="287"/>
      <c r="P875" s="287"/>
      <c r="Q875" s="287"/>
      <c r="R875" s="287"/>
      <c r="S875" s="287"/>
      <c r="T875" s="287"/>
      <c r="U875" s="288"/>
      <c r="V875" s="25"/>
      <c r="W875" s="58"/>
      <c r="X875" s="58"/>
      <c r="Y875" s="25"/>
      <c r="Z875" s="45">
        <v>6</v>
      </c>
      <c r="AA875" s="65">
        <v>61</v>
      </c>
      <c r="AB875" s="65">
        <v>72</v>
      </c>
      <c r="AC875" s="25"/>
      <c r="AD875" s="25"/>
      <c r="BA875" s="226"/>
    </row>
    <row r="876" spans="1:53" ht="15.75" customHeight="1" thickBot="1" x14ac:dyDescent="0.35">
      <c r="A876" s="88"/>
      <c r="B876" s="321" t="s">
        <v>267</v>
      </c>
      <c r="C876" s="293" t="s">
        <v>268</v>
      </c>
      <c r="D876" s="293" t="s">
        <v>269</v>
      </c>
      <c r="E876" s="306" t="s">
        <v>270</v>
      </c>
      <c r="F876" s="293" t="s">
        <v>271</v>
      </c>
      <c r="G876" s="308" t="s">
        <v>272</v>
      </c>
      <c r="H876" s="308" t="s">
        <v>273</v>
      </c>
      <c r="I876" s="308" t="s">
        <v>274</v>
      </c>
      <c r="J876" s="310" t="s">
        <v>275</v>
      </c>
      <c r="K876" s="293" t="s">
        <v>276</v>
      </c>
      <c r="L876" s="280" t="s">
        <v>277</v>
      </c>
      <c r="M876" s="282" t="s">
        <v>278</v>
      </c>
      <c r="N876" s="282"/>
      <c r="O876" s="282"/>
      <c r="P876" s="282"/>
      <c r="Q876" s="282"/>
      <c r="R876" s="282"/>
      <c r="S876" s="282"/>
      <c r="T876" s="282"/>
      <c r="U876" s="283"/>
      <c r="V876" s="107"/>
      <c r="W876" s="72"/>
      <c r="X876" s="72"/>
      <c r="Y876" s="72"/>
      <c r="Z876" s="45">
        <v>7</v>
      </c>
      <c r="AA876" s="65">
        <v>73</v>
      </c>
      <c r="AB876" s="65">
        <v>84</v>
      </c>
      <c r="AC876" s="25"/>
      <c r="AD876" s="25"/>
      <c r="BA876" s="228"/>
    </row>
    <row r="877" spans="1:53" ht="15" thickBot="1" x14ac:dyDescent="0.35">
      <c r="A877" s="88"/>
      <c r="B877" s="322"/>
      <c r="C877" s="294"/>
      <c r="D877" s="294"/>
      <c r="E877" s="307"/>
      <c r="F877" s="294"/>
      <c r="G877" s="309"/>
      <c r="H877" s="309"/>
      <c r="I877" s="309"/>
      <c r="J877" s="311"/>
      <c r="K877" s="294"/>
      <c r="L877" s="281"/>
      <c r="M877" s="284"/>
      <c r="N877" s="284"/>
      <c r="O877" s="284"/>
      <c r="P877" s="284"/>
      <c r="Q877" s="284"/>
      <c r="R877" s="284"/>
      <c r="S877" s="284"/>
      <c r="T877" s="284"/>
      <c r="U877" s="285"/>
      <c r="V877" s="107"/>
      <c r="W877" s="72"/>
      <c r="X877" s="72"/>
      <c r="Y877" s="72"/>
      <c r="Z877" s="45">
        <v>8</v>
      </c>
      <c r="AA877" s="46">
        <v>85</v>
      </c>
      <c r="AB877" s="46">
        <v>96</v>
      </c>
      <c r="AC877" s="25"/>
      <c r="AD877" s="25"/>
      <c r="AI877" s="109" t="s">
        <v>279</v>
      </c>
      <c r="AJ877" s="109" t="s">
        <v>280</v>
      </c>
      <c r="AK877" s="109" t="s">
        <v>281</v>
      </c>
      <c r="AL877" s="109" t="s">
        <v>282</v>
      </c>
      <c r="BA877" s="228"/>
    </row>
    <row r="878" spans="1:53" ht="15" thickBot="1" x14ac:dyDescent="0.35">
      <c r="A878" s="88"/>
      <c r="B878" s="66" t="s">
        <v>283</v>
      </c>
      <c r="C878" s="67"/>
      <c r="D878" s="102"/>
      <c r="E878" s="32"/>
      <c r="F878" s="32"/>
      <c r="G878" s="68" t="s">
        <v>285</v>
      </c>
      <c r="H878" s="69">
        <f>IF(I878=0,0,I878-(E878-1))</f>
        <v>0</v>
      </c>
      <c r="I878" s="70">
        <f>IF(E878=0,0,I873)</f>
        <v>0</v>
      </c>
      <c r="J878" s="71" t="s">
        <v>286</v>
      </c>
      <c r="K878" s="32"/>
      <c r="L878" s="233"/>
      <c r="M878" s="278"/>
      <c r="N878" s="278"/>
      <c r="O878" s="278"/>
      <c r="P878" s="278"/>
      <c r="Q878" s="278"/>
      <c r="R878" s="278"/>
      <c r="S878" s="278"/>
      <c r="T878" s="278"/>
      <c r="U878" s="279"/>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 thickBot="1" x14ac:dyDescent="0.35">
      <c r="A879" s="88"/>
      <c r="B879" s="66" t="s">
        <v>288</v>
      </c>
      <c r="C879" s="67"/>
      <c r="D879" s="102"/>
      <c r="E879" s="32"/>
      <c r="F879" s="32"/>
      <c r="G879" s="68" t="s">
        <v>285</v>
      </c>
      <c r="H879" s="69">
        <f t="shared" ref="H879:H902" si="366">IF(E879=0,0,I879-(E879-1))</f>
        <v>0</v>
      </c>
      <c r="I879" s="70">
        <f t="shared" ref="I879:I902" si="367">IF(E879=0,0,H878-1)</f>
        <v>0</v>
      </c>
      <c r="J879" s="73" t="str">
        <f>IF(C879="","--",IF(AND(C879&lt;&gt;"FST",C879&lt;&gt;"TCF",BA878&lt;&gt;0),BA878,"--"))</f>
        <v>--</v>
      </c>
      <c r="K879" s="32"/>
      <c r="L879" s="233"/>
      <c r="M879" s="278"/>
      <c r="N879" s="278"/>
      <c r="O879" s="278"/>
      <c r="P879" s="278"/>
      <c r="Q879" s="278"/>
      <c r="R879" s="278"/>
      <c r="S879" s="278"/>
      <c r="T879" s="278"/>
      <c r="U879" s="279"/>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 thickBot="1" x14ac:dyDescent="0.35">
      <c r="A880" s="88"/>
      <c r="B880" s="74" t="s">
        <v>290</v>
      </c>
      <c r="C880" s="67"/>
      <c r="D880" s="102"/>
      <c r="E880" s="32"/>
      <c r="F880" s="32"/>
      <c r="G880" s="75" t="s">
        <v>285</v>
      </c>
      <c r="H880" s="69">
        <f t="shared" si="366"/>
        <v>0</v>
      </c>
      <c r="I880" s="70">
        <f t="shared" si="367"/>
        <v>0</v>
      </c>
      <c r="J880" s="73" t="str">
        <f t="shared" ref="J880:J902" si="368">IF(C880="","--",IF(AND(C880&lt;&gt;"FST",C880&lt;&gt;"TCF",BA879&lt;&gt;0),BA879,"--"))</f>
        <v>--</v>
      </c>
      <c r="K880" s="32"/>
      <c r="L880" s="233"/>
      <c r="M880" s="278"/>
      <c r="N880" s="278"/>
      <c r="O880" s="278"/>
      <c r="P880" s="278"/>
      <c r="Q880" s="278"/>
      <c r="R880" s="278"/>
      <c r="S880" s="278"/>
      <c r="T880" s="278"/>
      <c r="U880" s="279"/>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 thickBot="1" x14ac:dyDescent="0.35">
      <c r="A881" s="88"/>
      <c r="B881" s="66" t="s">
        <v>292</v>
      </c>
      <c r="C881" s="67"/>
      <c r="D881" s="102"/>
      <c r="E881" s="32"/>
      <c r="F881" s="32"/>
      <c r="G881" s="68" t="s">
        <v>285</v>
      </c>
      <c r="H881" s="69">
        <f t="shared" si="366"/>
        <v>0</v>
      </c>
      <c r="I881" s="70">
        <f t="shared" si="367"/>
        <v>0</v>
      </c>
      <c r="J881" s="73" t="str">
        <f t="shared" si="368"/>
        <v>--</v>
      </c>
      <c r="K881" s="32"/>
      <c r="L881" s="233"/>
      <c r="M881" s="278"/>
      <c r="N881" s="278"/>
      <c r="O881" s="278"/>
      <c r="P881" s="278"/>
      <c r="Q881" s="278"/>
      <c r="R881" s="278"/>
      <c r="S881" s="278"/>
      <c r="T881" s="278"/>
      <c r="U881" s="279"/>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 thickBot="1" x14ac:dyDescent="0.35">
      <c r="A882" s="88"/>
      <c r="B882" s="66" t="s">
        <v>293</v>
      </c>
      <c r="C882" s="67"/>
      <c r="D882" s="102"/>
      <c r="E882" s="32"/>
      <c r="F882" s="32"/>
      <c r="G882" s="68" t="s">
        <v>285</v>
      </c>
      <c r="H882" s="69">
        <f t="shared" si="366"/>
        <v>0</v>
      </c>
      <c r="I882" s="70">
        <f t="shared" si="367"/>
        <v>0</v>
      </c>
      <c r="J882" s="73" t="str">
        <f t="shared" si="368"/>
        <v>--</v>
      </c>
      <c r="K882" s="32"/>
      <c r="L882" s="233"/>
      <c r="M882" s="278"/>
      <c r="N882" s="278"/>
      <c r="O882" s="278"/>
      <c r="P882" s="278"/>
      <c r="Q882" s="278"/>
      <c r="R882" s="278"/>
      <c r="S882" s="278"/>
      <c r="T882" s="278"/>
      <c r="U882" s="27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 thickBot="1" x14ac:dyDescent="0.35">
      <c r="A883" s="88"/>
      <c r="B883" s="66" t="s">
        <v>294</v>
      </c>
      <c r="C883" s="67"/>
      <c r="D883" s="102"/>
      <c r="E883" s="32"/>
      <c r="F883" s="32"/>
      <c r="G883" s="68" t="s">
        <v>285</v>
      </c>
      <c r="H883" s="69">
        <f t="shared" si="366"/>
        <v>0</v>
      </c>
      <c r="I883" s="70">
        <f t="shared" si="367"/>
        <v>0</v>
      </c>
      <c r="J883" s="73" t="str">
        <f t="shared" si="368"/>
        <v>--</v>
      </c>
      <c r="K883" s="32"/>
      <c r="L883" s="233"/>
      <c r="M883" s="278"/>
      <c r="N883" s="278"/>
      <c r="O883" s="278"/>
      <c r="P883" s="278"/>
      <c r="Q883" s="278"/>
      <c r="R883" s="278"/>
      <c r="S883" s="278"/>
      <c r="T883" s="278"/>
      <c r="U883" s="27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 thickBot="1" x14ac:dyDescent="0.35">
      <c r="A884" s="88"/>
      <c r="B884" s="66" t="s">
        <v>295</v>
      </c>
      <c r="C884" s="67"/>
      <c r="D884" s="102"/>
      <c r="E884" s="32"/>
      <c r="F884" s="32"/>
      <c r="G884" s="68" t="s">
        <v>285</v>
      </c>
      <c r="H884" s="69">
        <f t="shared" si="366"/>
        <v>0</v>
      </c>
      <c r="I884" s="70">
        <f t="shared" si="367"/>
        <v>0</v>
      </c>
      <c r="J884" s="73" t="str">
        <f t="shared" si="368"/>
        <v>--</v>
      </c>
      <c r="K884" s="32"/>
      <c r="L884" s="233"/>
      <c r="M884" s="278"/>
      <c r="N884" s="278"/>
      <c r="O884" s="278"/>
      <c r="P884" s="278"/>
      <c r="Q884" s="278"/>
      <c r="R884" s="278"/>
      <c r="S884" s="278"/>
      <c r="T884" s="278"/>
      <c r="U884" s="27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 thickBot="1" x14ac:dyDescent="0.35">
      <c r="A885" s="88"/>
      <c r="B885" s="66" t="s">
        <v>296</v>
      </c>
      <c r="C885" s="67"/>
      <c r="D885" s="102"/>
      <c r="E885" s="32"/>
      <c r="F885" s="32"/>
      <c r="G885" s="68" t="s">
        <v>285</v>
      </c>
      <c r="H885" s="69">
        <f t="shared" si="366"/>
        <v>0</v>
      </c>
      <c r="I885" s="70">
        <f t="shared" si="367"/>
        <v>0</v>
      </c>
      <c r="J885" s="73" t="str">
        <f t="shared" si="368"/>
        <v>--</v>
      </c>
      <c r="K885" s="32"/>
      <c r="L885" s="233"/>
      <c r="M885" s="278"/>
      <c r="N885" s="278"/>
      <c r="O885" s="278"/>
      <c r="P885" s="278"/>
      <c r="Q885" s="278"/>
      <c r="R885" s="278"/>
      <c r="S885" s="278"/>
      <c r="T885" s="278"/>
      <c r="U885" s="27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 thickBot="1" x14ac:dyDescent="0.35">
      <c r="A886" s="88"/>
      <c r="B886" s="66" t="s">
        <v>297</v>
      </c>
      <c r="C886" s="67"/>
      <c r="D886" s="102"/>
      <c r="E886" s="32"/>
      <c r="F886" s="32"/>
      <c r="G886" s="68" t="s">
        <v>285</v>
      </c>
      <c r="H886" s="69">
        <f t="shared" si="366"/>
        <v>0</v>
      </c>
      <c r="I886" s="70">
        <f t="shared" si="367"/>
        <v>0</v>
      </c>
      <c r="J886" s="73" t="str">
        <f t="shared" si="368"/>
        <v>--</v>
      </c>
      <c r="K886" s="32"/>
      <c r="L886" s="233"/>
      <c r="M886" s="278"/>
      <c r="N886" s="278"/>
      <c r="O886" s="278"/>
      <c r="P886" s="278"/>
      <c r="Q886" s="278"/>
      <c r="R886" s="278"/>
      <c r="S886" s="278"/>
      <c r="T886" s="278"/>
      <c r="U886" s="27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 thickBot="1" x14ac:dyDescent="0.35">
      <c r="A887" s="88"/>
      <c r="B887" s="66" t="s">
        <v>298</v>
      </c>
      <c r="C887" s="67"/>
      <c r="D887" s="102"/>
      <c r="E887" s="32"/>
      <c r="F887" s="32"/>
      <c r="G887" s="68" t="s">
        <v>285</v>
      </c>
      <c r="H887" s="69">
        <f t="shared" si="366"/>
        <v>0</v>
      </c>
      <c r="I887" s="70">
        <f t="shared" si="367"/>
        <v>0</v>
      </c>
      <c r="J887" s="73" t="str">
        <f t="shared" si="368"/>
        <v>--</v>
      </c>
      <c r="K887" s="32"/>
      <c r="L887" s="233"/>
      <c r="M887" s="278"/>
      <c r="N887" s="278"/>
      <c r="O887" s="278"/>
      <c r="P887" s="278"/>
      <c r="Q887" s="278"/>
      <c r="R887" s="278"/>
      <c r="S887" s="278"/>
      <c r="T887" s="278"/>
      <c r="U887" s="27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 thickBot="1" x14ac:dyDescent="0.35">
      <c r="A888" s="88"/>
      <c r="B888" s="66" t="s">
        <v>299</v>
      </c>
      <c r="C888" s="67"/>
      <c r="D888" s="102"/>
      <c r="E888" s="32"/>
      <c r="F888" s="32"/>
      <c r="G888" s="68" t="s">
        <v>285</v>
      </c>
      <c r="H888" s="69">
        <f t="shared" si="366"/>
        <v>0</v>
      </c>
      <c r="I888" s="70">
        <f t="shared" si="367"/>
        <v>0</v>
      </c>
      <c r="J888" s="73" t="str">
        <f t="shared" si="368"/>
        <v>--</v>
      </c>
      <c r="K888" s="32"/>
      <c r="L888" s="233"/>
      <c r="M888" s="278"/>
      <c r="N888" s="278"/>
      <c r="O888" s="278"/>
      <c r="P888" s="278"/>
      <c r="Q888" s="278"/>
      <c r="R888" s="278"/>
      <c r="S888" s="278"/>
      <c r="T888" s="278"/>
      <c r="U888" s="27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 thickBot="1" x14ac:dyDescent="0.35">
      <c r="A889" s="88"/>
      <c r="B889" s="66" t="s">
        <v>300</v>
      </c>
      <c r="C889" s="67"/>
      <c r="D889" s="102"/>
      <c r="E889" s="32"/>
      <c r="F889" s="32"/>
      <c r="G889" s="68" t="s">
        <v>285</v>
      </c>
      <c r="H889" s="69">
        <f t="shared" si="366"/>
        <v>0</v>
      </c>
      <c r="I889" s="70">
        <f t="shared" si="367"/>
        <v>0</v>
      </c>
      <c r="J889" s="73" t="str">
        <f t="shared" si="368"/>
        <v>--</v>
      </c>
      <c r="K889" s="32"/>
      <c r="L889" s="233"/>
      <c r="M889" s="278"/>
      <c r="N889" s="278"/>
      <c r="O889" s="278"/>
      <c r="P889" s="278"/>
      <c r="Q889" s="278"/>
      <c r="R889" s="278"/>
      <c r="S889" s="278"/>
      <c r="T889" s="278"/>
      <c r="U889" s="279"/>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 thickBot="1" x14ac:dyDescent="0.35">
      <c r="A890" s="88"/>
      <c r="B890" s="66" t="s">
        <v>301</v>
      </c>
      <c r="C890" s="67"/>
      <c r="D890" s="102"/>
      <c r="E890" s="32"/>
      <c r="F890" s="32"/>
      <c r="G890" s="68" t="s">
        <v>285</v>
      </c>
      <c r="H890" s="69">
        <f t="shared" si="366"/>
        <v>0</v>
      </c>
      <c r="I890" s="70">
        <f t="shared" si="367"/>
        <v>0</v>
      </c>
      <c r="J890" s="73" t="str">
        <f t="shared" si="368"/>
        <v>--</v>
      </c>
      <c r="K890" s="32"/>
      <c r="L890" s="233"/>
      <c r="M890" s="278"/>
      <c r="N890" s="278"/>
      <c r="O890" s="278"/>
      <c r="P890" s="278"/>
      <c r="Q890" s="278"/>
      <c r="R890" s="278"/>
      <c r="S890" s="278"/>
      <c r="T890" s="278"/>
      <c r="U890" s="279"/>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 thickBot="1" x14ac:dyDescent="0.35">
      <c r="A891" s="88"/>
      <c r="B891" s="66" t="s">
        <v>302</v>
      </c>
      <c r="C891" s="67"/>
      <c r="D891" s="102"/>
      <c r="E891" s="32"/>
      <c r="F891" s="32"/>
      <c r="G891" s="68" t="s">
        <v>285</v>
      </c>
      <c r="H891" s="69">
        <f t="shared" si="366"/>
        <v>0</v>
      </c>
      <c r="I891" s="70">
        <f t="shared" si="367"/>
        <v>0</v>
      </c>
      <c r="J891" s="73" t="str">
        <f t="shared" si="368"/>
        <v>--</v>
      </c>
      <c r="K891" s="32"/>
      <c r="L891" s="233"/>
      <c r="M891" s="278"/>
      <c r="N891" s="278"/>
      <c r="O891" s="278"/>
      <c r="P891" s="278"/>
      <c r="Q891" s="278"/>
      <c r="R891" s="278"/>
      <c r="S891" s="278"/>
      <c r="T891" s="278"/>
      <c r="U891" s="279"/>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 thickBot="1" x14ac:dyDescent="0.35">
      <c r="A892" s="88"/>
      <c r="B892" s="66" t="s">
        <v>303</v>
      </c>
      <c r="C892" s="67"/>
      <c r="D892" s="102"/>
      <c r="E892" s="32"/>
      <c r="F892" s="32"/>
      <c r="G892" s="68" t="s">
        <v>285</v>
      </c>
      <c r="H892" s="69">
        <f t="shared" si="366"/>
        <v>0</v>
      </c>
      <c r="I892" s="70">
        <f t="shared" si="367"/>
        <v>0</v>
      </c>
      <c r="J892" s="73" t="str">
        <f t="shared" si="368"/>
        <v>--</v>
      </c>
      <c r="K892" s="32"/>
      <c r="L892" s="233"/>
      <c r="M892" s="278"/>
      <c r="N892" s="278"/>
      <c r="O892" s="278"/>
      <c r="P892" s="278"/>
      <c r="Q892" s="278"/>
      <c r="R892" s="278"/>
      <c r="S892" s="278"/>
      <c r="T892" s="278"/>
      <c r="U892" s="279"/>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 thickBot="1" x14ac:dyDescent="0.35">
      <c r="A893" s="88"/>
      <c r="B893" s="66" t="s">
        <v>304</v>
      </c>
      <c r="C893" s="67"/>
      <c r="D893" s="102"/>
      <c r="E893" s="32"/>
      <c r="F893" s="32"/>
      <c r="G893" s="68" t="s">
        <v>285</v>
      </c>
      <c r="H893" s="69">
        <f t="shared" si="366"/>
        <v>0</v>
      </c>
      <c r="I893" s="70">
        <f t="shared" si="367"/>
        <v>0</v>
      </c>
      <c r="J893" s="73" t="str">
        <f t="shared" si="368"/>
        <v>--</v>
      </c>
      <c r="K893" s="32"/>
      <c r="L893" s="233"/>
      <c r="M893" s="278"/>
      <c r="N893" s="278"/>
      <c r="O893" s="278"/>
      <c r="P893" s="278"/>
      <c r="Q893" s="278"/>
      <c r="R893" s="278"/>
      <c r="S893" s="278"/>
      <c r="T893" s="278"/>
      <c r="U893" s="279"/>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 thickBot="1" x14ac:dyDescent="0.35">
      <c r="A894" s="88"/>
      <c r="B894" s="66" t="s">
        <v>305</v>
      </c>
      <c r="C894" s="67"/>
      <c r="D894" s="102"/>
      <c r="E894" s="32"/>
      <c r="F894" s="32"/>
      <c r="G894" s="68" t="s">
        <v>285</v>
      </c>
      <c r="H894" s="69">
        <f t="shared" si="366"/>
        <v>0</v>
      </c>
      <c r="I894" s="70">
        <f t="shared" si="367"/>
        <v>0</v>
      </c>
      <c r="J894" s="73" t="str">
        <f t="shared" si="368"/>
        <v>--</v>
      </c>
      <c r="K894" s="32"/>
      <c r="L894" s="233"/>
      <c r="M894" s="278"/>
      <c r="N894" s="278"/>
      <c r="O894" s="278"/>
      <c r="P894" s="278"/>
      <c r="Q894" s="278"/>
      <c r="R894" s="278"/>
      <c r="S894" s="278"/>
      <c r="T894" s="278"/>
      <c r="U894" s="279"/>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 thickBot="1" x14ac:dyDescent="0.35">
      <c r="A895" s="88"/>
      <c r="B895" s="66" t="s">
        <v>306</v>
      </c>
      <c r="C895" s="67"/>
      <c r="D895" s="102"/>
      <c r="E895" s="32"/>
      <c r="F895" s="32"/>
      <c r="G895" s="68" t="s">
        <v>285</v>
      </c>
      <c r="H895" s="69">
        <f t="shared" si="366"/>
        <v>0</v>
      </c>
      <c r="I895" s="70">
        <f t="shared" si="367"/>
        <v>0</v>
      </c>
      <c r="J895" s="73" t="str">
        <f t="shared" si="368"/>
        <v>--</v>
      </c>
      <c r="K895" s="32"/>
      <c r="L895" s="233"/>
      <c r="M895" s="278"/>
      <c r="N895" s="278"/>
      <c r="O895" s="278"/>
      <c r="P895" s="278"/>
      <c r="Q895" s="278"/>
      <c r="R895" s="278"/>
      <c r="S895" s="278"/>
      <c r="T895" s="278"/>
      <c r="U895" s="279"/>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 thickBot="1" x14ac:dyDescent="0.35">
      <c r="A896" s="88"/>
      <c r="B896" s="66" t="s">
        <v>307</v>
      </c>
      <c r="C896" s="67"/>
      <c r="D896" s="102"/>
      <c r="E896" s="32"/>
      <c r="F896" s="32"/>
      <c r="G896" s="68" t="s">
        <v>285</v>
      </c>
      <c r="H896" s="69">
        <f t="shared" si="366"/>
        <v>0</v>
      </c>
      <c r="I896" s="70">
        <f t="shared" si="367"/>
        <v>0</v>
      </c>
      <c r="J896" s="73" t="str">
        <f t="shared" si="368"/>
        <v>--</v>
      </c>
      <c r="K896" s="32"/>
      <c r="L896" s="233"/>
      <c r="M896" s="278"/>
      <c r="N896" s="278"/>
      <c r="O896" s="278"/>
      <c r="P896" s="278"/>
      <c r="Q896" s="278"/>
      <c r="R896" s="278"/>
      <c r="S896" s="278"/>
      <c r="T896" s="278"/>
      <c r="U896" s="279"/>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 thickBot="1" x14ac:dyDescent="0.35">
      <c r="A897" s="88"/>
      <c r="B897" s="66" t="s">
        <v>308</v>
      </c>
      <c r="C897" s="67"/>
      <c r="D897" s="102"/>
      <c r="E897" s="32"/>
      <c r="F897" s="32"/>
      <c r="G897" s="68" t="s">
        <v>285</v>
      </c>
      <c r="H897" s="69">
        <f t="shared" si="366"/>
        <v>0</v>
      </c>
      <c r="I897" s="70">
        <f t="shared" si="367"/>
        <v>0</v>
      </c>
      <c r="J897" s="73" t="str">
        <f t="shared" si="368"/>
        <v>--</v>
      </c>
      <c r="K897" s="32"/>
      <c r="L897" s="233"/>
      <c r="M897" s="278"/>
      <c r="N897" s="278"/>
      <c r="O897" s="278"/>
      <c r="P897" s="278"/>
      <c r="Q897" s="278"/>
      <c r="R897" s="278"/>
      <c r="S897" s="278"/>
      <c r="T897" s="278"/>
      <c r="U897" s="279"/>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 thickBot="1" x14ac:dyDescent="0.35">
      <c r="A898" s="88"/>
      <c r="B898" s="66" t="s">
        <v>309</v>
      </c>
      <c r="C898" s="67"/>
      <c r="D898" s="102"/>
      <c r="E898" s="32"/>
      <c r="F898" s="32"/>
      <c r="G898" s="68" t="s">
        <v>285</v>
      </c>
      <c r="H898" s="69">
        <f t="shared" si="366"/>
        <v>0</v>
      </c>
      <c r="I898" s="70">
        <f t="shared" si="367"/>
        <v>0</v>
      </c>
      <c r="J898" s="73" t="str">
        <f t="shared" si="368"/>
        <v>--</v>
      </c>
      <c r="K898" s="32"/>
      <c r="L898" s="233"/>
      <c r="M898" s="278"/>
      <c r="N898" s="278"/>
      <c r="O898" s="278"/>
      <c r="P898" s="278"/>
      <c r="Q898" s="278"/>
      <c r="R898" s="278"/>
      <c r="S898" s="278"/>
      <c r="T898" s="278"/>
      <c r="U898" s="279"/>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 thickBot="1" x14ac:dyDescent="0.35">
      <c r="A899" s="88"/>
      <c r="B899" s="66" t="s">
        <v>310</v>
      </c>
      <c r="C899" s="67"/>
      <c r="D899" s="102"/>
      <c r="E899" s="32"/>
      <c r="F899" s="32"/>
      <c r="G899" s="68" t="s">
        <v>285</v>
      </c>
      <c r="H899" s="69">
        <f t="shared" si="366"/>
        <v>0</v>
      </c>
      <c r="I899" s="70">
        <f t="shared" si="367"/>
        <v>0</v>
      </c>
      <c r="J899" s="73" t="str">
        <f t="shared" si="368"/>
        <v>--</v>
      </c>
      <c r="K899" s="32"/>
      <c r="L899" s="233"/>
      <c r="M899" s="278"/>
      <c r="N899" s="278"/>
      <c r="O899" s="278"/>
      <c r="P899" s="278"/>
      <c r="Q899" s="278"/>
      <c r="R899" s="278"/>
      <c r="S899" s="278"/>
      <c r="T899" s="278"/>
      <c r="U899" s="279"/>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 thickBot="1" x14ac:dyDescent="0.35">
      <c r="A900" s="88"/>
      <c r="B900" s="66" t="s">
        <v>311</v>
      </c>
      <c r="C900" s="67"/>
      <c r="D900" s="102"/>
      <c r="E900" s="32"/>
      <c r="F900" s="32"/>
      <c r="G900" s="68" t="s">
        <v>285</v>
      </c>
      <c r="H900" s="69">
        <f t="shared" si="366"/>
        <v>0</v>
      </c>
      <c r="I900" s="70">
        <f t="shared" si="367"/>
        <v>0</v>
      </c>
      <c r="J900" s="73" t="str">
        <f t="shared" si="368"/>
        <v>--</v>
      </c>
      <c r="K900" s="32"/>
      <c r="L900" s="233"/>
      <c r="M900" s="278"/>
      <c r="N900" s="278"/>
      <c r="O900" s="278"/>
      <c r="P900" s="278"/>
      <c r="Q900" s="278"/>
      <c r="R900" s="278"/>
      <c r="S900" s="278"/>
      <c r="T900" s="278"/>
      <c r="U900" s="279"/>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 thickBot="1" x14ac:dyDescent="0.35">
      <c r="A901" s="88"/>
      <c r="B901" s="66" t="s">
        <v>312</v>
      </c>
      <c r="C901" s="67"/>
      <c r="D901" s="102"/>
      <c r="E901" s="32"/>
      <c r="F901" s="32"/>
      <c r="G901" s="68" t="s">
        <v>285</v>
      </c>
      <c r="H901" s="69">
        <f t="shared" si="366"/>
        <v>0</v>
      </c>
      <c r="I901" s="70">
        <f t="shared" si="367"/>
        <v>0</v>
      </c>
      <c r="J901" s="73" t="str">
        <f t="shared" si="368"/>
        <v>--</v>
      </c>
      <c r="K901" s="32"/>
      <c r="L901" s="233"/>
      <c r="M901" s="278"/>
      <c r="N901" s="278"/>
      <c r="O901" s="278"/>
      <c r="P901" s="278"/>
      <c r="Q901" s="278"/>
      <c r="R901" s="278"/>
      <c r="S901" s="278"/>
      <c r="T901" s="278"/>
      <c r="U901" s="279"/>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 thickBot="1" x14ac:dyDescent="0.35">
      <c r="A902" s="88"/>
      <c r="B902" s="66" t="s">
        <v>313</v>
      </c>
      <c r="C902" s="67"/>
      <c r="D902" s="102"/>
      <c r="E902" s="32"/>
      <c r="F902" s="32"/>
      <c r="G902" s="68" t="s">
        <v>285</v>
      </c>
      <c r="H902" s="69">
        <f t="shared" si="366"/>
        <v>0</v>
      </c>
      <c r="I902" s="70">
        <f t="shared" si="367"/>
        <v>0</v>
      </c>
      <c r="J902" s="73" t="str">
        <f t="shared" si="368"/>
        <v>--</v>
      </c>
      <c r="K902" s="32"/>
      <c r="L902" s="234"/>
      <c r="M902" s="278"/>
      <c r="N902" s="278"/>
      <c r="O902" s="278"/>
      <c r="P902" s="278"/>
      <c r="Q902" s="278"/>
      <c r="R902" s="278"/>
      <c r="S902" s="278"/>
      <c r="T902" s="278"/>
      <c r="U902" s="279"/>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2" thickBot="1" x14ac:dyDescent="0.35">
      <c r="A903" s="88"/>
      <c r="B903" s="319" t="s">
        <v>418</v>
      </c>
      <c r="C903" s="320"/>
      <c r="D903" s="79"/>
      <c r="E903" s="80"/>
      <c r="F903" s="80"/>
      <c r="G903" s="81"/>
      <c r="H903" s="192"/>
      <c r="I903" s="192"/>
      <c r="J903" s="192"/>
      <c r="K903" s="82"/>
      <c r="L903" s="319" t="s">
        <v>319</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2" thickBot="1" x14ac:dyDescent="0.35">
      <c r="A904" s="88"/>
      <c r="B904" s="319" t="s">
        <v>320</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3">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 thickBot="1" x14ac:dyDescent="0.35">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5">
      <c r="A907" s="88"/>
      <c r="B907" s="85" t="s">
        <v>419</v>
      </c>
      <c r="C907" s="25"/>
      <c r="D907" s="25"/>
      <c r="E907" s="25"/>
      <c r="F907" s="88"/>
      <c r="G907" s="25"/>
      <c r="H907" s="25"/>
      <c r="I907" s="87"/>
      <c r="J907" s="26"/>
      <c r="K907" s="25"/>
      <c r="L907" s="25"/>
      <c r="M907" s="196" t="s">
        <v>217</v>
      </c>
      <c r="N907" s="196" t="s">
        <v>218</v>
      </c>
      <c r="O907" s="196" t="s">
        <v>219</v>
      </c>
      <c r="P907" s="196" t="s">
        <v>220</v>
      </c>
      <c r="Q907" s="196" t="s">
        <v>221</v>
      </c>
      <c r="R907" s="196" t="s">
        <v>222</v>
      </c>
      <c r="S907" s="196" t="s">
        <v>223</v>
      </c>
      <c r="T907" s="196" t="s">
        <v>224</v>
      </c>
      <c r="U907" s="196" t="s">
        <v>225</v>
      </c>
      <c r="V907" s="196" t="s">
        <v>226</v>
      </c>
      <c r="W907" s="113" t="s">
        <v>227</v>
      </c>
      <c r="X907" s="196" t="s">
        <v>228</v>
      </c>
      <c r="Y907" s="25"/>
      <c r="Z907" s="25"/>
      <c r="AA907" s="25"/>
      <c r="AB907" s="25"/>
      <c r="AC907" s="25"/>
      <c r="AD907" s="25"/>
      <c r="BA907" s="226"/>
    </row>
    <row r="908" spans="1:53" ht="15.6" thickTop="1" thickBot="1" x14ac:dyDescent="0.35">
      <c r="A908" s="88"/>
      <c r="B908" s="312" t="s">
        <v>229</v>
      </c>
      <c r="C908" s="313"/>
      <c r="D908" s="314" t="s">
        <v>230</v>
      </c>
      <c r="E908" s="305"/>
      <c r="F908" s="88"/>
      <c r="G908" s="315" t="s">
        <v>231</v>
      </c>
      <c r="H908" s="316"/>
      <c r="I908" s="28">
        <f>SUM(E919:E943)</f>
        <v>0</v>
      </c>
      <c r="J908" s="317" t="s">
        <v>232</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5" t="s">
        <v>233</v>
      </c>
      <c r="AA908" s="296"/>
      <c r="AB908" s="297"/>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234</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5">
      <c r="A909" s="88"/>
      <c r="B909" s="29" t="s">
        <v>235</v>
      </c>
      <c r="C909" s="30">
        <v>0</v>
      </c>
      <c r="D909" s="31" t="s">
        <v>236</v>
      </c>
      <c r="E909" s="66" t="str">
        <f>TEXT(IF('Cable Calculator'!DJ7="","",'Cable Calculator'!DJ7),)</f>
        <v/>
      </c>
      <c r="F909" s="88"/>
      <c r="G909" s="304" t="s">
        <v>237</v>
      </c>
      <c r="H909" s="305"/>
      <c r="I909" s="33">
        <f>E910-I908</f>
        <v>0</v>
      </c>
      <c r="J909" s="289" t="s">
        <v>238</v>
      </c>
      <c r="K909" s="290"/>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239</v>
      </c>
      <c r="AA909" s="300" t="s">
        <v>240</v>
      </c>
      <c r="AB909" s="301"/>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241</v>
      </c>
      <c r="AU909" s="109">
        <f>COUNTIFS($E909,"SS",$AS909,"Y")</f>
        <v>0</v>
      </c>
      <c r="AV909" s="111">
        <f>COUNTIFS($E909,"RPX",$AS909,"Y")</f>
        <v>0</v>
      </c>
      <c r="AW909" s="111">
        <f>COUNTIFS($E909,"EUC",$AS909,"Y")</f>
        <v>0</v>
      </c>
      <c r="AX909" s="109">
        <f>COUNTIFS($E909,"RPX-T",$AS909,"Y")</f>
        <v>0</v>
      </c>
      <c r="BA909" s="227"/>
    </row>
    <row r="910" spans="1:53" ht="15.6" thickTop="1" thickBot="1" x14ac:dyDescent="0.35">
      <c r="A910" s="88"/>
      <c r="B910" s="36" t="s">
        <v>242</v>
      </c>
      <c r="C910" s="37">
        <v>0</v>
      </c>
      <c r="D910" s="38" t="s">
        <v>243</v>
      </c>
      <c r="E910" s="32"/>
      <c r="F910" s="88"/>
      <c r="G910" s="291" t="s">
        <v>244</v>
      </c>
      <c r="H910" s="292"/>
      <c r="I910" s="35">
        <f>IF(E910=0,0,12-(MOD(I908,12)))</f>
        <v>0</v>
      </c>
      <c r="J910" s="289" t="s">
        <v>245</v>
      </c>
      <c r="K910" s="290"/>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246</v>
      </c>
      <c r="AU910" s="109">
        <f>COUNTIFS($E909,"SS",$AS910,"Y")</f>
        <v>0</v>
      </c>
      <c r="AV910" s="108">
        <f>COUNTIFS($E909,"RPX",$AS910,"Y")</f>
        <v>0</v>
      </c>
      <c r="AW910" s="108">
        <f>COUNTIFS($E909,"EUC",$AS910,"Y")</f>
        <v>0</v>
      </c>
      <c r="AX910" s="109">
        <f>COUNTIFS($E909,"RPX-T",$AS910,"Y")</f>
        <v>0</v>
      </c>
      <c r="BA910" s="227"/>
    </row>
    <row r="911" spans="1:53" ht="16.5" customHeight="1" thickTop="1" thickBot="1" x14ac:dyDescent="0.35">
      <c r="A911" s="88"/>
      <c r="B911" s="40" t="s">
        <v>247</v>
      </c>
      <c r="C911" s="30">
        <v>0</v>
      </c>
      <c r="D911" s="41" t="s">
        <v>248</v>
      </c>
      <c r="E911" s="42"/>
      <c r="F911" s="88"/>
      <c r="G911" s="321" t="s">
        <v>249</v>
      </c>
      <c r="H911" s="43" t="s">
        <v>250</v>
      </c>
      <c r="I911" s="35">
        <f>IF(E911&lt;&gt;0,1,0)</f>
        <v>0</v>
      </c>
      <c r="J911" s="291" t="s">
        <v>251</v>
      </c>
      <c r="K911" s="292"/>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252</v>
      </c>
      <c r="AU911" s="109">
        <f>COUNTIFS($E909,"SS",$AS911,"Y")</f>
        <v>0</v>
      </c>
      <c r="AV911" s="108">
        <f>COUNTIFS($E909,"RPX",$AS911,"Y")</f>
        <v>0</v>
      </c>
      <c r="AW911" s="108">
        <f>COUNTIFS($E909,"EUC",$AS911,"Y")</f>
        <v>0</v>
      </c>
      <c r="AX911" s="109">
        <f>COUNTIFS($E909,"RPX-T",$AS911,"Y")</f>
        <v>0</v>
      </c>
      <c r="BA911" s="227"/>
    </row>
    <row r="912" spans="1:53" ht="15.6" thickTop="1" thickBot="1" x14ac:dyDescent="0.35">
      <c r="A912" s="88"/>
      <c r="B912" s="29" t="s">
        <v>253</v>
      </c>
      <c r="C912" s="37">
        <v>0</v>
      </c>
      <c r="D912" s="41" t="s">
        <v>254</v>
      </c>
      <c r="E912" s="42"/>
      <c r="F912" s="88"/>
      <c r="G912" s="322"/>
      <c r="H912" s="47" t="s">
        <v>255</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5">
      <c r="A913" s="88"/>
      <c r="B913" s="36" t="s">
        <v>256</v>
      </c>
      <c r="C913" s="30">
        <v>0</v>
      </c>
      <c r="D913" s="49" t="s">
        <v>257</v>
      </c>
      <c r="E913" s="50">
        <f>E910/12</f>
        <v>0</v>
      </c>
      <c r="F913" s="88"/>
      <c r="G913" s="321" t="s">
        <v>258</v>
      </c>
      <c r="H913" s="51" t="s">
        <v>259</v>
      </c>
      <c r="I913" s="112">
        <f>E912</f>
        <v>0</v>
      </c>
      <c r="J913" s="323" t="s">
        <v>260</v>
      </c>
      <c r="K913" s="324"/>
      <c r="L913" s="325"/>
      <c r="M913" s="52" t="s">
        <v>261</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5.6" thickTop="1" thickBot="1" x14ac:dyDescent="0.35">
      <c r="A914" s="88"/>
      <c r="B914" s="36" t="s">
        <v>262</v>
      </c>
      <c r="C914" s="30">
        <v>0</v>
      </c>
      <c r="D914" s="31" t="s">
        <v>263</v>
      </c>
      <c r="E914" s="101" t="str">
        <f>IF('Cable Calculator'!DJ5="","",'Cable Calculator'!DJ5)</f>
        <v/>
      </c>
      <c r="F914" s="88"/>
      <c r="G914" s="322"/>
      <c r="H914" s="47" t="s">
        <v>264</v>
      </c>
      <c r="I914" s="35" t="str">
        <f>IF(E912="","0",IF(AND(E909="EUC",E910=432), I913+(203-E911),IF(E912=0,0,(E912+(E910-E911)-1))))</f>
        <v>0</v>
      </c>
      <c r="J914" s="286" t="str">
        <f>IFERROR(IF(OR(E909="EUC",E909="SS"),"---",IF(OR(P908,S908),"NO 2F Tethers for RPX!",IF(OR(P910,S910),"NO 6F Tethers for RPX!","---"))),"---")</f>
        <v>---</v>
      </c>
      <c r="K914" s="287"/>
      <c r="L914" s="288"/>
      <c r="M914" s="286" t="str">
        <f>IF(E911&gt;60,"Dead Count &gt;60: Consider Downsize","---")</f>
        <v>---</v>
      </c>
      <c r="N914" s="287"/>
      <c r="O914" s="287"/>
      <c r="P914" s="287"/>
      <c r="Q914" s="287"/>
      <c r="R914" s="287"/>
      <c r="S914" s="287"/>
      <c r="T914" s="287"/>
      <c r="U914" s="288"/>
      <c r="V914" s="100"/>
      <c r="W914" s="54">
        <f>SUM(P914:U914)</f>
        <v>0</v>
      </c>
      <c r="X914" s="54"/>
      <c r="Y914" s="25"/>
      <c r="Z914" s="45">
        <v>4</v>
      </c>
      <c r="AA914" s="46">
        <v>37</v>
      </c>
      <c r="AB914" s="46">
        <v>48</v>
      </c>
      <c r="AC914" s="25"/>
      <c r="AD914" s="25"/>
      <c r="BA914" s="227"/>
    </row>
    <row r="915" spans="1:53" ht="15.6" thickTop="1" thickBot="1" x14ac:dyDescent="0.35">
      <c r="A915" s="88"/>
      <c r="B915" s="55" t="s">
        <v>265</v>
      </c>
      <c r="C915" s="56">
        <f>SUM(C909:C914)+I908</f>
        <v>0</v>
      </c>
      <c r="D915" s="31" t="s">
        <v>266</v>
      </c>
      <c r="E915" s="101" t="str">
        <f>IF(AS909="Y","DBL",IF(AS910="Y","TRPL",IF(AS911="Y","QUAD","")))</f>
        <v/>
      </c>
      <c r="F915" s="88"/>
      <c r="G915" s="192"/>
      <c r="H915" s="57"/>
      <c r="I915" s="192"/>
      <c r="J915" s="286"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7"/>
      <c r="L915" s="288"/>
      <c r="M915" s="286" t="str">
        <f>IF(AND(OR(E909="SS",E909="RPX",E909="EUC",E909="RPX-T"),(OR(C919="",C919="Field SPL"))),"Cannot have FlexNap cables without tethers","---")</f>
        <v>---</v>
      </c>
      <c r="N915" s="287"/>
      <c r="O915" s="287"/>
      <c r="P915" s="287"/>
      <c r="Q915" s="287"/>
      <c r="R915" s="287"/>
      <c r="S915" s="287"/>
      <c r="T915" s="287"/>
      <c r="U915" s="288"/>
      <c r="V915" s="25"/>
      <c r="W915" s="58"/>
      <c r="X915" s="58"/>
      <c r="Y915" s="25"/>
      <c r="Z915" s="45">
        <v>5</v>
      </c>
      <c r="AA915" s="46">
        <v>49</v>
      </c>
      <c r="AB915" s="46">
        <v>60</v>
      </c>
      <c r="AC915" s="25"/>
      <c r="AD915" s="25"/>
      <c r="BA915" s="227"/>
    </row>
    <row r="916" spans="1:53" ht="15.6" thickTop="1" thickBot="1" x14ac:dyDescent="0.35">
      <c r="A916" s="88"/>
      <c r="B916" s="59"/>
      <c r="C916" s="60"/>
      <c r="D916" s="61"/>
      <c r="E916" s="62"/>
      <c r="F916" s="88"/>
      <c r="G916" s="63"/>
      <c r="H916" s="64"/>
      <c r="I916" s="63"/>
      <c r="J916" s="286" t="str">
        <f>IF(AND(OR(E909="RPX", E909="RPX-T", E909="SS"),E910=216),"NO 216 For RPX, RPX-T, OR SS CABLE","---")</f>
        <v>---</v>
      </c>
      <c r="K916" s="287"/>
      <c r="L916" s="288"/>
      <c r="M916" s="286" t="str" cm="1">
        <f t="array" ref="M916">IF(AND(E909="",OR(C919:C943="FST",C919:C943="REV T",C919:C943="DBL REV",C919:C943="TPL REV", C919:C943="QD REV")),"Non-FlexNap cables cannot have tethers","---")</f>
        <v>---</v>
      </c>
      <c r="N916" s="287"/>
      <c r="O916" s="287"/>
      <c r="P916" s="287"/>
      <c r="Q916" s="287"/>
      <c r="R916" s="287"/>
      <c r="S916" s="287"/>
      <c r="T916" s="287"/>
      <c r="U916" s="288"/>
      <c r="V916" s="25"/>
      <c r="W916" s="58"/>
      <c r="X916" s="58"/>
      <c r="Y916" s="25"/>
      <c r="Z916" s="45">
        <v>6</v>
      </c>
      <c r="AA916" s="65">
        <v>61</v>
      </c>
      <c r="AB916" s="65">
        <v>72</v>
      </c>
      <c r="AC916" s="25"/>
      <c r="AD916" s="25"/>
      <c r="BA916" s="226"/>
    </row>
    <row r="917" spans="1:53" ht="15.75" customHeight="1" thickBot="1" x14ac:dyDescent="0.35">
      <c r="A917" s="88"/>
      <c r="B917" s="321" t="s">
        <v>267</v>
      </c>
      <c r="C917" s="293" t="s">
        <v>268</v>
      </c>
      <c r="D917" s="293" t="s">
        <v>269</v>
      </c>
      <c r="E917" s="306" t="s">
        <v>270</v>
      </c>
      <c r="F917" s="293" t="s">
        <v>271</v>
      </c>
      <c r="G917" s="308" t="s">
        <v>272</v>
      </c>
      <c r="H917" s="308" t="s">
        <v>273</v>
      </c>
      <c r="I917" s="308" t="s">
        <v>274</v>
      </c>
      <c r="J917" s="310" t="s">
        <v>275</v>
      </c>
      <c r="K917" s="293" t="s">
        <v>276</v>
      </c>
      <c r="L917" s="280" t="s">
        <v>277</v>
      </c>
      <c r="M917" s="282" t="s">
        <v>278</v>
      </c>
      <c r="N917" s="282"/>
      <c r="O917" s="282"/>
      <c r="P917" s="282"/>
      <c r="Q917" s="282"/>
      <c r="R917" s="282"/>
      <c r="S917" s="282"/>
      <c r="T917" s="282"/>
      <c r="U917" s="283"/>
      <c r="V917" s="107"/>
      <c r="W917" s="72"/>
      <c r="X917" s="72"/>
      <c r="Y917" s="72"/>
      <c r="Z917" s="45">
        <v>7</v>
      </c>
      <c r="AA917" s="65">
        <v>73</v>
      </c>
      <c r="AB917" s="65">
        <v>84</v>
      </c>
      <c r="AC917" s="25"/>
      <c r="AD917" s="25"/>
      <c r="BA917" s="228"/>
    </row>
    <row r="918" spans="1:53" ht="15" thickBot="1" x14ac:dyDescent="0.35">
      <c r="A918" s="88"/>
      <c r="B918" s="322"/>
      <c r="C918" s="294"/>
      <c r="D918" s="294"/>
      <c r="E918" s="307"/>
      <c r="F918" s="294"/>
      <c r="G918" s="309"/>
      <c r="H918" s="309"/>
      <c r="I918" s="309"/>
      <c r="J918" s="311"/>
      <c r="K918" s="294"/>
      <c r="L918" s="281"/>
      <c r="M918" s="284"/>
      <c r="N918" s="284"/>
      <c r="O918" s="284"/>
      <c r="P918" s="284"/>
      <c r="Q918" s="284"/>
      <c r="R918" s="284"/>
      <c r="S918" s="284"/>
      <c r="T918" s="284"/>
      <c r="U918" s="285"/>
      <c r="V918" s="107"/>
      <c r="W918" s="72"/>
      <c r="X918" s="72"/>
      <c r="Y918" s="72"/>
      <c r="Z918" s="45">
        <v>8</v>
      </c>
      <c r="AA918" s="46">
        <v>85</v>
      </c>
      <c r="AB918" s="46">
        <v>96</v>
      </c>
      <c r="AC918" s="25"/>
      <c r="AD918" s="25"/>
      <c r="AI918" s="109" t="s">
        <v>279</v>
      </c>
      <c r="AJ918" s="109" t="s">
        <v>280</v>
      </c>
      <c r="AK918" s="109" t="s">
        <v>281</v>
      </c>
      <c r="AL918" s="109" t="s">
        <v>282</v>
      </c>
      <c r="BA918" s="228"/>
    </row>
    <row r="919" spans="1:53" ht="15" thickBot="1" x14ac:dyDescent="0.35">
      <c r="A919" s="88"/>
      <c r="B919" s="66" t="s">
        <v>283</v>
      </c>
      <c r="C919" s="67"/>
      <c r="D919" s="102"/>
      <c r="E919" s="32"/>
      <c r="F919" s="32"/>
      <c r="G919" s="68" t="s">
        <v>285</v>
      </c>
      <c r="H919" s="69">
        <f>IF(I919=0,0,I919-(E919-1))</f>
        <v>0</v>
      </c>
      <c r="I919" s="70">
        <f>IF(E919=0,0,I914)</f>
        <v>0</v>
      </c>
      <c r="J919" s="71" t="s">
        <v>286</v>
      </c>
      <c r="K919" s="32"/>
      <c r="L919" s="233"/>
      <c r="M919" s="278"/>
      <c r="N919" s="278"/>
      <c r="O919" s="278"/>
      <c r="P919" s="278"/>
      <c r="Q919" s="278"/>
      <c r="R919" s="278"/>
      <c r="S919" s="278"/>
      <c r="T919" s="278"/>
      <c r="U919" s="27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 thickBot="1" x14ac:dyDescent="0.35">
      <c r="A920" s="88"/>
      <c r="B920" s="66" t="s">
        <v>288</v>
      </c>
      <c r="C920" s="67"/>
      <c r="D920" s="102"/>
      <c r="E920" s="32"/>
      <c r="F920" s="32"/>
      <c r="G920" s="68" t="s">
        <v>285</v>
      </c>
      <c r="H920" s="69">
        <f t="shared" ref="H920:H943" si="383">IF(E920=0,0,I920-(E920-1))</f>
        <v>0</v>
      </c>
      <c r="I920" s="70">
        <f t="shared" ref="I920:I943" si="384">IF(E920=0,0,H919-1)</f>
        <v>0</v>
      </c>
      <c r="J920" s="73" t="str">
        <f>IF(C920="","--",IF(AND(C920&lt;&gt;"FST",C920&lt;&gt;"TCF",BA919&lt;&gt;0),BA919,"--"))</f>
        <v>--</v>
      </c>
      <c r="K920" s="32"/>
      <c r="L920" s="233"/>
      <c r="M920" s="278"/>
      <c r="N920" s="278"/>
      <c r="O920" s="278"/>
      <c r="P920" s="278"/>
      <c r="Q920" s="278"/>
      <c r="R920" s="278"/>
      <c r="S920" s="278"/>
      <c r="T920" s="278"/>
      <c r="U920" s="279"/>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 thickBot="1" x14ac:dyDescent="0.35">
      <c r="A921" s="88"/>
      <c r="B921" s="74" t="s">
        <v>290</v>
      </c>
      <c r="C921" s="67"/>
      <c r="D921" s="102"/>
      <c r="E921" s="32"/>
      <c r="F921" s="32"/>
      <c r="G921" s="75" t="s">
        <v>285</v>
      </c>
      <c r="H921" s="69">
        <f t="shared" si="383"/>
        <v>0</v>
      </c>
      <c r="I921" s="70">
        <f t="shared" si="384"/>
        <v>0</v>
      </c>
      <c r="J921" s="73" t="str">
        <f t="shared" ref="J921:J943" si="385">IF(C921="","--",IF(AND(C921&lt;&gt;"FST",C921&lt;&gt;"TCF",BA920&lt;&gt;0),BA920,"--"))</f>
        <v>--</v>
      </c>
      <c r="K921" s="32"/>
      <c r="L921" s="233"/>
      <c r="M921" s="278"/>
      <c r="N921" s="278"/>
      <c r="O921" s="278"/>
      <c r="P921" s="278"/>
      <c r="Q921" s="278"/>
      <c r="R921" s="278"/>
      <c r="S921" s="278"/>
      <c r="T921" s="278"/>
      <c r="U921" s="27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 thickBot="1" x14ac:dyDescent="0.35">
      <c r="A922" s="88"/>
      <c r="B922" s="66" t="s">
        <v>292</v>
      </c>
      <c r="C922" s="67"/>
      <c r="D922" s="102"/>
      <c r="E922" s="32"/>
      <c r="F922" s="32"/>
      <c r="G922" s="68" t="s">
        <v>285</v>
      </c>
      <c r="H922" s="69">
        <f t="shared" si="383"/>
        <v>0</v>
      </c>
      <c r="I922" s="70">
        <f t="shared" si="384"/>
        <v>0</v>
      </c>
      <c r="J922" s="73" t="str">
        <f t="shared" si="385"/>
        <v>--</v>
      </c>
      <c r="K922" s="32"/>
      <c r="L922" s="233"/>
      <c r="M922" s="278"/>
      <c r="N922" s="278"/>
      <c r="O922" s="278"/>
      <c r="P922" s="278"/>
      <c r="Q922" s="278"/>
      <c r="R922" s="278"/>
      <c r="S922" s="278"/>
      <c r="T922" s="278"/>
      <c r="U922" s="27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 thickBot="1" x14ac:dyDescent="0.35">
      <c r="A923" s="88"/>
      <c r="B923" s="66" t="s">
        <v>293</v>
      </c>
      <c r="C923" s="67"/>
      <c r="D923" s="102"/>
      <c r="E923" s="32"/>
      <c r="F923" s="32"/>
      <c r="G923" s="68" t="s">
        <v>285</v>
      </c>
      <c r="H923" s="69">
        <f t="shared" si="383"/>
        <v>0</v>
      </c>
      <c r="I923" s="70">
        <f t="shared" si="384"/>
        <v>0</v>
      </c>
      <c r="J923" s="73" t="str">
        <f t="shared" si="385"/>
        <v>--</v>
      </c>
      <c r="K923" s="32"/>
      <c r="L923" s="233"/>
      <c r="M923" s="278"/>
      <c r="N923" s="278"/>
      <c r="O923" s="278"/>
      <c r="P923" s="278"/>
      <c r="Q923" s="278"/>
      <c r="R923" s="278"/>
      <c r="S923" s="278"/>
      <c r="T923" s="278"/>
      <c r="U923" s="27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 thickBot="1" x14ac:dyDescent="0.35">
      <c r="A924" s="88"/>
      <c r="B924" s="66" t="s">
        <v>294</v>
      </c>
      <c r="C924" s="67"/>
      <c r="D924" s="102"/>
      <c r="E924" s="32"/>
      <c r="F924" s="32"/>
      <c r="G924" s="68" t="s">
        <v>285</v>
      </c>
      <c r="H924" s="69">
        <f t="shared" si="383"/>
        <v>0</v>
      </c>
      <c r="I924" s="70">
        <f t="shared" si="384"/>
        <v>0</v>
      </c>
      <c r="J924" s="73" t="str">
        <f t="shared" si="385"/>
        <v>--</v>
      </c>
      <c r="K924" s="32"/>
      <c r="L924" s="233"/>
      <c r="M924" s="278"/>
      <c r="N924" s="278"/>
      <c r="O924" s="278"/>
      <c r="P924" s="278"/>
      <c r="Q924" s="278"/>
      <c r="R924" s="278"/>
      <c r="S924" s="278"/>
      <c r="T924" s="278"/>
      <c r="U924" s="27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 thickBot="1" x14ac:dyDescent="0.35">
      <c r="A925" s="88"/>
      <c r="B925" s="66" t="s">
        <v>295</v>
      </c>
      <c r="C925" s="67"/>
      <c r="D925" s="102"/>
      <c r="E925" s="32"/>
      <c r="F925" s="32"/>
      <c r="G925" s="68" t="s">
        <v>285</v>
      </c>
      <c r="H925" s="69">
        <f t="shared" si="383"/>
        <v>0</v>
      </c>
      <c r="I925" s="70">
        <f t="shared" si="384"/>
        <v>0</v>
      </c>
      <c r="J925" s="73" t="str">
        <f t="shared" si="385"/>
        <v>--</v>
      </c>
      <c r="K925" s="32"/>
      <c r="L925" s="233"/>
      <c r="M925" s="278"/>
      <c r="N925" s="278"/>
      <c r="O925" s="278"/>
      <c r="P925" s="278"/>
      <c r="Q925" s="278"/>
      <c r="R925" s="278"/>
      <c r="S925" s="278"/>
      <c r="T925" s="278"/>
      <c r="U925" s="27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 thickBot="1" x14ac:dyDescent="0.35">
      <c r="A926" s="88"/>
      <c r="B926" s="66" t="s">
        <v>296</v>
      </c>
      <c r="C926" s="67"/>
      <c r="D926" s="102"/>
      <c r="E926" s="32"/>
      <c r="F926" s="32"/>
      <c r="G926" s="68" t="s">
        <v>285</v>
      </c>
      <c r="H926" s="69">
        <f t="shared" si="383"/>
        <v>0</v>
      </c>
      <c r="I926" s="70">
        <f t="shared" si="384"/>
        <v>0</v>
      </c>
      <c r="J926" s="73" t="str">
        <f t="shared" si="385"/>
        <v>--</v>
      </c>
      <c r="K926" s="32"/>
      <c r="L926" s="233"/>
      <c r="M926" s="278"/>
      <c r="N926" s="278"/>
      <c r="O926" s="278"/>
      <c r="P926" s="278"/>
      <c r="Q926" s="278"/>
      <c r="R926" s="278"/>
      <c r="S926" s="278"/>
      <c r="T926" s="278"/>
      <c r="U926" s="27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 thickBot="1" x14ac:dyDescent="0.35">
      <c r="A927" s="88"/>
      <c r="B927" s="66" t="s">
        <v>297</v>
      </c>
      <c r="C927" s="67"/>
      <c r="D927" s="102"/>
      <c r="E927" s="32"/>
      <c r="F927" s="32"/>
      <c r="G927" s="68" t="s">
        <v>285</v>
      </c>
      <c r="H927" s="69">
        <f t="shared" si="383"/>
        <v>0</v>
      </c>
      <c r="I927" s="70">
        <f t="shared" si="384"/>
        <v>0</v>
      </c>
      <c r="J927" s="73" t="str">
        <f t="shared" si="385"/>
        <v>--</v>
      </c>
      <c r="K927" s="32"/>
      <c r="L927" s="233"/>
      <c r="M927" s="278"/>
      <c r="N927" s="278"/>
      <c r="O927" s="278"/>
      <c r="P927" s="278"/>
      <c r="Q927" s="278"/>
      <c r="R927" s="278"/>
      <c r="S927" s="278"/>
      <c r="T927" s="278"/>
      <c r="U927" s="27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 thickBot="1" x14ac:dyDescent="0.35">
      <c r="A928" s="88"/>
      <c r="B928" s="66" t="s">
        <v>298</v>
      </c>
      <c r="C928" s="67"/>
      <c r="D928" s="102"/>
      <c r="E928" s="32"/>
      <c r="F928" s="32"/>
      <c r="G928" s="68" t="s">
        <v>285</v>
      </c>
      <c r="H928" s="69">
        <f t="shared" si="383"/>
        <v>0</v>
      </c>
      <c r="I928" s="70">
        <f t="shared" si="384"/>
        <v>0</v>
      </c>
      <c r="J928" s="73" t="str">
        <f t="shared" si="385"/>
        <v>--</v>
      </c>
      <c r="K928" s="32"/>
      <c r="L928" s="233"/>
      <c r="M928" s="278"/>
      <c r="N928" s="278"/>
      <c r="O928" s="278"/>
      <c r="P928" s="278"/>
      <c r="Q928" s="278"/>
      <c r="R928" s="278"/>
      <c r="S928" s="278"/>
      <c r="T928" s="278"/>
      <c r="U928" s="27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 thickBot="1" x14ac:dyDescent="0.35">
      <c r="A929" s="88"/>
      <c r="B929" s="66" t="s">
        <v>299</v>
      </c>
      <c r="C929" s="67"/>
      <c r="D929" s="102"/>
      <c r="E929" s="32"/>
      <c r="F929" s="32"/>
      <c r="G929" s="68" t="s">
        <v>285</v>
      </c>
      <c r="H929" s="69">
        <f t="shared" si="383"/>
        <v>0</v>
      </c>
      <c r="I929" s="70">
        <f t="shared" si="384"/>
        <v>0</v>
      </c>
      <c r="J929" s="73" t="str">
        <f t="shared" si="385"/>
        <v>--</v>
      </c>
      <c r="K929" s="32"/>
      <c r="L929" s="233"/>
      <c r="M929" s="278"/>
      <c r="N929" s="278"/>
      <c r="O929" s="278"/>
      <c r="P929" s="278"/>
      <c r="Q929" s="278"/>
      <c r="R929" s="278"/>
      <c r="S929" s="278"/>
      <c r="T929" s="278"/>
      <c r="U929" s="27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 thickBot="1" x14ac:dyDescent="0.35">
      <c r="A930" s="88"/>
      <c r="B930" s="66" t="s">
        <v>300</v>
      </c>
      <c r="C930" s="67"/>
      <c r="D930" s="102"/>
      <c r="E930" s="32"/>
      <c r="F930" s="32"/>
      <c r="G930" s="68" t="s">
        <v>285</v>
      </c>
      <c r="H930" s="69">
        <f t="shared" si="383"/>
        <v>0</v>
      </c>
      <c r="I930" s="70">
        <f t="shared" si="384"/>
        <v>0</v>
      </c>
      <c r="J930" s="73" t="str">
        <f t="shared" si="385"/>
        <v>--</v>
      </c>
      <c r="K930" s="32"/>
      <c r="L930" s="233"/>
      <c r="M930" s="278"/>
      <c r="N930" s="278"/>
      <c r="O930" s="278"/>
      <c r="P930" s="278"/>
      <c r="Q930" s="278"/>
      <c r="R930" s="278"/>
      <c r="S930" s="278"/>
      <c r="T930" s="278"/>
      <c r="U930" s="279"/>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 thickBot="1" x14ac:dyDescent="0.35">
      <c r="A931" s="88"/>
      <c r="B931" s="66" t="s">
        <v>301</v>
      </c>
      <c r="C931" s="67"/>
      <c r="D931" s="102"/>
      <c r="E931" s="32"/>
      <c r="F931" s="32"/>
      <c r="G931" s="68" t="s">
        <v>285</v>
      </c>
      <c r="H931" s="69">
        <f t="shared" si="383"/>
        <v>0</v>
      </c>
      <c r="I931" s="70">
        <f t="shared" si="384"/>
        <v>0</v>
      </c>
      <c r="J931" s="73" t="str">
        <f t="shared" si="385"/>
        <v>--</v>
      </c>
      <c r="K931" s="32"/>
      <c r="L931" s="233"/>
      <c r="M931" s="278"/>
      <c r="N931" s="278"/>
      <c r="O931" s="278"/>
      <c r="P931" s="278"/>
      <c r="Q931" s="278"/>
      <c r="R931" s="278"/>
      <c r="S931" s="278"/>
      <c r="T931" s="278"/>
      <c r="U931" s="279"/>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 thickBot="1" x14ac:dyDescent="0.35">
      <c r="A932" s="88"/>
      <c r="B932" s="66" t="s">
        <v>302</v>
      </c>
      <c r="C932" s="67"/>
      <c r="D932" s="102"/>
      <c r="E932" s="32"/>
      <c r="F932" s="32"/>
      <c r="G932" s="68" t="s">
        <v>285</v>
      </c>
      <c r="H932" s="69">
        <f t="shared" si="383"/>
        <v>0</v>
      </c>
      <c r="I932" s="70">
        <f t="shared" si="384"/>
        <v>0</v>
      </c>
      <c r="J932" s="73" t="str">
        <f t="shared" si="385"/>
        <v>--</v>
      </c>
      <c r="K932" s="32"/>
      <c r="L932" s="233"/>
      <c r="M932" s="278"/>
      <c r="N932" s="278"/>
      <c r="O932" s="278"/>
      <c r="P932" s="278"/>
      <c r="Q932" s="278"/>
      <c r="R932" s="278"/>
      <c r="S932" s="278"/>
      <c r="T932" s="278"/>
      <c r="U932" s="279"/>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 thickBot="1" x14ac:dyDescent="0.35">
      <c r="A933" s="88"/>
      <c r="B933" s="66" t="s">
        <v>303</v>
      </c>
      <c r="C933" s="67"/>
      <c r="D933" s="102"/>
      <c r="E933" s="32"/>
      <c r="F933" s="32"/>
      <c r="G933" s="68" t="s">
        <v>285</v>
      </c>
      <c r="H933" s="69">
        <f t="shared" si="383"/>
        <v>0</v>
      </c>
      <c r="I933" s="70">
        <f t="shared" si="384"/>
        <v>0</v>
      </c>
      <c r="J933" s="73" t="str">
        <f t="shared" si="385"/>
        <v>--</v>
      </c>
      <c r="K933" s="32"/>
      <c r="L933" s="233"/>
      <c r="M933" s="278"/>
      <c r="N933" s="278"/>
      <c r="O933" s="278"/>
      <c r="P933" s="278"/>
      <c r="Q933" s="278"/>
      <c r="R933" s="278"/>
      <c r="S933" s="278"/>
      <c r="T933" s="278"/>
      <c r="U933" s="279"/>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 thickBot="1" x14ac:dyDescent="0.35">
      <c r="A934" s="88"/>
      <c r="B934" s="66" t="s">
        <v>304</v>
      </c>
      <c r="C934" s="67"/>
      <c r="D934" s="102"/>
      <c r="E934" s="32"/>
      <c r="F934" s="32"/>
      <c r="G934" s="68" t="s">
        <v>285</v>
      </c>
      <c r="H934" s="69">
        <f t="shared" si="383"/>
        <v>0</v>
      </c>
      <c r="I934" s="70">
        <f t="shared" si="384"/>
        <v>0</v>
      </c>
      <c r="J934" s="73" t="str">
        <f t="shared" si="385"/>
        <v>--</v>
      </c>
      <c r="K934" s="32"/>
      <c r="L934" s="233"/>
      <c r="M934" s="278"/>
      <c r="N934" s="278"/>
      <c r="O934" s="278"/>
      <c r="P934" s="278"/>
      <c r="Q934" s="278"/>
      <c r="R934" s="278"/>
      <c r="S934" s="278"/>
      <c r="T934" s="278"/>
      <c r="U934" s="279"/>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 thickBot="1" x14ac:dyDescent="0.35">
      <c r="A935" s="88"/>
      <c r="B935" s="66" t="s">
        <v>305</v>
      </c>
      <c r="C935" s="67"/>
      <c r="D935" s="102"/>
      <c r="E935" s="32"/>
      <c r="F935" s="32"/>
      <c r="G935" s="68" t="s">
        <v>285</v>
      </c>
      <c r="H935" s="69">
        <f t="shared" si="383"/>
        <v>0</v>
      </c>
      <c r="I935" s="70">
        <f t="shared" si="384"/>
        <v>0</v>
      </c>
      <c r="J935" s="73" t="str">
        <f t="shared" si="385"/>
        <v>--</v>
      </c>
      <c r="K935" s="32"/>
      <c r="L935" s="233"/>
      <c r="M935" s="278"/>
      <c r="N935" s="278"/>
      <c r="O935" s="278"/>
      <c r="P935" s="278"/>
      <c r="Q935" s="278"/>
      <c r="R935" s="278"/>
      <c r="S935" s="278"/>
      <c r="T935" s="278"/>
      <c r="U935" s="279"/>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 thickBot="1" x14ac:dyDescent="0.35">
      <c r="A936" s="88"/>
      <c r="B936" s="66" t="s">
        <v>306</v>
      </c>
      <c r="C936" s="67"/>
      <c r="D936" s="102"/>
      <c r="E936" s="32"/>
      <c r="F936" s="32"/>
      <c r="G936" s="68" t="s">
        <v>285</v>
      </c>
      <c r="H936" s="69">
        <f t="shared" si="383"/>
        <v>0</v>
      </c>
      <c r="I936" s="70">
        <f t="shared" si="384"/>
        <v>0</v>
      </c>
      <c r="J936" s="73" t="str">
        <f t="shared" si="385"/>
        <v>--</v>
      </c>
      <c r="K936" s="32"/>
      <c r="L936" s="233"/>
      <c r="M936" s="278"/>
      <c r="N936" s="278"/>
      <c r="O936" s="278"/>
      <c r="P936" s="278"/>
      <c r="Q936" s="278"/>
      <c r="R936" s="278"/>
      <c r="S936" s="278"/>
      <c r="T936" s="278"/>
      <c r="U936" s="279"/>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 thickBot="1" x14ac:dyDescent="0.35">
      <c r="A937" s="88"/>
      <c r="B937" s="66" t="s">
        <v>307</v>
      </c>
      <c r="C937" s="67"/>
      <c r="D937" s="102"/>
      <c r="E937" s="32"/>
      <c r="F937" s="32"/>
      <c r="G937" s="68" t="s">
        <v>285</v>
      </c>
      <c r="H937" s="69">
        <f t="shared" si="383"/>
        <v>0</v>
      </c>
      <c r="I937" s="70">
        <f t="shared" si="384"/>
        <v>0</v>
      </c>
      <c r="J937" s="73" t="str">
        <f t="shared" si="385"/>
        <v>--</v>
      </c>
      <c r="K937" s="32"/>
      <c r="L937" s="233"/>
      <c r="M937" s="278"/>
      <c r="N937" s="278"/>
      <c r="O937" s="278"/>
      <c r="P937" s="278"/>
      <c r="Q937" s="278"/>
      <c r="R937" s="278"/>
      <c r="S937" s="278"/>
      <c r="T937" s="278"/>
      <c r="U937" s="279"/>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 thickBot="1" x14ac:dyDescent="0.35">
      <c r="A938" s="88"/>
      <c r="B938" s="66" t="s">
        <v>308</v>
      </c>
      <c r="C938" s="67"/>
      <c r="D938" s="102"/>
      <c r="E938" s="32"/>
      <c r="F938" s="32"/>
      <c r="G938" s="68" t="s">
        <v>285</v>
      </c>
      <c r="H938" s="69">
        <f t="shared" si="383"/>
        <v>0</v>
      </c>
      <c r="I938" s="70">
        <f t="shared" si="384"/>
        <v>0</v>
      </c>
      <c r="J938" s="73" t="str">
        <f t="shared" si="385"/>
        <v>--</v>
      </c>
      <c r="K938" s="32"/>
      <c r="L938" s="233"/>
      <c r="M938" s="278"/>
      <c r="N938" s="278"/>
      <c r="O938" s="278"/>
      <c r="P938" s="278"/>
      <c r="Q938" s="278"/>
      <c r="R938" s="278"/>
      <c r="S938" s="278"/>
      <c r="T938" s="278"/>
      <c r="U938" s="279"/>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 thickBot="1" x14ac:dyDescent="0.35">
      <c r="A939" s="88"/>
      <c r="B939" s="66" t="s">
        <v>309</v>
      </c>
      <c r="C939" s="67"/>
      <c r="D939" s="102"/>
      <c r="E939" s="32"/>
      <c r="F939" s="32"/>
      <c r="G939" s="68" t="s">
        <v>285</v>
      </c>
      <c r="H939" s="69">
        <f t="shared" si="383"/>
        <v>0</v>
      </c>
      <c r="I939" s="70">
        <f t="shared" si="384"/>
        <v>0</v>
      </c>
      <c r="J939" s="73" t="str">
        <f t="shared" si="385"/>
        <v>--</v>
      </c>
      <c r="K939" s="32"/>
      <c r="L939" s="233"/>
      <c r="M939" s="278"/>
      <c r="N939" s="278"/>
      <c r="O939" s="278"/>
      <c r="P939" s="278"/>
      <c r="Q939" s="278"/>
      <c r="R939" s="278"/>
      <c r="S939" s="278"/>
      <c r="T939" s="278"/>
      <c r="U939" s="279"/>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 thickBot="1" x14ac:dyDescent="0.35">
      <c r="A940" s="88"/>
      <c r="B940" s="66" t="s">
        <v>310</v>
      </c>
      <c r="C940" s="67"/>
      <c r="D940" s="102"/>
      <c r="E940" s="32"/>
      <c r="F940" s="32"/>
      <c r="G940" s="68" t="s">
        <v>285</v>
      </c>
      <c r="H940" s="69">
        <f t="shared" si="383"/>
        <v>0</v>
      </c>
      <c r="I940" s="70">
        <f t="shared" si="384"/>
        <v>0</v>
      </c>
      <c r="J940" s="73" t="str">
        <f t="shared" si="385"/>
        <v>--</v>
      </c>
      <c r="K940" s="32"/>
      <c r="L940" s="233"/>
      <c r="M940" s="278"/>
      <c r="N940" s="278"/>
      <c r="O940" s="278"/>
      <c r="P940" s="278"/>
      <c r="Q940" s="278"/>
      <c r="R940" s="278"/>
      <c r="S940" s="278"/>
      <c r="T940" s="278"/>
      <c r="U940" s="279"/>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 thickBot="1" x14ac:dyDescent="0.35">
      <c r="A941" s="88"/>
      <c r="B941" s="66" t="s">
        <v>311</v>
      </c>
      <c r="C941" s="67"/>
      <c r="D941" s="102"/>
      <c r="E941" s="32"/>
      <c r="F941" s="32"/>
      <c r="G941" s="68" t="s">
        <v>285</v>
      </c>
      <c r="H941" s="69">
        <f t="shared" si="383"/>
        <v>0</v>
      </c>
      <c r="I941" s="70">
        <f t="shared" si="384"/>
        <v>0</v>
      </c>
      <c r="J941" s="73" t="str">
        <f t="shared" si="385"/>
        <v>--</v>
      </c>
      <c r="K941" s="32"/>
      <c r="L941" s="233"/>
      <c r="M941" s="278"/>
      <c r="N941" s="278"/>
      <c r="O941" s="278"/>
      <c r="P941" s="278"/>
      <c r="Q941" s="278"/>
      <c r="R941" s="278"/>
      <c r="S941" s="278"/>
      <c r="T941" s="278"/>
      <c r="U941" s="279"/>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 thickBot="1" x14ac:dyDescent="0.35">
      <c r="A942" s="88"/>
      <c r="B942" s="66" t="s">
        <v>312</v>
      </c>
      <c r="C942" s="67"/>
      <c r="D942" s="102"/>
      <c r="E942" s="32"/>
      <c r="F942" s="32"/>
      <c r="G942" s="68" t="s">
        <v>285</v>
      </c>
      <c r="H942" s="69">
        <f t="shared" si="383"/>
        <v>0</v>
      </c>
      <c r="I942" s="70">
        <f t="shared" si="384"/>
        <v>0</v>
      </c>
      <c r="J942" s="73" t="str">
        <f t="shared" si="385"/>
        <v>--</v>
      </c>
      <c r="K942" s="32"/>
      <c r="L942" s="233"/>
      <c r="M942" s="278"/>
      <c r="N942" s="278"/>
      <c r="O942" s="278"/>
      <c r="P942" s="278"/>
      <c r="Q942" s="278"/>
      <c r="R942" s="278"/>
      <c r="S942" s="278"/>
      <c r="T942" s="278"/>
      <c r="U942" s="279"/>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 thickBot="1" x14ac:dyDescent="0.35">
      <c r="A943" s="88"/>
      <c r="B943" s="66" t="s">
        <v>313</v>
      </c>
      <c r="C943" s="67"/>
      <c r="D943" s="102"/>
      <c r="E943" s="32"/>
      <c r="F943" s="32"/>
      <c r="G943" s="68" t="s">
        <v>285</v>
      </c>
      <c r="H943" s="69">
        <f t="shared" si="383"/>
        <v>0</v>
      </c>
      <c r="I943" s="70">
        <f t="shared" si="384"/>
        <v>0</v>
      </c>
      <c r="J943" s="73" t="str">
        <f t="shared" si="385"/>
        <v>--</v>
      </c>
      <c r="K943" s="32"/>
      <c r="L943" s="234"/>
      <c r="M943" s="278"/>
      <c r="N943" s="278"/>
      <c r="O943" s="278"/>
      <c r="P943" s="278"/>
      <c r="Q943" s="278"/>
      <c r="R943" s="278"/>
      <c r="S943" s="278"/>
      <c r="T943" s="278"/>
      <c r="U943" s="279"/>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2" thickBot="1" x14ac:dyDescent="0.35">
      <c r="A944" s="88"/>
      <c r="B944" s="190" t="s">
        <v>420</v>
      </c>
      <c r="C944" s="191"/>
      <c r="D944" s="79"/>
      <c r="E944" s="80"/>
      <c r="F944" s="80"/>
      <c r="G944" s="81"/>
      <c r="H944" s="192"/>
      <c r="I944" s="192"/>
      <c r="J944" s="192"/>
      <c r="K944" s="82"/>
      <c r="L944" s="190" t="s">
        <v>319</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2" thickBot="1" x14ac:dyDescent="0.35">
      <c r="A945" s="88"/>
      <c r="B945" s="190" t="s">
        <v>320</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3">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 thickBot="1" x14ac:dyDescent="0.35">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5">
      <c r="A948" s="88"/>
      <c r="B948" s="85" t="s">
        <v>421</v>
      </c>
      <c r="C948" s="25"/>
      <c r="D948" s="25"/>
      <c r="E948" s="25"/>
      <c r="F948" s="88"/>
      <c r="G948" s="25"/>
      <c r="H948" s="25"/>
      <c r="I948" s="87"/>
      <c r="J948" s="26"/>
      <c r="K948" s="25"/>
      <c r="L948" s="25"/>
      <c r="M948" s="196" t="s">
        <v>217</v>
      </c>
      <c r="N948" s="196" t="s">
        <v>218</v>
      </c>
      <c r="O948" s="196" t="s">
        <v>219</v>
      </c>
      <c r="P948" s="196" t="s">
        <v>220</v>
      </c>
      <c r="Q948" s="196" t="s">
        <v>221</v>
      </c>
      <c r="R948" s="196" t="s">
        <v>222</v>
      </c>
      <c r="S948" s="196" t="s">
        <v>223</v>
      </c>
      <c r="T948" s="196" t="s">
        <v>224</v>
      </c>
      <c r="U948" s="196" t="s">
        <v>225</v>
      </c>
      <c r="V948" s="196" t="s">
        <v>226</v>
      </c>
      <c r="W948" s="113" t="s">
        <v>227</v>
      </c>
      <c r="X948" s="196" t="s">
        <v>228</v>
      </c>
      <c r="Y948" s="25"/>
      <c r="Z948" s="25"/>
      <c r="AA948" s="25"/>
      <c r="AB948" s="25"/>
      <c r="AC948" s="25"/>
      <c r="AD948" s="25"/>
      <c r="BA948" s="226"/>
    </row>
    <row r="949" spans="1:53" ht="15.6" thickTop="1" thickBot="1" x14ac:dyDescent="0.35">
      <c r="A949" s="88"/>
      <c r="B949" s="312" t="s">
        <v>229</v>
      </c>
      <c r="C949" s="313"/>
      <c r="D949" s="314" t="s">
        <v>230</v>
      </c>
      <c r="E949" s="305"/>
      <c r="F949" s="88"/>
      <c r="G949" s="315" t="s">
        <v>231</v>
      </c>
      <c r="H949" s="316"/>
      <c r="I949" s="28">
        <f>SUM(E960:E984)</f>
        <v>0</v>
      </c>
      <c r="J949" s="317" t="s">
        <v>232</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233</v>
      </c>
      <c r="AA949" s="296"/>
      <c r="AB949" s="297"/>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234</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5">
      <c r="A950" s="88"/>
      <c r="B950" s="29" t="s">
        <v>235</v>
      </c>
      <c r="C950" s="30">
        <v>0</v>
      </c>
      <c r="D950" s="31" t="s">
        <v>236</v>
      </c>
      <c r="E950" s="66" t="str">
        <f>TEXT(IF('Cable Calculator'!DO7="","",'Cable Calculator'!DO7),)</f>
        <v/>
      </c>
      <c r="F950" s="88"/>
      <c r="G950" s="304" t="s">
        <v>237</v>
      </c>
      <c r="H950" s="305"/>
      <c r="I950" s="33">
        <f>E951-I949</f>
        <v>0</v>
      </c>
      <c r="J950" s="289" t="s">
        <v>238</v>
      </c>
      <c r="K950" s="290"/>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8" t="s">
        <v>239</v>
      </c>
      <c r="AA950" s="300" t="s">
        <v>240</v>
      </c>
      <c r="AB950" s="301"/>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241</v>
      </c>
      <c r="AU950" s="109">
        <f>COUNTIFS($E950,"SS",$AS950,"Y")</f>
        <v>0</v>
      </c>
      <c r="AV950" s="111">
        <f>COUNTIFS($E950,"RPX",$AS950,"Y")</f>
        <v>0</v>
      </c>
      <c r="AW950" s="111">
        <f>COUNTIFS($E950,"EUC",$AS950,"Y")</f>
        <v>0</v>
      </c>
      <c r="AX950" s="109">
        <f>COUNTIFS($E950,"RPX-T",$AS950,"Y")</f>
        <v>0</v>
      </c>
      <c r="BA950" s="227"/>
    </row>
    <row r="951" spans="1:53" ht="15.6" thickTop="1" thickBot="1" x14ac:dyDescent="0.35">
      <c r="A951" s="88"/>
      <c r="B951" s="36" t="s">
        <v>242</v>
      </c>
      <c r="C951" s="37">
        <v>0</v>
      </c>
      <c r="D951" s="38" t="s">
        <v>243</v>
      </c>
      <c r="E951" s="32"/>
      <c r="F951" s="88"/>
      <c r="G951" s="291" t="s">
        <v>244</v>
      </c>
      <c r="H951" s="292"/>
      <c r="I951" s="35">
        <f>IF(E951=0,0,12-(MOD(I949,12)))</f>
        <v>0</v>
      </c>
      <c r="J951" s="289" t="s">
        <v>245</v>
      </c>
      <c r="K951" s="290"/>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246</v>
      </c>
      <c r="AU951" s="109">
        <f>COUNTIFS($E950,"SS",$AS951,"Y")</f>
        <v>0</v>
      </c>
      <c r="AV951" s="108">
        <f>COUNTIFS($E950,"RPX",$AS951,"Y")</f>
        <v>0</v>
      </c>
      <c r="AW951" s="108">
        <f>COUNTIFS($E950,"EUC",$AS951,"Y")</f>
        <v>0</v>
      </c>
      <c r="AX951" s="109">
        <f>COUNTIFS($E950,"RPX-T",$AS951,"Y")</f>
        <v>0</v>
      </c>
      <c r="BA951" s="227"/>
    </row>
    <row r="952" spans="1:53" ht="16.5" customHeight="1" thickTop="1" thickBot="1" x14ac:dyDescent="0.35">
      <c r="A952" s="88"/>
      <c r="B952" s="40" t="s">
        <v>247</v>
      </c>
      <c r="C952" s="30">
        <v>0</v>
      </c>
      <c r="D952" s="41" t="s">
        <v>248</v>
      </c>
      <c r="E952" s="42"/>
      <c r="F952" s="88"/>
      <c r="G952" s="321" t="s">
        <v>249</v>
      </c>
      <c r="H952" s="43" t="s">
        <v>250</v>
      </c>
      <c r="I952" s="35">
        <f>IF(E952&lt;&gt;0,1,0)</f>
        <v>0</v>
      </c>
      <c r="J952" s="291" t="s">
        <v>251</v>
      </c>
      <c r="K952" s="292"/>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252</v>
      </c>
      <c r="AU952" s="109">
        <f>COUNTIFS($E950,"SS",$AS952,"Y")</f>
        <v>0</v>
      </c>
      <c r="AV952" s="108">
        <f>COUNTIFS($E950,"RPX",$AS952,"Y")</f>
        <v>0</v>
      </c>
      <c r="AW952" s="108">
        <f>COUNTIFS($E950,"EUC",$AS952,"Y")</f>
        <v>0</v>
      </c>
      <c r="AX952" s="109">
        <f>COUNTIFS($E950,"RPX-T",$AS952,"Y")</f>
        <v>0</v>
      </c>
      <c r="BA952" s="227"/>
    </row>
    <row r="953" spans="1:53" ht="15.6" thickTop="1" thickBot="1" x14ac:dyDescent="0.35">
      <c r="A953" s="88"/>
      <c r="B953" s="29" t="s">
        <v>253</v>
      </c>
      <c r="C953" s="37">
        <v>0</v>
      </c>
      <c r="D953" s="41" t="s">
        <v>254</v>
      </c>
      <c r="E953" s="42"/>
      <c r="F953" s="88"/>
      <c r="G953" s="322"/>
      <c r="H953" s="47" t="s">
        <v>255</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5">
      <c r="A954" s="88"/>
      <c r="B954" s="36" t="s">
        <v>256</v>
      </c>
      <c r="C954" s="30">
        <v>0</v>
      </c>
      <c r="D954" s="49" t="s">
        <v>257</v>
      </c>
      <c r="E954" s="50">
        <f>E951/12</f>
        <v>0</v>
      </c>
      <c r="F954" s="88"/>
      <c r="G954" s="321" t="s">
        <v>258</v>
      </c>
      <c r="H954" s="51" t="s">
        <v>259</v>
      </c>
      <c r="I954" s="112">
        <f>E953</f>
        <v>0</v>
      </c>
      <c r="J954" s="323" t="s">
        <v>260</v>
      </c>
      <c r="K954" s="324"/>
      <c r="L954" s="325"/>
      <c r="M954" s="52" t="s">
        <v>261</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5.6" thickTop="1" thickBot="1" x14ac:dyDescent="0.35">
      <c r="A955" s="88"/>
      <c r="B955" s="36" t="s">
        <v>262</v>
      </c>
      <c r="C955" s="30">
        <v>0</v>
      </c>
      <c r="D955" s="31" t="s">
        <v>263</v>
      </c>
      <c r="E955" s="101" t="str">
        <f>IF('Cable Calculator'!DO5="","",'Cable Calculator'!DO5)</f>
        <v/>
      </c>
      <c r="F955" s="88"/>
      <c r="G955" s="322"/>
      <c r="H955" s="47" t="s">
        <v>264</v>
      </c>
      <c r="I955" s="35" t="str">
        <f>IF(E953="","0",IF(AND(E950="EUC",E951=432), I954+(203-E952),IF(E953=0,0,(E953+(E951-E952)-1))))</f>
        <v>0</v>
      </c>
      <c r="J955" s="286" t="str">
        <f>IFERROR(IF(OR(E950="EUC",E950="SS"),"---",IF(OR(P949,S949),"NO 2F Tethers for RPX!",IF(OR(P951,S951),"NO 6F Tethers for RPX!","---"))),"---")</f>
        <v>---</v>
      </c>
      <c r="K955" s="287"/>
      <c r="L955" s="288"/>
      <c r="M955" s="286" t="str">
        <f>IF(E952&gt;60,"Dead Count &gt;60: Consider Downsize","---")</f>
        <v>---</v>
      </c>
      <c r="N955" s="287"/>
      <c r="O955" s="287"/>
      <c r="P955" s="287"/>
      <c r="Q955" s="287"/>
      <c r="R955" s="287"/>
      <c r="S955" s="287"/>
      <c r="T955" s="287"/>
      <c r="U955" s="288"/>
      <c r="V955" s="100"/>
      <c r="W955" s="54">
        <f>SUM(P955:U955)</f>
        <v>0</v>
      </c>
      <c r="X955" s="54"/>
      <c r="Y955" s="25"/>
      <c r="Z955" s="45">
        <v>4</v>
      </c>
      <c r="AA955" s="46">
        <v>37</v>
      </c>
      <c r="AB955" s="46">
        <v>48</v>
      </c>
      <c r="AC955" s="25"/>
      <c r="AD955" s="25"/>
      <c r="BA955" s="227"/>
    </row>
    <row r="956" spans="1:53" ht="15.6" thickTop="1" thickBot="1" x14ac:dyDescent="0.35">
      <c r="A956" s="88"/>
      <c r="B956" s="55" t="s">
        <v>265</v>
      </c>
      <c r="C956" s="56">
        <f>SUM(C950:C955)+I949</f>
        <v>0</v>
      </c>
      <c r="D956" s="31" t="s">
        <v>266</v>
      </c>
      <c r="E956" s="101" t="str">
        <f>IF(AS950="Y","DBL",IF(AS951="Y","TRPL",IF(AS952="Y","QUAD","")))</f>
        <v/>
      </c>
      <c r="F956" s="88"/>
      <c r="G956" s="192"/>
      <c r="H956" s="57"/>
      <c r="I956" s="192"/>
      <c r="J956" s="286"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7"/>
      <c r="L956" s="288"/>
      <c r="M956" s="286" t="str">
        <f>IF(AND(OR(E950="SS",E950="RPX",E950="EUC",E950="RPX-T"),(OR(C960="",C960="Field SPL"))),"Cannot have FlexNap cables without tethers","---")</f>
        <v>---</v>
      </c>
      <c r="N956" s="287"/>
      <c r="O956" s="287"/>
      <c r="P956" s="287"/>
      <c r="Q956" s="287"/>
      <c r="R956" s="287"/>
      <c r="S956" s="287"/>
      <c r="T956" s="287"/>
      <c r="U956" s="288"/>
      <c r="V956" s="25"/>
      <c r="W956" s="58"/>
      <c r="X956" s="58"/>
      <c r="Y956" s="25"/>
      <c r="Z956" s="45">
        <v>5</v>
      </c>
      <c r="AA956" s="46">
        <v>49</v>
      </c>
      <c r="AB956" s="46">
        <v>60</v>
      </c>
      <c r="AC956" s="25"/>
      <c r="AD956" s="25"/>
      <c r="BA956" s="227"/>
    </row>
    <row r="957" spans="1:53" ht="15.6" thickTop="1" thickBot="1" x14ac:dyDescent="0.35">
      <c r="A957" s="88"/>
      <c r="B957" s="59"/>
      <c r="C957" s="60"/>
      <c r="D957" s="61"/>
      <c r="E957" s="62"/>
      <c r="F957" s="88"/>
      <c r="G957" s="63"/>
      <c r="H957" s="64"/>
      <c r="I957" s="63"/>
      <c r="J957" s="286" t="str">
        <f>IF(AND(OR(E950="RPX", E950="RPX-T", E950="SS"),E951=216),"NO 216 For RPX, RPX-T, OR SS CABLE","---")</f>
        <v>---</v>
      </c>
      <c r="K957" s="287"/>
      <c r="L957" s="288"/>
      <c r="M957" s="286" t="str" cm="1">
        <f t="array" ref="M957">IF(AND(E950="",OR(C960:C984="FST",C960:C984="REV T",C960:C984="DBL REV",C960:C984="TPL REV", C960:C984="QD REV")),"Non-FlexNap cables cannot have tethers","---")</f>
        <v>---</v>
      </c>
      <c r="N957" s="287"/>
      <c r="O957" s="287"/>
      <c r="P957" s="287"/>
      <c r="Q957" s="287"/>
      <c r="R957" s="287"/>
      <c r="S957" s="287"/>
      <c r="T957" s="287"/>
      <c r="U957" s="288"/>
      <c r="V957" s="25"/>
      <c r="W957" s="58"/>
      <c r="X957" s="58"/>
      <c r="Y957" s="25"/>
      <c r="Z957" s="45">
        <v>6</v>
      </c>
      <c r="AA957" s="65">
        <v>61</v>
      </c>
      <c r="AB957" s="65">
        <v>72</v>
      </c>
      <c r="AC957" s="25"/>
      <c r="AD957" s="25"/>
      <c r="BA957" s="226"/>
    </row>
    <row r="958" spans="1:53" ht="15.75" customHeight="1" thickBot="1" x14ac:dyDescent="0.35">
      <c r="A958" s="88"/>
      <c r="B958" s="321" t="s">
        <v>267</v>
      </c>
      <c r="C958" s="293" t="s">
        <v>268</v>
      </c>
      <c r="D958" s="293" t="s">
        <v>269</v>
      </c>
      <c r="E958" s="306" t="s">
        <v>270</v>
      </c>
      <c r="F958" s="293" t="s">
        <v>271</v>
      </c>
      <c r="G958" s="308" t="s">
        <v>272</v>
      </c>
      <c r="H958" s="308" t="s">
        <v>273</v>
      </c>
      <c r="I958" s="308" t="s">
        <v>274</v>
      </c>
      <c r="J958" s="310" t="s">
        <v>275</v>
      </c>
      <c r="K958" s="293" t="s">
        <v>276</v>
      </c>
      <c r="L958" s="280" t="s">
        <v>277</v>
      </c>
      <c r="M958" s="282" t="s">
        <v>278</v>
      </c>
      <c r="N958" s="282"/>
      <c r="O958" s="282"/>
      <c r="P958" s="282"/>
      <c r="Q958" s="282"/>
      <c r="R958" s="282"/>
      <c r="S958" s="282"/>
      <c r="T958" s="282"/>
      <c r="U958" s="283"/>
      <c r="V958" s="107"/>
      <c r="W958" s="72"/>
      <c r="X958" s="72"/>
      <c r="Y958" s="72"/>
      <c r="Z958" s="45">
        <v>7</v>
      </c>
      <c r="AA958" s="65">
        <v>73</v>
      </c>
      <c r="AB958" s="65">
        <v>84</v>
      </c>
      <c r="AC958" s="25"/>
      <c r="AD958" s="25"/>
      <c r="BA958" s="228"/>
    </row>
    <row r="959" spans="1:53" ht="15" thickBot="1" x14ac:dyDescent="0.35">
      <c r="A959" s="88"/>
      <c r="B959" s="322"/>
      <c r="C959" s="294"/>
      <c r="D959" s="294"/>
      <c r="E959" s="307"/>
      <c r="F959" s="294"/>
      <c r="G959" s="309"/>
      <c r="H959" s="309"/>
      <c r="I959" s="309"/>
      <c r="J959" s="311"/>
      <c r="K959" s="294"/>
      <c r="L959" s="281"/>
      <c r="M959" s="284"/>
      <c r="N959" s="284"/>
      <c r="O959" s="284"/>
      <c r="P959" s="284"/>
      <c r="Q959" s="284"/>
      <c r="R959" s="284"/>
      <c r="S959" s="284"/>
      <c r="T959" s="284"/>
      <c r="U959" s="285"/>
      <c r="V959" s="107"/>
      <c r="W959" s="72"/>
      <c r="X959" s="72"/>
      <c r="Y959" s="72"/>
      <c r="Z959" s="45">
        <v>8</v>
      </c>
      <c r="AA959" s="46">
        <v>85</v>
      </c>
      <c r="AB959" s="46">
        <v>96</v>
      </c>
      <c r="AC959" s="25"/>
      <c r="AD959" s="25"/>
      <c r="AI959" s="109" t="s">
        <v>279</v>
      </c>
      <c r="AJ959" s="109" t="s">
        <v>280</v>
      </c>
      <c r="AK959" s="109" t="s">
        <v>281</v>
      </c>
      <c r="AL959" s="109" t="s">
        <v>282</v>
      </c>
      <c r="BA959" s="228"/>
    </row>
    <row r="960" spans="1:53" ht="15" thickBot="1" x14ac:dyDescent="0.35">
      <c r="A960" s="88"/>
      <c r="B960" s="66" t="s">
        <v>283</v>
      </c>
      <c r="C960" s="67"/>
      <c r="D960" s="102"/>
      <c r="E960" s="32"/>
      <c r="F960" s="32"/>
      <c r="G960" s="68" t="s">
        <v>285</v>
      </c>
      <c r="H960" s="69">
        <f>IF(I960=0,0,I960-(E960-1))</f>
        <v>0</v>
      </c>
      <c r="I960" s="70">
        <f>IF(E960=0,0,I955)</f>
        <v>0</v>
      </c>
      <c r="J960" s="71" t="s">
        <v>286</v>
      </c>
      <c r="K960" s="32"/>
      <c r="L960" s="233"/>
      <c r="M960" s="278"/>
      <c r="N960" s="278"/>
      <c r="O960" s="278"/>
      <c r="P960" s="278"/>
      <c r="Q960" s="278"/>
      <c r="R960" s="278"/>
      <c r="S960" s="278"/>
      <c r="T960" s="278"/>
      <c r="U960" s="279"/>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 thickBot="1" x14ac:dyDescent="0.35">
      <c r="A961" s="88"/>
      <c r="B961" s="66" t="s">
        <v>288</v>
      </c>
      <c r="C961" s="67"/>
      <c r="D961" s="102"/>
      <c r="E961" s="32"/>
      <c r="F961" s="32"/>
      <c r="G961" s="68" t="s">
        <v>285</v>
      </c>
      <c r="H961" s="69">
        <f t="shared" ref="H961:H984" si="400">IF(E961=0,0,I961-(E961-1))</f>
        <v>0</v>
      </c>
      <c r="I961" s="70">
        <f t="shared" ref="I961:I984" si="401">IF(E961=0,0,H960-1)</f>
        <v>0</v>
      </c>
      <c r="J961" s="73" t="str">
        <f>IF(C961="","--",IF(AND(C961&lt;&gt;"FST",C961&lt;&gt;"TCF",BA960&lt;&gt;0),BA960,"--"))</f>
        <v>--</v>
      </c>
      <c r="K961" s="32"/>
      <c r="L961" s="233"/>
      <c r="M961" s="278"/>
      <c r="N961" s="278"/>
      <c r="O961" s="278"/>
      <c r="P961" s="278"/>
      <c r="Q961" s="278"/>
      <c r="R961" s="278"/>
      <c r="S961" s="278"/>
      <c r="T961" s="278"/>
      <c r="U961" s="279"/>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 thickBot="1" x14ac:dyDescent="0.35">
      <c r="A962" s="88"/>
      <c r="B962" s="74" t="s">
        <v>290</v>
      </c>
      <c r="C962" s="67"/>
      <c r="D962" s="102"/>
      <c r="E962" s="32"/>
      <c r="F962" s="32"/>
      <c r="G962" s="75" t="s">
        <v>285</v>
      </c>
      <c r="H962" s="69">
        <f t="shared" si="400"/>
        <v>0</v>
      </c>
      <c r="I962" s="70">
        <f t="shared" si="401"/>
        <v>0</v>
      </c>
      <c r="J962" s="73" t="str">
        <f t="shared" ref="J962:J984" si="402">IF(C962="","--",IF(AND(C962&lt;&gt;"FST",C962&lt;&gt;"TCF",BA961&lt;&gt;0),BA961,"--"))</f>
        <v>--</v>
      </c>
      <c r="K962" s="32"/>
      <c r="L962" s="233"/>
      <c r="M962" s="278"/>
      <c r="N962" s="278"/>
      <c r="O962" s="278"/>
      <c r="P962" s="278"/>
      <c r="Q962" s="278"/>
      <c r="R962" s="278"/>
      <c r="S962" s="278"/>
      <c r="T962" s="278"/>
      <c r="U962" s="279"/>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 thickBot="1" x14ac:dyDescent="0.35">
      <c r="A963" s="88"/>
      <c r="B963" s="66" t="s">
        <v>292</v>
      </c>
      <c r="C963" s="67"/>
      <c r="D963" s="102"/>
      <c r="E963" s="32"/>
      <c r="F963" s="32"/>
      <c r="G963" s="68" t="s">
        <v>285</v>
      </c>
      <c r="H963" s="69">
        <f t="shared" si="400"/>
        <v>0</v>
      </c>
      <c r="I963" s="70">
        <f t="shared" si="401"/>
        <v>0</v>
      </c>
      <c r="J963" s="73" t="str">
        <f t="shared" si="402"/>
        <v>--</v>
      </c>
      <c r="K963" s="32"/>
      <c r="L963" s="233"/>
      <c r="M963" s="278"/>
      <c r="N963" s="278"/>
      <c r="O963" s="278"/>
      <c r="P963" s="278"/>
      <c r="Q963" s="278"/>
      <c r="R963" s="278"/>
      <c r="S963" s="278"/>
      <c r="T963" s="278"/>
      <c r="U963" s="279"/>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 thickBot="1" x14ac:dyDescent="0.35">
      <c r="A964" s="88"/>
      <c r="B964" s="66" t="s">
        <v>293</v>
      </c>
      <c r="C964" s="67"/>
      <c r="D964" s="102"/>
      <c r="E964" s="32"/>
      <c r="F964" s="32"/>
      <c r="G964" s="68" t="s">
        <v>285</v>
      </c>
      <c r="H964" s="69">
        <f t="shared" si="400"/>
        <v>0</v>
      </c>
      <c r="I964" s="70">
        <f t="shared" si="401"/>
        <v>0</v>
      </c>
      <c r="J964" s="73" t="str">
        <f t="shared" si="402"/>
        <v>--</v>
      </c>
      <c r="K964" s="32"/>
      <c r="L964" s="233"/>
      <c r="M964" s="278"/>
      <c r="N964" s="278"/>
      <c r="O964" s="278"/>
      <c r="P964" s="278"/>
      <c r="Q964" s="278"/>
      <c r="R964" s="278"/>
      <c r="S964" s="278"/>
      <c r="T964" s="278"/>
      <c r="U964" s="27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 thickBot="1" x14ac:dyDescent="0.35">
      <c r="A965" s="88"/>
      <c r="B965" s="66" t="s">
        <v>294</v>
      </c>
      <c r="C965" s="67"/>
      <c r="D965" s="102"/>
      <c r="E965" s="32"/>
      <c r="F965" s="32"/>
      <c r="G965" s="68" t="s">
        <v>285</v>
      </c>
      <c r="H965" s="69">
        <f t="shared" si="400"/>
        <v>0</v>
      </c>
      <c r="I965" s="70">
        <f t="shared" si="401"/>
        <v>0</v>
      </c>
      <c r="J965" s="73" t="str">
        <f t="shared" si="402"/>
        <v>--</v>
      </c>
      <c r="K965" s="32"/>
      <c r="L965" s="233"/>
      <c r="M965" s="278"/>
      <c r="N965" s="278"/>
      <c r="O965" s="278"/>
      <c r="P965" s="278"/>
      <c r="Q965" s="278"/>
      <c r="R965" s="278"/>
      <c r="S965" s="278"/>
      <c r="T965" s="278"/>
      <c r="U965" s="27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 thickBot="1" x14ac:dyDescent="0.35">
      <c r="A966" s="88"/>
      <c r="B966" s="66" t="s">
        <v>295</v>
      </c>
      <c r="C966" s="67"/>
      <c r="D966" s="102"/>
      <c r="E966" s="32"/>
      <c r="F966" s="32"/>
      <c r="G966" s="68" t="s">
        <v>285</v>
      </c>
      <c r="H966" s="69">
        <f t="shared" si="400"/>
        <v>0</v>
      </c>
      <c r="I966" s="70">
        <f t="shared" si="401"/>
        <v>0</v>
      </c>
      <c r="J966" s="73" t="str">
        <f t="shared" si="402"/>
        <v>--</v>
      </c>
      <c r="K966" s="32"/>
      <c r="L966" s="233"/>
      <c r="M966" s="278"/>
      <c r="N966" s="278"/>
      <c r="O966" s="278"/>
      <c r="P966" s="278"/>
      <c r="Q966" s="278"/>
      <c r="R966" s="278"/>
      <c r="S966" s="278"/>
      <c r="T966" s="278"/>
      <c r="U966" s="27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 thickBot="1" x14ac:dyDescent="0.35">
      <c r="A967" s="88"/>
      <c r="B967" s="66" t="s">
        <v>296</v>
      </c>
      <c r="C967" s="67"/>
      <c r="D967" s="102"/>
      <c r="E967" s="32"/>
      <c r="F967" s="32"/>
      <c r="G967" s="68" t="s">
        <v>285</v>
      </c>
      <c r="H967" s="69">
        <f t="shared" si="400"/>
        <v>0</v>
      </c>
      <c r="I967" s="70">
        <f t="shared" si="401"/>
        <v>0</v>
      </c>
      <c r="J967" s="73" t="str">
        <f t="shared" si="402"/>
        <v>--</v>
      </c>
      <c r="K967" s="32"/>
      <c r="L967" s="233"/>
      <c r="M967" s="278"/>
      <c r="N967" s="278"/>
      <c r="O967" s="278"/>
      <c r="P967" s="278"/>
      <c r="Q967" s="278"/>
      <c r="R967" s="278"/>
      <c r="S967" s="278"/>
      <c r="T967" s="278"/>
      <c r="U967" s="27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 thickBot="1" x14ac:dyDescent="0.35">
      <c r="A968" s="88"/>
      <c r="B968" s="66" t="s">
        <v>297</v>
      </c>
      <c r="C968" s="67"/>
      <c r="D968" s="102"/>
      <c r="E968" s="32"/>
      <c r="F968" s="32"/>
      <c r="G968" s="68" t="s">
        <v>285</v>
      </c>
      <c r="H968" s="69">
        <f t="shared" si="400"/>
        <v>0</v>
      </c>
      <c r="I968" s="70">
        <f t="shared" si="401"/>
        <v>0</v>
      </c>
      <c r="J968" s="73" t="str">
        <f t="shared" si="402"/>
        <v>--</v>
      </c>
      <c r="K968" s="32"/>
      <c r="L968" s="233"/>
      <c r="M968" s="278"/>
      <c r="N968" s="278"/>
      <c r="O968" s="278"/>
      <c r="P968" s="278"/>
      <c r="Q968" s="278"/>
      <c r="R968" s="278"/>
      <c r="S968" s="278"/>
      <c r="T968" s="278"/>
      <c r="U968" s="27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 thickBot="1" x14ac:dyDescent="0.35">
      <c r="A969" s="88"/>
      <c r="B969" s="66" t="s">
        <v>298</v>
      </c>
      <c r="C969" s="67"/>
      <c r="D969" s="102"/>
      <c r="E969" s="32"/>
      <c r="F969" s="32"/>
      <c r="G969" s="68" t="s">
        <v>285</v>
      </c>
      <c r="H969" s="69">
        <f t="shared" si="400"/>
        <v>0</v>
      </c>
      <c r="I969" s="70">
        <f t="shared" si="401"/>
        <v>0</v>
      </c>
      <c r="J969" s="73" t="str">
        <f t="shared" si="402"/>
        <v>--</v>
      </c>
      <c r="K969" s="32"/>
      <c r="L969" s="233"/>
      <c r="M969" s="278"/>
      <c r="N969" s="278"/>
      <c r="O969" s="278"/>
      <c r="P969" s="278"/>
      <c r="Q969" s="278"/>
      <c r="R969" s="278"/>
      <c r="S969" s="278"/>
      <c r="T969" s="278"/>
      <c r="U969" s="27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 thickBot="1" x14ac:dyDescent="0.35">
      <c r="A970" s="88"/>
      <c r="B970" s="66" t="s">
        <v>299</v>
      </c>
      <c r="C970" s="67"/>
      <c r="D970" s="102"/>
      <c r="E970" s="32"/>
      <c r="F970" s="32"/>
      <c r="G970" s="68" t="s">
        <v>285</v>
      </c>
      <c r="H970" s="69">
        <f t="shared" si="400"/>
        <v>0</v>
      </c>
      <c r="I970" s="70">
        <f t="shared" si="401"/>
        <v>0</v>
      </c>
      <c r="J970" s="73" t="str">
        <f t="shared" si="402"/>
        <v>--</v>
      </c>
      <c r="K970" s="32"/>
      <c r="L970" s="233"/>
      <c r="M970" s="278"/>
      <c r="N970" s="278"/>
      <c r="O970" s="278"/>
      <c r="P970" s="278"/>
      <c r="Q970" s="278"/>
      <c r="R970" s="278"/>
      <c r="S970" s="278"/>
      <c r="T970" s="278"/>
      <c r="U970" s="27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 thickBot="1" x14ac:dyDescent="0.35">
      <c r="A971" s="88"/>
      <c r="B971" s="66" t="s">
        <v>300</v>
      </c>
      <c r="C971" s="67"/>
      <c r="D971" s="102"/>
      <c r="E971" s="32"/>
      <c r="F971" s="32"/>
      <c r="G971" s="68" t="s">
        <v>285</v>
      </c>
      <c r="H971" s="69">
        <f t="shared" si="400"/>
        <v>0</v>
      </c>
      <c r="I971" s="70">
        <f t="shared" si="401"/>
        <v>0</v>
      </c>
      <c r="J971" s="73" t="str">
        <f t="shared" si="402"/>
        <v>--</v>
      </c>
      <c r="K971" s="32"/>
      <c r="L971" s="233"/>
      <c r="M971" s="278"/>
      <c r="N971" s="278"/>
      <c r="O971" s="278"/>
      <c r="P971" s="278"/>
      <c r="Q971" s="278"/>
      <c r="R971" s="278"/>
      <c r="S971" s="278"/>
      <c r="T971" s="278"/>
      <c r="U971" s="279"/>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 thickBot="1" x14ac:dyDescent="0.35">
      <c r="A972" s="88"/>
      <c r="B972" s="66" t="s">
        <v>301</v>
      </c>
      <c r="C972" s="67"/>
      <c r="D972" s="102"/>
      <c r="E972" s="32"/>
      <c r="F972" s="32"/>
      <c r="G972" s="68" t="s">
        <v>285</v>
      </c>
      <c r="H972" s="69">
        <f t="shared" si="400"/>
        <v>0</v>
      </c>
      <c r="I972" s="70">
        <f t="shared" si="401"/>
        <v>0</v>
      </c>
      <c r="J972" s="73" t="str">
        <f t="shared" si="402"/>
        <v>--</v>
      </c>
      <c r="K972" s="32"/>
      <c r="L972" s="233"/>
      <c r="M972" s="278"/>
      <c r="N972" s="278"/>
      <c r="O972" s="278"/>
      <c r="P972" s="278"/>
      <c r="Q972" s="278"/>
      <c r="R972" s="278"/>
      <c r="S972" s="278"/>
      <c r="T972" s="278"/>
      <c r="U972" s="279"/>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 thickBot="1" x14ac:dyDescent="0.35">
      <c r="A973" s="88"/>
      <c r="B973" s="66" t="s">
        <v>302</v>
      </c>
      <c r="C973" s="67"/>
      <c r="D973" s="102"/>
      <c r="E973" s="32"/>
      <c r="F973" s="32"/>
      <c r="G973" s="68" t="s">
        <v>285</v>
      </c>
      <c r="H973" s="69">
        <f t="shared" si="400"/>
        <v>0</v>
      </c>
      <c r="I973" s="70">
        <f t="shared" si="401"/>
        <v>0</v>
      </c>
      <c r="J973" s="73" t="str">
        <f t="shared" si="402"/>
        <v>--</v>
      </c>
      <c r="K973" s="32"/>
      <c r="L973" s="233"/>
      <c r="M973" s="278"/>
      <c r="N973" s="278"/>
      <c r="O973" s="278"/>
      <c r="P973" s="278"/>
      <c r="Q973" s="278"/>
      <c r="R973" s="278"/>
      <c r="S973" s="278"/>
      <c r="T973" s="278"/>
      <c r="U973" s="279"/>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 thickBot="1" x14ac:dyDescent="0.35">
      <c r="A974" s="88"/>
      <c r="B974" s="66" t="s">
        <v>303</v>
      </c>
      <c r="C974" s="67"/>
      <c r="D974" s="102"/>
      <c r="E974" s="32"/>
      <c r="F974" s="32"/>
      <c r="G974" s="68" t="s">
        <v>285</v>
      </c>
      <c r="H974" s="69">
        <f t="shared" si="400"/>
        <v>0</v>
      </c>
      <c r="I974" s="70">
        <f t="shared" si="401"/>
        <v>0</v>
      </c>
      <c r="J974" s="73" t="str">
        <f t="shared" si="402"/>
        <v>--</v>
      </c>
      <c r="K974" s="32"/>
      <c r="L974" s="233"/>
      <c r="M974" s="278"/>
      <c r="N974" s="278"/>
      <c r="O974" s="278"/>
      <c r="P974" s="278"/>
      <c r="Q974" s="278"/>
      <c r="R974" s="278"/>
      <c r="S974" s="278"/>
      <c r="T974" s="278"/>
      <c r="U974" s="279"/>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 thickBot="1" x14ac:dyDescent="0.35">
      <c r="A975" s="88"/>
      <c r="B975" s="66" t="s">
        <v>304</v>
      </c>
      <c r="C975" s="67"/>
      <c r="D975" s="102"/>
      <c r="E975" s="32"/>
      <c r="F975" s="32"/>
      <c r="G975" s="68" t="s">
        <v>285</v>
      </c>
      <c r="H975" s="69">
        <f t="shared" si="400"/>
        <v>0</v>
      </c>
      <c r="I975" s="70">
        <f t="shared" si="401"/>
        <v>0</v>
      </c>
      <c r="J975" s="73" t="str">
        <f t="shared" si="402"/>
        <v>--</v>
      </c>
      <c r="K975" s="32"/>
      <c r="L975" s="233"/>
      <c r="M975" s="278"/>
      <c r="N975" s="278"/>
      <c r="O975" s="278"/>
      <c r="P975" s="278"/>
      <c r="Q975" s="278"/>
      <c r="R975" s="278"/>
      <c r="S975" s="278"/>
      <c r="T975" s="278"/>
      <c r="U975" s="279"/>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 thickBot="1" x14ac:dyDescent="0.35">
      <c r="A976" s="88"/>
      <c r="B976" s="66" t="s">
        <v>305</v>
      </c>
      <c r="C976" s="67"/>
      <c r="D976" s="102"/>
      <c r="E976" s="32"/>
      <c r="F976" s="32"/>
      <c r="G976" s="68" t="s">
        <v>285</v>
      </c>
      <c r="H976" s="69">
        <f t="shared" si="400"/>
        <v>0</v>
      </c>
      <c r="I976" s="70">
        <f t="shared" si="401"/>
        <v>0</v>
      </c>
      <c r="J976" s="73" t="str">
        <f t="shared" si="402"/>
        <v>--</v>
      </c>
      <c r="K976" s="32"/>
      <c r="L976" s="233"/>
      <c r="M976" s="278"/>
      <c r="N976" s="278"/>
      <c r="O976" s="278"/>
      <c r="P976" s="278"/>
      <c r="Q976" s="278"/>
      <c r="R976" s="278"/>
      <c r="S976" s="278"/>
      <c r="T976" s="278"/>
      <c r="U976" s="279"/>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 thickBot="1" x14ac:dyDescent="0.35">
      <c r="A977" s="88"/>
      <c r="B977" s="66" t="s">
        <v>306</v>
      </c>
      <c r="C977" s="67"/>
      <c r="D977" s="102"/>
      <c r="E977" s="32"/>
      <c r="F977" s="32"/>
      <c r="G977" s="68" t="s">
        <v>285</v>
      </c>
      <c r="H977" s="69">
        <f t="shared" si="400"/>
        <v>0</v>
      </c>
      <c r="I977" s="70">
        <f t="shared" si="401"/>
        <v>0</v>
      </c>
      <c r="J977" s="73" t="str">
        <f t="shared" si="402"/>
        <v>--</v>
      </c>
      <c r="K977" s="32"/>
      <c r="L977" s="233"/>
      <c r="M977" s="278"/>
      <c r="N977" s="278"/>
      <c r="O977" s="278"/>
      <c r="P977" s="278"/>
      <c r="Q977" s="278"/>
      <c r="R977" s="278"/>
      <c r="S977" s="278"/>
      <c r="T977" s="278"/>
      <c r="U977" s="279"/>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 thickBot="1" x14ac:dyDescent="0.35">
      <c r="A978" s="88"/>
      <c r="B978" s="66" t="s">
        <v>307</v>
      </c>
      <c r="C978" s="67"/>
      <c r="D978" s="102"/>
      <c r="E978" s="32"/>
      <c r="F978" s="32"/>
      <c r="G978" s="68" t="s">
        <v>285</v>
      </c>
      <c r="H978" s="69">
        <f t="shared" si="400"/>
        <v>0</v>
      </c>
      <c r="I978" s="70">
        <f t="shared" si="401"/>
        <v>0</v>
      </c>
      <c r="J978" s="73" t="str">
        <f t="shared" si="402"/>
        <v>--</v>
      </c>
      <c r="K978" s="32"/>
      <c r="L978" s="233"/>
      <c r="M978" s="278"/>
      <c r="N978" s="278"/>
      <c r="O978" s="278"/>
      <c r="P978" s="278"/>
      <c r="Q978" s="278"/>
      <c r="R978" s="278"/>
      <c r="S978" s="278"/>
      <c r="T978" s="278"/>
      <c r="U978" s="279"/>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 thickBot="1" x14ac:dyDescent="0.35">
      <c r="A979" s="88"/>
      <c r="B979" s="66" t="s">
        <v>308</v>
      </c>
      <c r="C979" s="67"/>
      <c r="D979" s="102"/>
      <c r="E979" s="32"/>
      <c r="F979" s="32"/>
      <c r="G979" s="68" t="s">
        <v>285</v>
      </c>
      <c r="H979" s="69">
        <f t="shared" si="400"/>
        <v>0</v>
      </c>
      <c r="I979" s="70">
        <f t="shared" si="401"/>
        <v>0</v>
      </c>
      <c r="J979" s="73" t="str">
        <f t="shared" si="402"/>
        <v>--</v>
      </c>
      <c r="K979" s="32"/>
      <c r="L979" s="233"/>
      <c r="M979" s="278"/>
      <c r="N979" s="278"/>
      <c r="O979" s="278"/>
      <c r="P979" s="278"/>
      <c r="Q979" s="278"/>
      <c r="R979" s="278"/>
      <c r="S979" s="278"/>
      <c r="T979" s="278"/>
      <c r="U979" s="279"/>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 thickBot="1" x14ac:dyDescent="0.35">
      <c r="A980" s="88"/>
      <c r="B980" s="66" t="s">
        <v>309</v>
      </c>
      <c r="C980" s="67"/>
      <c r="D980" s="102"/>
      <c r="E980" s="32"/>
      <c r="F980" s="32"/>
      <c r="G980" s="68" t="s">
        <v>285</v>
      </c>
      <c r="H980" s="69">
        <f t="shared" si="400"/>
        <v>0</v>
      </c>
      <c r="I980" s="70">
        <f t="shared" si="401"/>
        <v>0</v>
      </c>
      <c r="J980" s="73" t="str">
        <f t="shared" si="402"/>
        <v>--</v>
      </c>
      <c r="K980" s="32"/>
      <c r="L980" s="233"/>
      <c r="M980" s="278"/>
      <c r="N980" s="278"/>
      <c r="O980" s="278"/>
      <c r="P980" s="278"/>
      <c r="Q980" s="278"/>
      <c r="R980" s="278"/>
      <c r="S980" s="278"/>
      <c r="T980" s="278"/>
      <c r="U980" s="279"/>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 thickBot="1" x14ac:dyDescent="0.35">
      <c r="A981" s="88"/>
      <c r="B981" s="66" t="s">
        <v>310</v>
      </c>
      <c r="C981" s="67"/>
      <c r="D981" s="102"/>
      <c r="E981" s="32"/>
      <c r="F981" s="32"/>
      <c r="G981" s="68" t="s">
        <v>285</v>
      </c>
      <c r="H981" s="69">
        <f t="shared" si="400"/>
        <v>0</v>
      </c>
      <c r="I981" s="70">
        <f t="shared" si="401"/>
        <v>0</v>
      </c>
      <c r="J981" s="73" t="str">
        <f t="shared" si="402"/>
        <v>--</v>
      </c>
      <c r="K981" s="32"/>
      <c r="L981" s="233"/>
      <c r="M981" s="278"/>
      <c r="N981" s="278"/>
      <c r="O981" s="278"/>
      <c r="P981" s="278"/>
      <c r="Q981" s="278"/>
      <c r="R981" s="278"/>
      <c r="S981" s="278"/>
      <c r="T981" s="278"/>
      <c r="U981" s="279"/>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 thickBot="1" x14ac:dyDescent="0.35">
      <c r="A982" s="88"/>
      <c r="B982" s="66" t="s">
        <v>311</v>
      </c>
      <c r="C982" s="67"/>
      <c r="D982" s="102"/>
      <c r="E982" s="32"/>
      <c r="F982" s="32"/>
      <c r="G982" s="68" t="s">
        <v>285</v>
      </c>
      <c r="H982" s="69">
        <f t="shared" si="400"/>
        <v>0</v>
      </c>
      <c r="I982" s="70">
        <f t="shared" si="401"/>
        <v>0</v>
      </c>
      <c r="J982" s="73" t="str">
        <f t="shared" si="402"/>
        <v>--</v>
      </c>
      <c r="K982" s="32"/>
      <c r="L982" s="233"/>
      <c r="M982" s="278"/>
      <c r="N982" s="278"/>
      <c r="O982" s="278"/>
      <c r="P982" s="278"/>
      <c r="Q982" s="278"/>
      <c r="R982" s="278"/>
      <c r="S982" s="278"/>
      <c r="T982" s="278"/>
      <c r="U982" s="279"/>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 thickBot="1" x14ac:dyDescent="0.35">
      <c r="A983" s="88"/>
      <c r="B983" s="66" t="s">
        <v>312</v>
      </c>
      <c r="C983" s="67"/>
      <c r="D983" s="102"/>
      <c r="E983" s="32"/>
      <c r="F983" s="32"/>
      <c r="G983" s="68" t="s">
        <v>285</v>
      </c>
      <c r="H983" s="69">
        <f t="shared" si="400"/>
        <v>0</v>
      </c>
      <c r="I983" s="70">
        <f t="shared" si="401"/>
        <v>0</v>
      </c>
      <c r="J983" s="73" t="str">
        <f t="shared" si="402"/>
        <v>--</v>
      </c>
      <c r="K983" s="32"/>
      <c r="L983" s="233"/>
      <c r="M983" s="278"/>
      <c r="N983" s="278"/>
      <c r="O983" s="278"/>
      <c r="P983" s="278"/>
      <c r="Q983" s="278"/>
      <c r="R983" s="278"/>
      <c r="S983" s="278"/>
      <c r="T983" s="278"/>
      <c r="U983" s="279"/>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 thickBot="1" x14ac:dyDescent="0.35">
      <c r="A984" s="88"/>
      <c r="B984" s="66" t="s">
        <v>313</v>
      </c>
      <c r="C984" s="67"/>
      <c r="D984" s="102"/>
      <c r="E984" s="32"/>
      <c r="F984" s="32"/>
      <c r="G984" s="68" t="s">
        <v>285</v>
      </c>
      <c r="H984" s="69">
        <f t="shared" si="400"/>
        <v>0</v>
      </c>
      <c r="I984" s="70">
        <f t="shared" si="401"/>
        <v>0</v>
      </c>
      <c r="J984" s="73" t="str">
        <f t="shared" si="402"/>
        <v>--</v>
      </c>
      <c r="K984" s="32"/>
      <c r="L984" s="234"/>
      <c r="M984" s="278"/>
      <c r="N984" s="278"/>
      <c r="O984" s="278"/>
      <c r="P984" s="278"/>
      <c r="Q984" s="278"/>
      <c r="R984" s="278"/>
      <c r="S984" s="278"/>
      <c r="T984" s="278"/>
      <c r="U984" s="279"/>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2" thickBot="1" x14ac:dyDescent="0.35">
      <c r="A985" s="88"/>
      <c r="B985" s="319" t="s">
        <v>422</v>
      </c>
      <c r="C985" s="320"/>
      <c r="D985" s="79"/>
      <c r="E985" s="80"/>
      <c r="F985" s="80"/>
      <c r="G985" s="81"/>
      <c r="H985" s="192"/>
      <c r="I985" s="192"/>
      <c r="J985" s="192"/>
      <c r="K985" s="82"/>
      <c r="L985" s="319" t="s">
        <v>319</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2" thickBot="1" x14ac:dyDescent="0.35">
      <c r="A986" s="88"/>
      <c r="B986" s="319" t="s">
        <v>320</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3">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 thickBot="1" x14ac:dyDescent="0.35">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5">
      <c r="A989" s="88"/>
      <c r="B989" s="85" t="s">
        <v>423</v>
      </c>
      <c r="C989" s="25"/>
      <c r="D989" s="25"/>
      <c r="E989" s="25"/>
      <c r="F989" s="88"/>
      <c r="G989" s="25"/>
      <c r="H989" s="25"/>
      <c r="I989" s="87"/>
      <c r="J989" s="26"/>
      <c r="K989" s="25"/>
      <c r="L989" s="25"/>
      <c r="M989" s="196" t="s">
        <v>217</v>
      </c>
      <c r="N989" s="196" t="s">
        <v>218</v>
      </c>
      <c r="O989" s="196" t="s">
        <v>219</v>
      </c>
      <c r="P989" s="196" t="s">
        <v>220</v>
      </c>
      <c r="Q989" s="196" t="s">
        <v>221</v>
      </c>
      <c r="R989" s="196" t="s">
        <v>222</v>
      </c>
      <c r="S989" s="196" t="s">
        <v>223</v>
      </c>
      <c r="T989" s="196" t="s">
        <v>224</v>
      </c>
      <c r="U989" s="196" t="s">
        <v>225</v>
      </c>
      <c r="V989" s="196" t="s">
        <v>226</v>
      </c>
      <c r="W989" s="113" t="s">
        <v>227</v>
      </c>
      <c r="X989" s="196" t="s">
        <v>228</v>
      </c>
      <c r="Y989" s="25"/>
      <c r="Z989" s="25"/>
      <c r="AA989" s="25"/>
      <c r="AB989" s="25"/>
      <c r="AC989" s="25"/>
      <c r="AD989" s="25"/>
      <c r="BA989" s="226"/>
    </row>
    <row r="990" spans="1:53" ht="15.6" thickTop="1" thickBot="1" x14ac:dyDescent="0.35">
      <c r="A990" s="88"/>
      <c r="B990" s="312" t="s">
        <v>229</v>
      </c>
      <c r="C990" s="313"/>
      <c r="D990" s="314" t="s">
        <v>230</v>
      </c>
      <c r="E990" s="305"/>
      <c r="F990" s="88"/>
      <c r="G990" s="315" t="s">
        <v>231</v>
      </c>
      <c r="H990" s="316"/>
      <c r="I990" s="28">
        <f>SUM(E1001:E1025)</f>
        <v>0</v>
      </c>
      <c r="J990" s="317" t="s">
        <v>232</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233</v>
      </c>
      <c r="AA990" s="296"/>
      <c r="AB990" s="297"/>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234</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5">
      <c r="A991" s="88"/>
      <c r="B991" s="29" t="s">
        <v>235</v>
      </c>
      <c r="C991" s="30">
        <v>0</v>
      </c>
      <c r="D991" s="31" t="s">
        <v>236</v>
      </c>
      <c r="E991" s="66" t="str">
        <f>TEXT(IF('Cable Calculator'!DT7="","",'Cable Calculator'!DT7),)</f>
        <v/>
      </c>
      <c r="F991" s="88"/>
      <c r="G991" s="304" t="s">
        <v>237</v>
      </c>
      <c r="H991" s="305"/>
      <c r="I991" s="33">
        <f>E992-I990</f>
        <v>0</v>
      </c>
      <c r="J991" s="289" t="s">
        <v>238</v>
      </c>
      <c r="K991" s="290"/>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8" t="s">
        <v>239</v>
      </c>
      <c r="AA991" s="300" t="s">
        <v>240</v>
      </c>
      <c r="AB991" s="301"/>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241</v>
      </c>
      <c r="AU991" s="109">
        <f>COUNTIFS($E991,"SS",$AS991,"Y")</f>
        <v>0</v>
      </c>
      <c r="AV991" s="111">
        <f>COUNTIFS($E991,"RPX",$AS991,"Y")</f>
        <v>0</v>
      </c>
      <c r="AW991" s="111">
        <f>COUNTIFS($E991,"EUC",$AS991,"Y")</f>
        <v>0</v>
      </c>
      <c r="AX991" s="109">
        <f>COUNTIFS($E991,"RPX-T",$AS991,"Y")</f>
        <v>0</v>
      </c>
      <c r="BA991" s="227"/>
    </row>
    <row r="992" spans="1:53" ht="15.6" thickTop="1" thickBot="1" x14ac:dyDescent="0.35">
      <c r="A992" s="88"/>
      <c r="B992" s="36" t="s">
        <v>242</v>
      </c>
      <c r="C992" s="37">
        <v>0</v>
      </c>
      <c r="D992" s="38" t="s">
        <v>243</v>
      </c>
      <c r="E992" s="32"/>
      <c r="F992" s="88"/>
      <c r="G992" s="291" t="s">
        <v>244</v>
      </c>
      <c r="H992" s="292"/>
      <c r="I992" s="35">
        <f>IF(E992=0,0,12-(MOD(I990,12)))</f>
        <v>0</v>
      </c>
      <c r="J992" s="289" t="s">
        <v>245</v>
      </c>
      <c r="K992" s="290"/>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246</v>
      </c>
      <c r="AU992" s="109">
        <f>COUNTIFS($E991,"SS",$AS992,"Y")</f>
        <v>0</v>
      </c>
      <c r="AV992" s="108">
        <f>COUNTIFS($E991,"RPX",$AS992,"Y")</f>
        <v>0</v>
      </c>
      <c r="AW992" s="108">
        <f>COUNTIFS($E991,"EUC",$AS992,"Y")</f>
        <v>0</v>
      </c>
      <c r="AX992" s="109">
        <f>COUNTIFS($E991,"RPX-T",$AS992,"Y")</f>
        <v>0</v>
      </c>
      <c r="BA992" s="227"/>
    </row>
    <row r="993" spans="1:53" ht="16.5" customHeight="1" thickTop="1" thickBot="1" x14ac:dyDescent="0.35">
      <c r="A993" s="88"/>
      <c r="B993" s="40" t="s">
        <v>247</v>
      </c>
      <c r="C993" s="30">
        <v>0</v>
      </c>
      <c r="D993" s="41" t="s">
        <v>248</v>
      </c>
      <c r="E993" s="42"/>
      <c r="F993" s="88"/>
      <c r="G993" s="321" t="s">
        <v>249</v>
      </c>
      <c r="H993" s="43" t="s">
        <v>250</v>
      </c>
      <c r="I993" s="35">
        <f>IF(E993&lt;&gt;0,1,0)</f>
        <v>0</v>
      </c>
      <c r="J993" s="291" t="s">
        <v>251</v>
      </c>
      <c r="K993" s="292"/>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252</v>
      </c>
      <c r="AU993" s="109">
        <f>COUNTIFS($E991,"SS",$AS993,"Y")</f>
        <v>0</v>
      </c>
      <c r="AV993" s="108">
        <f>COUNTIFS($E991,"RPX",$AS993,"Y")</f>
        <v>0</v>
      </c>
      <c r="AW993" s="108">
        <f>COUNTIFS($E991,"EUC",$AS993,"Y")</f>
        <v>0</v>
      </c>
      <c r="AX993" s="109">
        <f>COUNTIFS($E991,"RPX-T",$AS993,"Y")</f>
        <v>0</v>
      </c>
      <c r="BA993" s="227"/>
    </row>
    <row r="994" spans="1:53" ht="15.6" thickTop="1" thickBot="1" x14ac:dyDescent="0.35">
      <c r="A994" s="88"/>
      <c r="B994" s="29" t="s">
        <v>253</v>
      </c>
      <c r="C994" s="37">
        <v>0</v>
      </c>
      <c r="D994" s="41" t="s">
        <v>254</v>
      </c>
      <c r="E994" s="42"/>
      <c r="F994" s="88"/>
      <c r="G994" s="322"/>
      <c r="H994" s="47" t="s">
        <v>255</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5">
      <c r="A995" s="88"/>
      <c r="B995" s="36" t="s">
        <v>256</v>
      </c>
      <c r="C995" s="30">
        <v>0</v>
      </c>
      <c r="D995" s="49" t="s">
        <v>257</v>
      </c>
      <c r="E995" s="50">
        <f>E992/12</f>
        <v>0</v>
      </c>
      <c r="F995" s="88"/>
      <c r="G995" s="321" t="s">
        <v>258</v>
      </c>
      <c r="H995" s="51" t="s">
        <v>259</v>
      </c>
      <c r="I995" s="112">
        <f>E994</f>
        <v>0</v>
      </c>
      <c r="J995" s="323" t="s">
        <v>260</v>
      </c>
      <c r="K995" s="324"/>
      <c r="L995" s="325"/>
      <c r="M995" s="52" t="s">
        <v>261</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5.6" thickTop="1" thickBot="1" x14ac:dyDescent="0.35">
      <c r="A996" s="88"/>
      <c r="B996" s="36" t="s">
        <v>262</v>
      </c>
      <c r="C996" s="30">
        <v>0</v>
      </c>
      <c r="D996" s="31" t="s">
        <v>263</v>
      </c>
      <c r="E996" s="101" t="str">
        <f>IF('Cable Calculator'!DT5="","",'Cable Calculator'!DT5)</f>
        <v/>
      </c>
      <c r="F996" s="88"/>
      <c r="G996" s="322"/>
      <c r="H996" s="47" t="s">
        <v>264</v>
      </c>
      <c r="I996" s="35" t="str">
        <f>IF(E994="","0",IF(AND(E991="EUC",E992=432), I995+(203-E993),IF(E994=0,0,(E994+(E992-E993)-1))))</f>
        <v>0</v>
      </c>
      <c r="J996" s="286" t="str">
        <f>IFERROR(IF(OR(E991="EUC",E991="SS"),"---",IF(OR(P990,S990),"NO 2F Tethers for RPX!",IF(OR(P992,S992),"NO 6F Tethers for RPX!","---"))),"---")</f>
        <v>---</v>
      </c>
      <c r="K996" s="287"/>
      <c r="L996" s="288"/>
      <c r="M996" s="286" t="str">
        <f>IF(E993&gt;60,"Dead Count &gt;60: Consider Downsize","---")</f>
        <v>---</v>
      </c>
      <c r="N996" s="287"/>
      <c r="O996" s="287"/>
      <c r="P996" s="287"/>
      <c r="Q996" s="287"/>
      <c r="R996" s="287"/>
      <c r="S996" s="287"/>
      <c r="T996" s="287"/>
      <c r="U996" s="288"/>
      <c r="V996" s="100"/>
      <c r="W996" s="54">
        <f>SUM(P996:U996)</f>
        <v>0</v>
      </c>
      <c r="X996" s="54"/>
      <c r="Y996" s="25"/>
      <c r="Z996" s="45">
        <v>4</v>
      </c>
      <c r="AA996" s="46">
        <v>37</v>
      </c>
      <c r="AB996" s="46">
        <v>48</v>
      </c>
      <c r="AC996" s="25"/>
      <c r="AD996" s="25"/>
      <c r="BA996" s="227"/>
    </row>
    <row r="997" spans="1:53" ht="15.6" thickTop="1" thickBot="1" x14ac:dyDescent="0.35">
      <c r="A997" s="88"/>
      <c r="B997" s="55" t="s">
        <v>265</v>
      </c>
      <c r="C997" s="56">
        <f>SUM(C991:C996)+I990</f>
        <v>0</v>
      </c>
      <c r="D997" s="31" t="s">
        <v>266</v>
      </c>
      <c r="E997" s="101" t="str">
        <f>IF(AS991="Y","DBL",IF(AS992="Y","TRPL",IF(AS993="Y","QUAD","")))</f>
        <v/>
      </c>
      <c r="F997" s="88"/>
      <c r="G997" s="192"/>
      <c r="H997" s="57"/>
      <c r="I997" s="192"/>
      <c r="J997" s="286"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7"/>
      <c r="L997" s="288"/>
      <c r="M997" s="286" t="str">
        <f>IF(AND(OR(E991="SS",E991="RPX",E991="EUC",E991="RPX-T"),(OR(C1001="",C1001="Field SPL"))),"Cannot have FlexNap cables without tethers","---")</f>
        <v>---</v>
      </c>
      <c r="N997" s="287"/>
      <c r="O997" s="287"/>
      <c r="P997" s="287"/>
      <c r="Q997" s="287"/>
      <c r="R997" s="287"/>
      <c r="S997" s="287"/>
      <c r="T997" s="287"/>
      <c r="U997" s="288"/>
      <c r="V997" s="25"/>
      <c r="W997" s="58"/>
      <c r="X997" s="58"/>
      <c r="Y997" s="25"/>
      <c r="Z997" s="45">
        <v>5</v>
      </c>
      <c r="AA997" s="46">
        <v>49</v>
      </c>
      <c r="AB997" s="46">
        <v>60</v>
      </c>
      <c r="AC997" s="25"/>
      <c r="AD997" s="25"/>
      <c r="BA997" s="227"/>
    </row>
    <row r="998" spans="1:53" ht="15.6" thickTop="1" thickBot="1" x14ac:dyDescent="0.35">
      <c r="A998" s="88"/>
      <c r="B998" s="59"/>
      <c r="C998" s="60"/>
      <c r="D998" s="61"/>
      <c r="E998" s="62"/>
      <c r="F998" s="88"/>
      <c r="G998" s="63"/>
      <c r="H998" s="64"/>
      <c r="I998" s="63"/>
      <c r="J998" s="286" t="str">
        <f>IF(AND(OR(E991="RPX", E991="RPX-T", E991="SS"),E992=216),"NO 216 For RPX, RPX-T, OR SS CABLE","---")</f>
        <v>---</v>
      </c>
      <c r="K998" s="287"/>
      <c r="L998" s="288"/>
      <c r="M998" s="286" t="str" cm="1">
        <f t="array" ref="M998">IF(AND(E991="",OR(C1001:C1025="FST",C1001:C1025="REV T",C1001:C1025="DBL REV",C1001:C1025="TPL REV", C1001:C1025="QD REV")),"Non-FlexNap cables cannot have tethers","---")</f>
        <v>---</v>
      </c>
      <c r="N998" s="287"/>
      <c r="O998" s="287"/>
      <c r="P998" s="287"/>
      <c r="Q998" s="287"/>
      <c r="R998" s="287"/>
      <c r="S998" s="287"/>
      <c r="T998" s="287"/>
      <c r="U998" s="288"/>
      <c r="V998" s="25"/>
      <c r="W998" s="58"/>
      <c r="X998" s="58"/>
      <c r="Y998" s="25"/>
      <c r="Z998" s="45">
        <v>6</v>
      </c>
      <c r="AA998" s="65">
        <v>61</v>
      </c>
      <c r="AB998" s="65">
        <v>72</v>
      </c>
      <c r="AC998" s="25"/>
      <c r="AD998" s="25"/>
      <c r="BA998" s="226"/>
    </row>
    <row r="999" spans="1:53" ht="15.75" customHeight="1" thickBot="1" x14ac:dyDescent="0.35">
      <c r="A999" s="88"/>
      <c r="B999" s="321" t="s">
        <v>267</v>
      </c>
      <c r="C999" s="293" t="s">
        <v>268</v>
      </c>
      <c r="D999" s="293" t="s">
        <v>269</v>
      </c>
      <c r="E999" s="306" t="s">
        <v>270</v>
      </c>
      <c r="F999" s="293" t="s">
        <v>271</v>
      </c>
      <c r="G999" s="308" t="s">
        <v>272</v>
      </c>
      <c r="H999" s="308" t="s">
        <v>273</v>
      </c>
      <c r="I999" s="308" t="s">
        <v>274</v>
      </c>
      <c r="J999" s="310" t="s">
        <v>275</v>
      </c>
      <c r="K999" s="293" t="s">
        <v>276</v>
      </c>
      <c r="L999" s="280" t="s">
        <v>277</v>
      </c>
      <c r="M999" s="282" t="s">
        <v>278</v>
      </c>
      <c r="N999" s="282"/>
      <c r="O999" s="282"/>
      <c r="P999" s="282"/>
      <c r="Q999" s="282"/>
      <c r="R999" s="282"/>
      <c r="S999" s="282"/>
      <c r="T999" s="282"/>
      <c r="U999" s="283"/>
      <c r="V999" s="107"/>
      <c r="W999" s="72"/>
      <c r="X999" s="72"/>
      <c r="Y999" s="72"/>
      <c r="Z999" s="45">
        <v>7</v>
      </c>
      <c r="AA999" s="65">
        <v>73</v>
      </c>
      <c r="AB999" s="65">
        <v>84</v>
      </c>
      <c r="AC999" s="25"/>
      <c r="AD999" s="25"/>
      <c r="BA999" s="228"/>
    </row>
    <row r="1000" spans="1:53" ht="15" thickBot="1" x14ac:dyDescent="0.35">
      <c r="A1000" s="88"/>
      <c r="B1000" s="322"/>
      <c r="C1000" s="294"/>
      <c r="D1000" s="294"/>
      <c r="E1000" s="307"/>
      <c r="F1000" s="294"/>
      <c r="G1000" s="309"/>
      <c r="H1000" s="309"/>
      <c r="I1000" s="309"/>
      <c r="J1000" s="311"/>
      <c r="K1000" s="294"/>
      <c r="L1000" s="281"/>
      <c r="M1000" s="284"/>
      <c r="N1000" s="284"/>
      <c r="O1000" s="284"/>
      <c r="P1000" s="284"/>
      <c r="Q1000" s="284"/>
      <c r="R1000" s="284"/>
      <c r="S1000" s="284"/>
      <c r="T1000" s="284"/>
      <c r="U1000" s="285"/>
      <c r="V1000" s="107"/>
      <c r="W1000" s="72"/>
      <c r="X1000" s="72"/>
      <c r="Y1000" s="72"/>
      <c r="Z1000" s="45">
        <v>8</v>
      </c>
      <c r="AA1000" s="46">
        <v>85</v>
      </c>
      <c r="AB1000" s="46">
        <v>96</v>
      </c>
      <c r="AC1000" s="25"/>
      <c r="AD1000" s="25"/>
      <c r="AI1000" s="109" t="s">
        <v>279</v>
      </c>
      <c r="AJ1000" s="109" t="s">
        <v>280</v>
      </c>
      <c r="AK1000" s="109" t="s">
        <v>281</v>
      </c>
      <c r="AL1000" s="109" t="s">
        <v>282</v>
      </c>
      <c r="BA1000" s="228"/>
    </row>
    <row r="1001" spans="1:53" ht="15" thickBot="1" x14ac:dyDescent="0.35">
      <c r="A1001" s="88"/>
      <c r="B1001" s="66" t="s">
        <v>283</v>
      </c>
      <c r="C1001" s="67"/>
      <c r="D1001" s="102"/>
      <c r="E1001" s="32"/>
      <c r="F1001" s="32"/>
      <c r="G1001" s="68" t="s">
        <v>285</v>
      </c>
      <c r="H1001" s="69">
        <f>IF(I1001=0,0,I1001-(E1001-1))</f>
        <v>0</v>
      </c>
      <c r="I1001" s="70">
        <f>IF(E1001=0,0,I996)</f>
        <v>0</v>
      </c>
      <c r="J1001" s="71" t="s">
        <v>286</v>
      </c>
      <c r="K1001" s="32"/>
      <c r="L1001" s="233"/>
      <c r="M1001" s="278"/>
      <c r="N1001" s="278"/>
      <c r="O1001" s="278"/>
      <c r="P1001" s="278"/>
      <c r="Q1001" s="278"/>
      <c r="R1001" s="278"/>
      <c r="S1001" s="278"/>
      <c r="T1001" s="278"/>
      <c r="U1001" s="279"/>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 thickBot="1" x14ac:dyDescent="0.35">
      <c r="A1002" s="88"/>
      <c r="B1002" s="66" t="s">
        <v>288</v>
      </c>
      <c r="C1002" s="67"/>
      <c r="D1002" s="102"/>
      <c r="E1002" s="32"/>
      <c r="F1002" s="32"/>
      <c r="G1002" s="68" t="s">
        <v>285</v>
      </c>
      <c r="H1002" s="69">
        <f t="shared" ref="H1002:H1025" si="417">IF(E1002=0,0,I1002-(E1002-1))</f>
        <v>0</v>
      </c>
      <c r="I1002" s="70">
        <f t="shared" ref="I1002:I1025" si="418">IF(E1002=0,0,H1001-1)</f>
        <v>0</v>
      </c>
      <c r="J1002" s="73" t="str">
        <f>IF(C1002="","--",IF(AND(C1002&lt;&gt;"FST",C1002&lt;&gt;"TCF",BA1001&lt;&gt;0),BA1001,"--"))</f>
        <v>--</v>
      </c>
      <c r="K1002" s="32"/>
      <c r="L1002" s="233"/>
      <c r="M1002" s="278"/>
      <c r="N1002" s="278"/>
      <c r="O1002" s="278"/>
      <c r="P1002" s="278"/>
      <c r="Q1002" s="278"/>
      <c r="R1002" s="278"/>
      <c r="S1002" s="278"/>
      <c r="T1002" s="278"/>
      <c r="U1002" s="279"/>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 thickBot="1" x14ac:dyDescent="0.35">
      <c r="A1003" s="88"/>
      <c r="B1003" s="74" t="s">
        <v>290</v>
      </c>
      <c r="C1003" s="67"/>
      <c r="D1003" s="102"/>
      <c r="E1003" s="32"/>
      <c r="F1003" s="32"/>
      <c r="G1003" s="75" t="s">
        <v>285</v>
      </c>
      <c r="H1003" s="69">
        <f t="shared" si="417"/>
        <v>0</v>
      </c>
      <c r="I1003" s="70">
        <f t="shared" si="418"/>
        <v>0</v>
      </c>
      <c r="J1003" s="73" t="str">
        <f t="shared" ref="J1003:J1025" si="419">IF(C1003="","--",IF(AND(C1003&lt;&gt;"FST",C1003&lt;&gt;"TCF",BA1002&lt;&gt;0),BA1002,"--"))</f>
        <v>--</v>
      </c>
      <c r="K1003" s="32"/>
      <c r="L1003" s="233"/>
      <c r="M1003" s="278"/>
      <c r="N1003" s="278"/>
      <c r="O1003" s="278"/>
      <c r="P1003" s="278"/>
      <c r="Q1003" s="278"/>
      <c r="R1003" s="278"/>
      <c r="S1003" s="278"/>
      <c r="T1003" s="278"/>
      <c r="U1003" s="27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 thickBot="1" x14ac:dyDescent="0.35">
      <c r="A1004" s="88"/>
      <c r="B1004" s="66" t="s">
        <v>292</v>
      </c>
      <c r="C1004" s="67"/>
      <c r="D1004" s="102"/>
      <c r="E1004" s="32"/>
      <c r="F1004" s="32"/>
      <c r="G1004" s="68" t="s">
        <v>285</v>
      </c>
      <c r="H1004" s="69">
        <f t="shared" si="417"/>
        <v>0</v>
      </c>
      <c r="I1004" s="70">
        <f t="shared" si="418"/>
        <v>0</v>
      </c>
      <c r="J1004" s="73" t="str">
        <f t="shared" si="419"/>
        <v>--</v>
      </c>
      <c r="K1004" s="32"/>
      <c r="L1004" s="233"/>
      <c r="M1004" s="278"/>
      <c r="N1004" s="278"/>
      <c r="O1004" s="278"/>
      <c r="P1004" s="278"/>
      <c r="Q1004" s="278"/>
      <c r="R1004" s="278"/>
      <c r="S1004" s="278"/>
      <c r="T1004" s="278"/>
      <c r="U1004" s="27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 thickBot="1" x14ac:dyDescent="0.35">
      <c r="A1005" s="88"/>
      <c r="B1005" s="66" t="s">
        <v>293</v>
      </c>
      <c r="C1005" s="67"/>
      <c r="D1005" s="102"/>
      <c r="E1005" s="32"/>
      <c r="F1005" s="32"/>
      <c r="G1005" s="68" t="s">
        <v>285</v>
      </c>
      <c r="H1005" s="69">
        <f t="shared" si="417"/>
        <v>0</v>
      </c>
      <c r="I1005" s="70">
        <f t="shared" si="418"/>
        <v>0</v>
      </c>
      <c r="J1005" s="73" t="str">
        <f t="shared" si="419"/>
        <v>--</v>
      </c>
      <c r="K1005" s="32"/>
      <c r="L1005" s="233"/>
      <c r="M1005" s="278"/>
      <c r="N1005" s="278"/>
      <c r="O1005" s="278"/>
      <c r="P1005" s="278"/>
      <c r="Q1005" s="278"/>
      <c r="R1005" s="278"/>
      <c r="S1005" s="278"/>
      <c r="T1005" s="278"/>
      <c r="U1005" s="27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 thickBot="1" x14ac:dyDescent="0.35">
      <c r="A1006" s="88"/>
      <c r="B1006" s="66" t="s">
        <v>294</v>
      </c>
      <c r="C1006" s="67"/>
      <c r="D1006" s="102"/>
      <c r="E1006" s="32"/>
      <c r="F1006" s="32"/>
      <c r="G1006" s="68" t="s">
        <v>285</v>
      </c>
      <c r="H1006" s="69">
        <f t="shared" si="417"/>
        <v>0</v>
      </c>
      <c r="I1006" s="70">
        <f t="shared" si="418"/>
        <v>0</v>
      </c>
      <c r="J1006" s="73" t="str">
        <f t="shared" si="419"/>
        <v>--</v>
      </c>
      <c r="K1006" s="32"/>
      <c r="L1006" s="233"/>
      <c r="M1006" s="278"/>
      <c r="N1006" s="278"/>
      <c r="O1006" s="278"/>
      <c r="P1006" s="278"/>
      <c r="Q1006" s="278"/>
      <c r="R1006" s="278"/>
      <c r="S1006" s="278"/>
      <c r="T1006" s="278"/>
      <c r="U1006" s="27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 thickBot="1" x14ac:dyDescent="0.35">
      <c r="A1007" s="88"/>
      <c r="B1007" s="66" t="s">
        <v>295</v>
      </c>
      <c r="C1007" s="67"/>
      <c r="D1007" s="102"/>
      <c r="E1007" s="32"/>
      <c r="F1007" s="32"/>
      <c r="G1007" s="68" t="s">
        <v>285</v>
      </c>
      <c r="H1007" s="69">
        <f t="shared" si="417"/>
        <v>0</v>
      </c>
      <c r="I1007" s="70">
        <f t="shared" si="418"/>
        <v>0</v>
      </c>
      <c r="J1007" s="73" t="str">
        <f t="shared" si="419"/>
        <v>--</v>
      </c>
      <c r="K1007" s="32"/>
      <c r="L1007" s="233"/>
      <c r="M1007" s="278"/>
      <c r="N1007" s="278"/>
      <c r="O1007" s="278"/>
      <c r="P1007" s="278"/>
      <c r="Q1007" s="278"/>
      <c r="R1007" s="278"/>
      <c r="S1007" s="278"/>
      <c r="T1007" s="278"/>
      <c r="U1007" s="27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 thickBot="1" x14ac:dyDescent="0.35">
      <c r="A1008" s="88"/>
      <c r="B1008" s="66" t="s">
        <v>296</v>
      </c>
      <c r="C1008" s="67"/>
      <c r="D1008" s="102"/>
      <c r="E1008" s="32"/>
      <c r="F1008" s="32"/>
      <c r="G1008" s="68" t="s">
        <v>285</v>
      </c>
      <c r="H1008" s="69">
        <f t="shared" si="417"/>
        <v>0</v>
      </c>
      <c r="I1008" s="70">
        <f t="shared" si="418"/>
        <v>0</v>
      </c>
      <c r="J1008" s="73" t="str">
        <f t="shared" si="419"/>
        <v>--</v>
      </c>
      <c r="K1008" s="32"/>
      <c r="L1008" s="233"/>
      <c r="M1008" s="278"/>
      <c r="N1008" s="278"/>
      <c r="O1008" s="278"/>
      <c r="P1008" s="278"/>
      <c r="Q1008" s="278"/>
      <c r="R1008" s="278"/>
      <c r="S1008" s="278"/>
      <c r="T1008" s="278"/>
      <c r="U1008" s="27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 thickBot="1" x14ac:dyDescent="0.35">
      <c r="A1009" s="88"/>
      <c r="B1009" s="66" t="s">
        <v>297</v>
      </c>
      <c r="C1009" s="67"/>
      <c r="D1009" s="102"/>
      <c r="E1009" s="32"/>
      <c r="F1009" s="32"/>
      <c r="G1009" s="68" t="s">
        <v>285</v>
      </c>
      <c r="H1009" s="69">
        <f t="shared" si="417"/>
        <v>0</v>
      </c>
      <c r="I1009" s="70">
        <f t="shared" si="418"/>
        <v>0</v>
      </c>
      <c r="J1009" s="73" t="str">
        <f t="shared" si="419"/>
        <v>--</v>
      </c>
      <c r="K1009" s="32"/>
      <c r="L1009" s="233"/>
      <c r="M1009" s="278"/>
      <c r="N1009" s="278"/>
      <c r="O1009" s="278"/>
      <c r="P1009" s="278"/>
      <c r="Q1009" s="278"/>
      <c r="R1009" s="278"/>
      <c r="S1009" s="278"/>
      <c r="T1009" s="278"/>
      <c r="U1009" s="27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 thickBot="1" x14ac:dyDescent="0.35">
      <c r="A1010" s="88"/>
      <c r="B1010" s="66" t="s">
        <v>298</v>
      </c>
      <c r="C1010" s="67"/>
      <c r="D1010" s="102"/>
      <c r="E1010" s="32"/>
      <c r="F1010" s="32"/>
      <c r="G1010" s="68" t="s">
        <v>285</v>
      </c>
      <c r="H1010" s="69">
        <f t="shared" si="417"/>
        <v>0</v>
      </c>
      <c r="I1010" s="70">
        <f t="shared" si="418"/>
        <v>0</v>
      </c>
      <c r="J1010" s="73" t="str">
        <f t="shared" si="419"/>
        <v>--</v>
      </c>
      <c r="K1010" s="32"/>
      <c r="L1010" s="233"/>
      <c r="M1010" s="278"/>
      <c r="N1010" s="278"/>
      <c r="O1010" s="278"/>
      <c r="P1010" s="278"/>
      <c r="Q1010" s="278"/>
      <c r="R1010" s="278"/>
      <c r="S1010" s="278"/>
      <c r="T1010" s="278"/>
      <c r="U1010" s="27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 thickBot="1" x14ac:dyDescent="0.35">
      <c r="A1011" s="88"/>
      <c r="B1011" s="66" t="s">
        <v>299</v>
      </c>
      <c r="C1011" s="67"/>
      <c r="D1011" s="102"/>
      <c r="E1011" s="32"/>
      <c r="F1011" s="32"/>
      <c r="G1011" s="68" t="s">
        <v>285</v>
      </c>
      <c r="H1011" s="69">
        <f t="shared" si="417"/>
        <v>0</v>
      </c>
      <c r="I1011" s="70">
        <f t="shared" si="418"/>
        <v>0</v>
      </c>
      <c r="J1011" s="73" t="str">
        <f t="shared" si="419"/>
        <v>--</v>
      </c>
      <c r="K1011" s="32"/>
      <c r="L1011" s="233"/>
      <c r="M1011" s="278"/>
      <c r="N1011" s="278"/>
      <c r="O1011" s="278"/>
      <c r="P1011" s="278"/>
      <c r="Q1011" s="278"/>
      <c r="R1011" s="278"/>
      <c r="S1011" s="278"/>
      <c r="T1011" s="278"/>
      <c r="U1011" s="27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 thickBot="1" x14ac:dyDescent="0.35">
      <c r="A1012" s="88"/>
      <c r="B1012" s="66" t="s">
        <v>300</v>
      </c>
      <c r="C1012" s="67"/>
      <c r="D1012" s="102"/>
      <c r="E1012" s="32"/>
      <c r="F1012" s="32"/>
      <c r="G1012" s="68" t="s">
        <v>285</v>
      </c>
      <c r="H1012" s="69">
        <f t="shared" si="417"/>
        <v>0</v>
      </c>
      <c r="I1012" s="70">
        <f t="shared" si="418"/>
        <v>0</v>
      </c>
      <c r="J1012" s="73" t="str">
        <f t="shared" si="419"/>
        <v>--</v>
      </c>
      <c r="K1012" s="32"/>
      <c r="L1012" s="233"/>
      <c r="M1012" s="278"/>
      <c r="N1012" s="278"/>
      <c r="O1012" s="278"/>
      <c r="P1012" s="278"/>
      <c r="Q1012" s="278"/>
      <c r="R1012" s="278"/>
      <c r="S1012" s="278"/>
      <c r="T1012" s="278"/>
      <c r="U1012" s="279"/>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 thickBot="1" x14ac:dyDescent="0.35">
      <c r="A1013" s="88"/>
      <c r="B1013" s="66" t="s">
        <v>301</v>
      </c>
      <c r="C1013" s="67"/>
      <c r="D1013" s="102"/>
      <c r="E1013" s="32"/>
      <c r="F1013" s="32"/>
      <c r="G1013" s="68" t="s">
        <v>285</v>
      </c>
      <c r="H1013" s="69">
        <f t="shared" si="417"/>
        <v>0</v>
      </c>
      <c r="I1013" s="70">
        <f t="shared" si="418"/>
        <v>0</v>
      </c>
      <c r="J1013" s="73" t="str">
        <f t="shared" si="419"/>
        <v>--</v>
      </c>
      <c r="K1013" s="32"/>
      <c r="L1013" s="233"/>
      <c r="M1013" s="278"/>
      <c r="N1013" s="278"/>
      <c r="O1013" s="278"/>
      <c r="P1013" s="278"/>
      <c r="Q1013" s="278"/>
      <c r="R1013" s="278"/>
      <c r="S1013" s="278"/>
      <c r="T1013" s="278"/>
      <c r="U1013" s="279"/>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 thickBot="1" x14ac:dyDescent="0.35">
      <c r="A1014" s="88"/>
      <c r="B1014" s="66" t="s">
        <v>302</v>
      </c>
      <c r="C1014" s="67"/>
      <c r="D1014" s="102"/>
      <c r="E1014" s="32"/>
      <c r="F1014" s="32"/>
      <c r="G1014" s="68" t="s">
        <v>285</v>
      </c>
      <c r="H1014" s="69">
        <f t="shared" si="417"/>
        <v>0</v>
      </c>
      <c r="I1014" s="70">
        <f t="shared" si="418"/>
        <v>0</v>
      </c>
      <c r="J1014" s="73" t="str">
        <f t="shared" si="419"/>
        <v>--</v>
      </c>
      <c r="K1014" s="32"/>
      <c r="L1014" s="233"/>
      <c r="M1014" s="278"/>
      <c r="N1014" s="278"/>
      <c r="O1014" s="278"/>
      <c r="P1014" s="278"/>
      <c r="Q1014" s="278"/>
      <c r="R1014" s="278"/>
      <c r="S1014" s="278"/>
      <c r="T1014" s="278"/>
      <c r="U1014" s="279"/>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 thickBot="1" x14ac:dyDescent="0.35">
      <c r="A1015" s="88"/>
      <c r="B1015" s="66" t="s">
        <v>303</v>
      </c>
      <c r="C1015" s="67"/>
      <c r="D1015" s="102"/>
      <c r="E1015" s="32"/>
      <c r="F1015" s="32"/>
      <c r="G1015" s="68" t="s">
        <v>285</v>
      </c>
      <c r="H1015" s="69">
        <f t="shared" si="417"/>
        <v>0</v>
      </c>
      <c r="I1015" s="70">
        <f t="shared" si="418"/>
        <v>0</v>
      </c>
      <c r="J1015" s="73" t="str">
        <f t="shared" si="419"/>
        <v>--</v>
      </c>
      <c r="K1015" s="32"/>
      <c r="L1015" s="233"/>
      <c r="M1015" s="278"/>
      <c r="N1015" s="278"/>
      <c r="O1015" s="278"/>
      <c r="P1015" s="278"/>
      <c r="Q1015" s="278"/>
      <c r="R1015" s="278"/>
      <c r="S1015" s="278"/>
      <c r="T1015" s="278"/>
      <c r="U1015" s="279"/>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 thickBot="1" x14ac:dyDescent="0.35">
      <c r="A1016" s="88"/>
      <c r="B1016" s="66" t="s">
        <v>304</v>
      </c>
      <c r="C1016" s="67"/>
      <c r="D1016" s="102"/>
      <c r="E1016" s="32"/>
      <c r="F1016" s="32"/>
      <c r="G1016" s="68" t="s">
        <v>285</v>
      </c>
      <c r="H1016" s="69">
        <f t="shared" si="417"/>
        <v>0</v>
      </c>
      <c r="I1016" s="70">
        <f t="shared" si="418"/>
        <v>0</v>
      </c>
      <c r="J1016" s="73" t="str">
        <f t="shared" si="419"/>
        <v>--</v>
      </c>
      <c r="K1016" s="32"/>
      <c r="L1016" s="233"/>
      <c r="M1016" s="278"/>
      <c r="N1016" s="278"/>
      <c r="O1016" s="278"/>
      <c r="P1016" s="278"/>
      <c r="Q1016" s="278"/>
      <c r="R1016" s="278"/>
      <c r="S1016" s="278"/>
      <c r="T1016" s="278"/>
      <c r="U1016" s="279"/>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 thickBot="1" x14ac:dyDescent="0.35">
      <c r="A1017" s="88"/>
      <c r="B1017" s="66" t="s">
        <v>305</v>
      </c>
      <c r="C1017" s="67"/>
      <c r="D1017" s="102"/>
      <c r="E1017" s="32"/>
      <c r="F1017" s="32"/>
      <c r="G1017" s="68" t="s">
        <v>285</v>
      </c>
      <c r="H1017" s="69">
        <f t="shared" si="417"/>
        <v>0</v>
      </c>
      <c r="I1017" s="70">
        <f t="shared" si="418"/>
        <v>0</v>
      </c>
      <c r="J1017" s="73" t="str">
        <f t="shared" si="419"/>
        <v>--</v>
      </c>
      <c r="K1017" s="32"/>
      <c r="L1017" s="233"/>
      <c r="M1017" s="278"/>
      <c r="N1017" s="278"/>
      <c r="O1017" s="278"/>
      <c r="P1017" s="278"/>
      <c r="Q1017" s="278"/>
      <c r="R1017" s="278"/>
      <c r="S1017" s="278"/>
      <c r="T1017" s="278"/>
      <c r="U1017" s="279"/>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 thickBot="1" x14ac:dyDescent="0.35">
      <c r="A1018" s="88"/>
      <c r="B1018" s="66" t="s">
        <v>306</v>
      </c>
      <c r="C1018" s="67"/>
      <c r="D1018" s="102"/>
      <c r="E1018" s="32"/>
      <c r="F1018" s="32"/>
      <c r="G1018" s="68" t="s">
        <v>285</v>
      </c>
      <c r="H1018" s="69">
        <f t="shared" si="417"/>
        <v>0</v>
      </c>
      <c r="I1018" s="70">
        <f t="shared" si="418"/>
        <v>0</v>
      </c>
      <c r="J1018" s="73" t="str">
        <f t="shared" si="419"/>
        <v>--</v>
      </c>
      <c r="K1018" s="32"/>
      <c r="L1018" s="233"/>
      <c r="M1018" s="278"/>
      <c r="N1018" s="278"/>
      <c r="O1018" s="278"/>
      <c r="P1018" s="278"/>
      <c r="Q1018" s="278"/>
      <c r="R1018" s="278"/>
      <c r="S1018" s="278"/>
      <c r="T1018" s="278"/>
      <c r="U1018" s="279"/>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 thickBot="1" x14ac:dyDescent="0.35">
      <c r="A1019" s="88"/>
      <c r="B1019" s="66" t="s">
        <v>307</v>
      </c>
      <c r="C1019" s="67"/>
      <c r="D1019" s="102"/>
      <c r="E1019" s="32"/>
      <c r="F1019" s="32"/>
      <c r="G1019" s="68" t="s">
        <v>285</v>
      </c>
      <c r="H1019" s="69">
        <f t="shared" si="417"/>
        <v>0</v>
      </c>
      <c r="I1019" s="70">
        <f t="shared" si="418"/>
        <v>0</v>
      </c>
      <c r="J1019" s="73" t="str">
        <f t="shared" si="419"/>
        <v>--</v>
      </c>
      <c r="K1019" s="32"/>
      <c r="L1019" s="233"/>
      <c r="M1019" s="278"/>
      <c r="N1019" s="278"/>
      <c r="O1019" s="278"/>
      <c r="P1019" s="278"/>
      <c r="Q1019" s="278"/>
      <c r="R1019" s="278"/>
      <c r="S1019" s="278"/>
      <c r="T1019" s="278"/>
      <c r="U1019" s="279"/>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 thickBot="1" x14ac:dyDescent="0.35">
      <c r="A1020" s="88"/>
      <c r="B1020" s="66" t="s">
        <v>308</v>
      </c>
      <c r="C1020" s="67"/>
      <c r="D1020" s="102"/>
      <c r="E1020" s="32"/>
      <c r="F1020" s="32"/>
      <c r="G1020" s="68" t="s">
        <v>285</v>
      </c>
      <c r="H1020" s="69">
        <f t="shared" si="417"/>
        <v>0</v>
      </c>
      <c r="I1020" s="70">
        <f t="shared" si="418"/>
        <v>0</v>
      </c>
      <c r="J1020" s="73" t="str">
        <f t="shared" si="419"/>
        <v>--</v>
      </c>
      <c r="K1020" s="32"/>
      <c r="L1020" s="233"/>
      <c r="M1020" s="278"/>
      <c r="N1020" s="278"/>
      <c r="O1020" s="278"/>
      <c r="P1020" s="278"/>
      <c r="Q1020" s="278"/>
      <c r="R1020" s="278"/>
      <c r="S1020" s="278"/>
      <c r="T1020" s="278"/>
      <c r="U1020" s="279"/>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 thickBot="1" x14ac:dyDescent="0.35">
      <c r="A1021" s="88"/>
      <c r="B1021" s="66" t="s">
        <v>309</v>
      </c>
      <c r="C1021" s="67"/>
      <c r="D1021" s="102"/>
      <c r="E1021" s="32"/>
      <c r="F1021" s="32"/>
      <c r="G1021" s="68" t="s">
        <v>285</v>
      </c>
      <c r="H1021" s="69">
        <f t="shared" si="417"/>
        <v>0</v>
      </c>
      <c r="I1021" s="70">
        <f t="shared" si="418"/>
        <v>0</v>
      </c>
      <c r="J1021" s="73" t="str">
        <f t="shared" si="419"/>
        <v>--</v>
      </c>
      <c r="K1021" s="32"/>
      <c r="L1021" s="233"/>
      <c r="M1021" s="278"/>
      <c r="N1021" s="278"/>
      <c r="O1021" s="278"/>
      <c r="P1021" s="278"/>
      <c r="Q1021" s="278"/>
      <c r="R1021" s="278"/>
      <c r="S1021" s="278"/>
      <c r="T1021" s="278"/>
      <c r="U1021" s="279"/>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 thickBot="1" x14ac:dyDescent="0.35">
      <c r="A1022" s="88"/>
      <c r="B1022" s="66" t="s">
        <v>310</v>
      </c>
      <c r="C1022" s="67"/>
      <c r="D1022" s="102"/>
      <c r="E1022" s="32"/>
      <c r="F1022" s="32"/>
      <c r="G1022" s="68" t="s">
        <v>285</v>
      </c>
      <c r="H1022" s="69">
        <f t="shared" si="417"/>
        <v>0</v>
      </c>
      <c r="I1022" s="70">
        <f t="shared" si="418"/>
        <v>0</v>
      </c>
      <c r="J1022" s="73" t="str">
        <f t="shared" si="419"/>
        <v>--</v>
      </c>
      <c r="K1022" s="32"/>
      <c r="L1022" s="233"/>
      <c r="M1022" s="278"/>
      <c r="N1022" s="278"/>
      <c r="O1022" s="278"/>
      <c r="P1022" s="278"/>
      <c r="Q1022" s="278"/>
      <c r="R1022" s="278"/>
      <c r="S1022" s="278"/>
      <c r="T1022" s="278"/>
      <c r="U1022" s="279"/>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 thickBot="1" x14ac:dyDescent="0.35">
      <c r="A1023" s="88"/>
      <c r="B1023" s="66" t="s">
        <v>311</v>
      </c>
      <c r="C1023" s="67"/>
      <c r="D1023" s="102"/>
      <c r="E1023" s="32"/>
      <c r="F1023" s="32"/>
      <c r="G1023" s="68" t="s">
        <v>285</v>
      </c>
      <c r="H1023" s="69">
        <f t="shared" si="417"/>
        <v>0</v>
      </c>
      <c r="I1023" s="70">
        <f t="shared" si="418"/>
        <v>0</v>
      </c>
      <c r="J1023" s="73" t="str">
        <f t="shared" si="419"/>
        <v>--</v>
      </c>
      <c r="K1023" s="32"/>
      <c r="L1023" s="233"/>
      <c r="M1023" s="278"/>
      <c r="N1023" s="278"/>
      <c r="O1023" s="278"/>
      <c r="P1023" s="278"/>
      <c r="Q1023" s="278"/>
      <c r="R1023" s="278"/>
      <c r="S1023" s="278"/>
      <c r="T1023" s="278"/>
      <c r="U1023" s="279"/>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 thickBot="1" x14ac:dyDescent="0.35">
      <c r="A1024" s="88"/>
      <c r="B1024" s="66" t="s">
        <v>312</v>
      </c>
      <c r="C1024" s="67"/>
      <c r="D1024" s="102"/>
      <c r="E1024" s="32"/>
      <c r="F1024" s="32"/>
      <c r="G1024" s="68" t="s">
        <v>285</v>
      </c>
      <c r="H1024" s="69">
        <f t="shared" si="417"/>
        <v>0</v>
      </c>
      <c r="I1024" s="70">
        <f t="shared" si="418"/>
        <v>0</v>
      </c>
      <c r="J1024" s="73" t="str">
        <f t="shared" si="419"/>
        <v>--</v>
      </c>
      <c r="K1024" s="32"/>
      <c r="L1024" s="233"/>
      <c r="M1024" s="278"/>
      <c r="N1024" s="278"/>
      <c r="O1024" s="278"/>
      <c r="P1024" s="278"/>
      <c r="Q1024" s="278"/>
      <c r="R1024" s="278"/>
      <c r="S1024" s="278"/>
      <c r="T1024" s="278"/>
      <c r="U1024" s="279"/>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 thickBot="1" x14ac:dyDescent="0.35">
      <c r="A1025" s="88"/>
      <c r="B1025" s="66" t="s">
        <v>313</v>
      </c>
      <c r="C1025" s="67"/>
      <c r="D1025" s="102"/>
      <c r="E1025" s="32"/>
      <c r="F1025" s="32"/>
      <c r="G1025" s="68" t="s">
        <v>285</v>
      </c>
      <c r="H1025" s="69">
        <f t="shared" si="417"/>
        <v>0</v>
      </c>
      <c r="I1025" s="70">
        <f t="shared" si="418"/>
        <v>0</v>
      </c>
      <c r="J1025" s="73" t="str">
        <f t="shared" si="419"/>
        <v>--</v>
      </c>
      <c r="K1025" s="32"/>
      <c r="L1025" s="234"/>
      <c r="M1025" s="278"/>
      <c r="N1025" s="278"/>
      <c r="O1025" s="278"/>
      <c r="P1025" s="278"/>
      <c r="Q1025" s="278"/>
      <c r="R1025" s="278"/>
      <c r="S1025" s="278"/>
      <c r="T1025" s="278"/>
      <c r="U1025" s="279"/>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2" thickBot="1" x14ac:dyDescent="0.35">
      <c r="A1026" s="88"/>
      <c r="B1026" s="319" t="s">
        <v>424</v>
      </c>
      <c r="C1026" s="320"/>
      <c r="D1026" s="79"/>
      <c r="E1026" s="80"/>
      <c r="F1026" s="80"/>
      <c r="G1026" s="81"/>
      <c r="H1026" s="192"/>
      <c r="I1026" s="192"/>
      <c r="J1026" s="192"/>
      <c r="K1026" s="82"/>
      <c r="L1026" s="319" t="s">
        <v>319</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2" thickBot="1" x14ac:dyDescent="0.35">
      <c r="A1027" s="88"/>
      <c r="B1027" s="319" t="s">
        <v>320</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3">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 thickBot="1" x14ac:dyDescent="0.35">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5">
      <c r="A1030" s="88"/>
      <c r="B1030" s="85" t="s">
        <v>425</v>
      </c>
      <c r="C1030" s="25"/>
      <c r="D1030" s="25"/>
      <c r="E1030" s="25"/>
      <c r="F1030" s="88"/>
      <c r="G1030" s="25"/>
      <c r="H1030" s="25"/>
      <c r="I1030" s="87"/>
      <c r="J1030" s="26"/>
      <c r="K1030" s="25"/>
      <c r="L1030" s="25"/>
      <c r="M1030" s="196" t="s">
        <v>217</v>
      </c>
      <c r="N1030" s="196" t="s">
        <v>218</v>
      </c>
      <c r="O1030" s="196" t="s">
        <v>219</v>
      </c>
      <c r="P1030" s="196" t="s">
        <v>220</v>
      </c>
      <c r="Q1030" s="196" t="s">
        <v>221</v>
      </c>
      <c r="R1030" s="196" t="s">
        <v>222</v>
      </c>
      <c r="S1030" s="196" t="s">
        <v>223</v>
      </c>
      <c r="T1030" s="196" t="s">
        <v>224</v>
      </c>
      <c r="U1030" s="196" t="s">
        <v>225</v>
      </c>
      <c r="V1030" s="196" t="s">
        <v>226</v>
      </c>
      <c r="W1030" s="113" t="s">
        <v>227</v>
      </c>
      <c r="X1030" s="196" t="s">
        <v>228</v>
      </c>
      <c r="Y1030" s="25"/>
      <c r="Z1030" s="25"/>
      <c r="AA1030" s="25"/>
      <c r="AB1030" s="25"/>
      <c r="AC1030" s="25"/>
      <c r="AD1030" s="25"/>
      <c r="BA1030" s="226"/>
    </row>
    <row r="1031" spans="1:53" ht="15.6" thickTop="1" thickBot="1" x14ac:dyDescent="0.35">
      <c r="A1031" s="88"/>
      <c r="B1031" s="312" t="s">
        <v>229</v>
      </c>
      <c r="C1031" s="313"/>
      <c r="D1031" s="314" t="s">
        <v>230</v>
      </c>
      <c r="E1031" s="305"/>
      <c r="F1031" s="88"/>
      <c r="G1031" s="315" t="s">
        <v>231</v>
      </c>
      <c r="H1031" s="316"/>
      <c r="I1031" s="28">
        <f>SUM(E1042:E1066)</f>
        <v>0</v>
      </c>
      <c r="J1031" s="317" t="s">
        <v>232</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233</v>
      </c>
      <c r="AA1031" s="296"/>
      <c r="AB1031" s="297"/>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234</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5">
      <c r="A1032" s="88"/>
      <c r="B1032" s="29" t="s">
        <v>235</v>
      </c>
      <c r="C1032" s="30">
        <v>0</v>
      </c>
      <c r="D1032" s="31" t="s">
        <v>236</v>
      </c>
      <c r="E1032" s="66" t="str">
        <f>TEXT(IF('Cable Calculator'!DY7="","",'Cable Calculator'!DY7),)</f>
        <v/>
      </c>
      <c r="F1032" s="88"/>
      <c r="G1032" s="304" t="s">
        <v>237</v>
      </c>
      <c r="H1032" s="305"/>
      <c r="I1032" s="33">
        <f>E1033-I1031</f>
        <v>0</v>
      </c>
      <c r="J1032" s="289" t="s">
        <v>238</v>
      </c>
      <c r="K1032" s="290"/>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239</v>
      </c>
      <c r="AA1032" s="300" t="s">
        <v>240</v>
      </c>
      <c r="AB1032" s="301"/>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241</v>
      </c>
      <c r="AU1032" s="109">
        <f>COUNTIFS($E1032,"SS",$AS1032,"Y")</f>
        <v>0</v>
      </c>
      <c r="AV1032" s="111">
        <f>COUNTIFS($E1032,"RPX",$AS1032,"Y")</f>
        <v>0</v>
      </c>
      <c r="AW1032" s="111">
        <f>COUNTIFS($E1032,"EUC",$AS1032,"Y")</f>
        <v>0</v>
      </c>
      <c r="AX1032" s="109">
        <f>COUNTIFS($E1032,"RPX-T",$AS1032,"Y")</f>
        <v>0</v>
      </c>
      <c r="BA1032" s="227"/>
    </row>
    <row r="1033" spans="1:53" ht="15.6" thickTop="1" thickBot="1" x14ac:dyDescent="0.35">
      <c r="A1033" s="88"/>
      <c r="B1033" s="36" t="s">
        <v>242</v>
      </c>
      <c r="C1033" s="37">
        <v>0</v>
      </c>
      <c r="D1033" s="38" t="s">
        <v>243</v>
      </c>
      <c r="E1033" s="32"/>
      <c r="F1033" s="88"/>
      <c r="G1033" s="291" t="s">
        <v>244</v>
      </c>
      <c r="H1033" s="292"/>
      <c r="I1033" s="35">
        <f>IF(E1033=0,0,12-(MOD(I1031,12)))</f>
        <v>0</v>
      </c>
      <c r="J1033" s="289" t="s">
        <v>245</v>
      </c>
      <c r="K1033" s="290"/>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246</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5">
      <c r="A1034" s="88"/>
      <c r="B1034" s="40" t="s">
        <v>247</v>
      </c>
      <c r="C1034" s="30">
        <v>0</v>
      </c>
      <c r="D1034" s="41" t="s">
        <v>248</v>
      </c>
      <c r="E1034" s="42"/>
      <c r="F1034" s="88"/>
      <c r="G1034" s="321" t="s">
        <v>249</v>
      </c>
      <c r="H1034" s="43" t="s">
        <v>250</v>
      </c>
      <c r="I1034" s="35">
        <f>IF(E1034&lt;&gt;0,1,0)</f>
        <v>0</v>
      </c>
      <c r="J1034" s="291" t="s">
        <v>251</v>
      </c>
      <c r="K1034" s="292"/>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252</v>
      </c>
      <c r="AU1034" s="109">
        <f>COUNTIFS($E1032,"SS",$AS1034,"Y")</f>
        <v>0</v>
      </c>
      <c r="AV1034" s="108">
        <f>COUNTIFS($E1032,"RPX",$AS1034,"Y")</f>
        <v>0</v>
      </c>
      <c r="AW1034" s="108">
        <f>COUNTIFS($E1032,"EUC",$AS1034,"Y")</f>
        <v>0</v>
      </c>
      <c r="AX1034" s="109">
        <f>COUNTIFS($E1032,"RPX-T",$AS1034,"Y")</f>
        <v>0</v>
      </c>
      <c r="BA1034" s="227"/>
    </row>
    <row r="1035" spans="1:53" ht="15.6" thickTop="1" thickBot="1" x14ac:dyDescent="0.35">
      <c r="A1035" s="88"/>
      <c r="B1035" s="29" t="s">
        <v>253</v>
      </c>
      <c r="C1035" s="37">
        <v>0</v>
      </c>
      <c r="D1035" s="41" t="s">
        <v>254</v>
      </c>
      <c r="E1035" s="42"/>
      <c r="F1035" s="88"/>
      <c r="G1035" s="322"/>
      <c r="H1035" s="47" t="s">
        <v>255</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5">
      <c r="A1036" s="88"/>
      <c r="B1036" s="36" t="s">
        <v>256</v>
      </c>
      <c r="C1036" s="30">
        <v>0</v>
      </c>
      <c r="D1036" s="49" t="s">
        <v>257</v>
      </c>
      <c r="E1036" s="50">
        <f>E1033/12</f>
        <v>0</v>
      </c>
      <c r="F1036" s="88"/>
      <c r="G1036" s="321" t="s">
        <v>258</v>
      </c>
      <c r="H1036" s="51" t="s">
        <v>259</v>
      </c>
      <c r="I1036" s="112">
        <f>E1035</f>
        <v>0</v>
      </c>
      <c r="J1036" s="323" t="s">
        <v>260</v>
      </c>
      <c r="K1036" s="324"/>
      <c r="L1036" s="325"/>
      <c r="M1036" s="52" t="s">
        <v>261</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5.6" thickTop="1" thickBot="1" x14ac:dyDescent="0.35">
      <c r="A1037" s="88"/>
      <c r="B1037" s="36" t="s">
        <v>262</v>
      </c>
      <c r="C1037" s="30">
        <v>0</v>
      </c>
      <c r="D1037" s="31" t="s">
        <v>263</v>
      </c>
      <c r="E1037" s="101" t="str">
        <f>IF('Cable Calculator'!DY5="","",'Cable Calculator'!DY5)</f>
        <v/>
      </c>
      <c r="F1037" s="88"/>
      <c r="G1037" s="322"/>
      <c r="H1037" s="47" t="s">
        <v>264</v>
      </c>
      <c r="I1037" s="35" t="str">
        <f>IF(E1035="","0",IF(AND(E1032="EUC",E1033=432), I1036+(203-E1034),IF(E1035=0,0,(E1035+(E1033-E1034)-1))))</f>
        <v>0</v>
      </c>
      <c r="J1037" s="286" t="str">
        <f>IFERROR(IF(OR(E1032="EUC",E1032="SS"),"---",IF(OR(P1031,S1031),"NO 2F Tethers for RPX!",IF(OR(P1033,S1033),"NO 6F Tethers for RPX!","---"))),"---")</f>
        <v>---</v>
      </c>
      <c r="K1037" s="287"/>
      <c r="L1037" s="288"/>
      <c r="M1037" s="286" t="str">
        <f>IF(E1034&gt;60,"Dead Count &gt;60: Consider Downsize","---")</f>
        <v>---</v>
      </c>
      <c r="N1037" s="287"/>
      <c r="O1037" s="287"/>
      <c r="P1037" s="287"/>
      <c r="Q1037" s="287"/>
      <c r="R1037" s="287"/>
      <c r="S1037" s="287"/>
      <c r="T1037" s="287"/>
      <c r="U1037" s="288"/>
      <c r="V1037" s="100"/>
      <c r="W1037" s="54">
        <f>SUM(P1037:U1037)</f>
        <v>0</v>
      </c>
      <c r="X1037" s="54"/>
      <c r="Y1037" s="25"/>
      <c r="Z1037" s="45">
        <v>4</v>
      </c>
      <c r="AA1037" s="46">
        <v>37</v>
      </c>
      <c r="AB1037" s="46">
        <v>48</v>
      </c>
      <c r="AC1037" s="25"/>
      <c r="AD1037" s="25"/>
      <c r="BA1037" s="227"/>
    </row>
    <row r="1038" spans="1:53" ht="15.6" thickTop="1" thickBot="1" x14ac:dyDescent="0.35">
      <c r="A1038" s="88"/>
      <c r="B1038" s="55" t="s">
        <v>265</v>
      </c>
      <c r="C1038" s="56">
        <f>SUM(C1032:C1037)+I1031</f>
        <v>0</v>
      </c>
      <c r="D1038" s="31" t="s">
        <v>266</v>
      </c>
      <c r="E1038" s="101" t="str">
        <f>IF(AS1032="Y","DBL",IF(AS1033="Y","TRPL",IF(AS1034="Y","QUAD","")))</f>
        <v/>
      </c>
      <c r="F1038" s="88"/>
      <c r="G1038" s="192"/>
      <c r="H1038" s="57"/>
      <c r="I1038" s="192"/>
      <c r="J1038" s="286"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7"/>
      <c r="L1038" s="288"/>
      <c r="M1038" s="286" t="str">
        <f>IF(AND(OR(E1032="SS",E1032="RPX",E1032="EUC",E1032="RPX-T"),(OR(C1042="",C1042="Field SPL"))),"Cannot have FlexNap cables without tethers","---")</f>
        <v>---</v>
      </c>
      <c r="N1038" s="287"/>
      <c r="O1038" s="287"/>
      <c r="P1038" s="287"/>
      <c r="Q1038" s="287"/>
      <c r="R1038" s="287"/>
      <c r="S1038" s="287"/>
      <c r="T1038" s="287"/>
      <c r="U1038" s="288"/>
      <c r="V1038" s="25"/>
      <c r="W1038" s="58"/>
      <c r="X1038" s="58"/>
      <c r="Y1038" s="25"/>
      <c r="Z1038" s="45">
        <v>5</v>
      </c>
      <c r="AA1038" s="46">
        <v>49</v>
      </c>
      <c r="AB1038" s="46">
        <v>60</v>
      </c>
      <c r="AC1038" s="25"/>
      <c r="AD1038" s="25"/>
      <c r="BA1038" s="227"/>
    </row>
    <row r="1039" spans="1:53" ht="15.6" thickTop="1" thickBot="1" x14ac:dyDescent="0.35">
      <c r="A1039" s="88"/>
      <c r="B1039" s="59"/>
      <c r="C1039" s="60"/>
      <c r="D1039" s="61"/>
      <c r="E1039" s="62"/>
      <c r="F1039" s="88"/>
      <c r="G1039" s="63"/>
      <c r="H1039" s="64"/>
      <c r="I1039" s="63"/>
      <c r="J1039" s="286" t="str">
        <f>IF(AND(OR(E1032="RPX", E1032="RPX-T", E1032="SS"),E1033=216),"NO 216 For RPX, RPX-T, OR SS CABLE","---")</f>
        <v>---</v>
      </c>
      <c r="K1039" s="287"/>
      <c r="L1039" s="288"/>
      <c r="M1039" s="286" t="str" cm="1">
        <f t="array" ref="M1039">IF(AND(E1032="",OR(C1042:C1066="FST",C1042:C1066="REV T",C1042:C1066="DBL REV",C1042:C1066="TPL REV", C1042:C1066="QD REV")),"Non-FlexNap cables cannot have tethers","---")</f>
        <v>---</v>
      </c>
      <c r="N1039" s="287"/>
      <c r="O1039" s="287"/>
      <c r="P1039" s="287"/>
      <c r="Q1039" s="287"/>
      <c r="R1039" s="287"/>
      <c r="S1039" s="287"/>
      <c r="T1039" s="287"/>
      <c r="U1039" s="288"/>
      <c r="V1039" s="25"/>
      <c r="W1039" s="58"/>
      <c r="X1039" s="58"/>
      <c r="Y1039" s="25"/>
      <c r="Z1039" s="45">
        <v>6</v>
      </c>
      <c r="AA1039" s="65">
        <v>61</v>
      </c>
      <c r="AB1039" s="65">
        <v>72</v>
      </c>
      <c r="AC1039" s="25"/>
      <c r="AD1039" s="25"/>
      <c r="BA1039" s="226"/>
    </row>
    <row r="1040" spans="1:53" ht="15.75" customHeight="1" thickBot="1" x14ac:dyDescent="0.35">
      <c r="A1040" s="88"/>
      <c r="B1040" s="321" t="s">
        <v>267</v>
      </c>
      <c r="C1040" s="293" t="s">
        <v>268</v>
      </c>
      <c r="D1040" s="293" t="s">
        <v>269</v>
      </c>
      <c r="E1040" s="306" t="s">
        <v>270</v>
      </c>
      <c r="F1040" s="293" t="s">
        <v>271</v>
      </c>
      <c r="G1040" s="308" t="s">
        <v>272</v>
      </c>
      <c r="H1040" s="308" t="s">
        <v>273</v>
      </c>
      <c r="I1040" s="308" t="s">
        <v>274</v>
      </c>
      <c r="J1040" s="310" t="s">
        <v>275</v>
      </c>
      <c r="K1040" s="293" t="s">
        <v>276</v>
      </c>
      <c r="L1040" s="280" t="s">
        <v>277</v>
      </c>
      <c r="M1040" s="282" t="s">
        <v>278</v>
      </c>
      <c r="N1040" s="282"/>
      <c r="O1040" s="282"/>
      <c r="P1040" s="282"/>
      <c r="Q1040" s="282"/>
      <c r="R1040" s="282"/>
      <c r="S1040" s="282"/>
      <c r="T1040" s="282"/>
      <c r="U1040" s="283"/>
      <c r="V1040" s="107"/>
      <c r="W1040" s="72"/>
      <c r="X1040" s="72"/>
      <c r="Y1040" s="72"/>
      <c r="Z1040" s="45">
        <v>7</v>
      </c>
      <c r="AA1040" s="65">
        <v>73</v>
      </c>
      <c r="AB1040" s="65">
        <v>84</v>
      </c>
      <c r="AC1040" s="25"/>
      <c r="AD1040" s="25"/>
      <c r="BA1040" s="228"/>
    </row>
    <row r="1041" spans="1:53" ht="15" thickBot="1" x14ac:dyDescent="0.35">
      <c r="A1041" s="88"/>
      <c r="B1041" s="322"/>
      <c r="C1041" s="294"/>
      <c r="D1041" s="294"/>
      <c r="E1041" s="307"/>
      <c r="F1041" s="294"/>
      <c r="G1041" s="309"/>
      <c r="H1041" s="309"/>
      <c r="I1041" s="309"/>
      <c r="J1041" s="311"/>
      <c r="K1041" s="294"/>
      <c r="L1041" s="281"/>
      <c r="M1041" s="284"/>
      <c r="N1041" s="284"/>
      <c r="O1041" s="284"/>
      <c r="P1041" s="284"/>
      <c r="Q1041" s="284"/>
      <c r="R1041" s="284"/>
      <c r="S1041" s="284"/>
      <c r="T1041" s="284"/>
      <c r="U1041" s="285"/>
      <c r="V1041" s="107"/>
      <c r="W1041" s="72"/>
      <c r="X1041" s="72"/>
      <c r="Y1041" s="72"/>
      <c r="Z1041" s="45">
        <v>8</v>
      </c>
      <c r="AA1041" s="46">
        <v>85</v>
      </c>
      <c r="AB1041" s="46">
        <v>96</v>
      </c>
      <c r="AC1041" s="25"/>
      <c r="AD1041" s="25"/>
      <c r="AI1041" s="109" t="s">
        <v>279</v>
      </c>
      <c r="AJ1041" s="109" t="s">
        <v>280</v>
      </c>
      <c r="AK1041" s="109" t="s">
        <v>281</v>
      </c>
      <c r="AL1041" s="109" t="s">
        <v>282</v>
      </c>
      <c r="BA1041" s="228"/>
    </row>
    <row r="1042" spans="1:53" ht="15" thickBot="1" x14ac:dyDescent="0.35">
      <c r="A1042" s="88"/>
      <c r="B1042" s="66" t="s">
        <v>283</v>
      </c>
      <c r="C1042" s="67"/>
      <c r="D1042" s="102"/>
      <c r="E1042" s="32"/>
      <c r="F1042" s="32"/>
      <c r="G1042" s="68" t="s">
        <v>285</v>
      </c>
      <c r="H1042" s="69">
        <f>IF(I1042=0,0,I1042-(E1042-1))</f>
        <v>0</v>
      </c>
      <c r="I1042" s="70">
        <f>IF(E1042=0,0,I1037)</f>
        <v>0</v>
      </c>
      <c r="J1042" s="71" t="s">
        <v>286</v>
      </c>
      <c r="K1042" s="32"/>
      <c r="L1042" s="233"/>
      <c r="M1042" s="278"/>
      <c r="N1042" s="278"/>
      <c r="O1042" s="278"/>
      <c r="P1042" s="278"/>
      <c r="Q1042" s="278"/>
      <c r="R1042" s="278"/>
      <c r="S1042" s="278"/>
      <c r="T1042" s="278"/>
      <c r="U1042" s="279"/>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 thickBot="1" x14ac:dyDescent="0.35">
      <c r="A1043" s="88"/>
      <c r="B1043" s="66" t="s">
        <v>288</v>
      </c>
      <c r="C1043" s="67"/>
      <c r="D1043" s="102"/>
      <c r="E1043" s="32"/>
      <c r="F1043" s="32"/>
      <c r="G1043" s="68" t="s">
        <v>285</v>
      </c>
      <c r="H1043" s="69">
        <f t="shared" ref="H1043:H1066" si="434">IF(E1043=0,0,I1043-(E1043-1))</f>
        <v>0</v>
      </c>
      <c r="I1043" s="70">
        <f t="shared" ref="I1043:I1066" si="435">IF(E1043=0,0,H1042-1)</f>
        <v>0</v>
      </c>
      <c r="J1043" s="73" t="str">
        <f>IF(C1043="","--",IF(AND(C1043&lt;&gt;"FST",C1043&lt;&gt;"TCF",BA1042&lt;&gt;0),BA1042,"--"))</f>
        <v>--</v>
      </c>
      <c r="K1043" s="32"/>
      <c r="L1043" s="233"/>
      <c r="M1043" s="278"/>
      <c r="N1043" s="278"/>
      <c r="O1043" s="278"/>
      <c r="P1043" s="278"/>
      <c r="Q1043" s="278"/>
      <c r="R1043" s="278"/>
      <c r="S1043" s="278"/>
      <c r="T1043" s="278"/>
      <c r="U1043" s="279"/>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 thickBot="1" x14ac:dyDescent="0.35">
      <c r="A1044" s="88"/>
      <c r="B1044" s="74" t="s">
        <v>290</v>
      </c>
      <c r="C1044" s="67"/>
      <c r="D1044" s="102"/>
      <c r="E1044" s="32"/>
      <c r="F1044" s="32"/>
      <c r="G1044" s="75" t="s">
        <v>285</v>
      </c>
      <c r="H1044" s="69">
        <f t="shared" si="434"/>
        <v>0</v>
      </c>
      <c r="I1044" s="70">
        <f t="shared" si="435"/>
        <v>0</v>
      </c>
      <c r="J1044" s="73" t="str">
        <f t="shared" ref="J1044:J1066" si="436">IF(C1044="","--",IF(AND(C1044&lt;&gt;"FST",C1044&lt;&gt;"TCF",BA1043&lt;&gt;0),BA1043,"--"))</f>
        <v>--</v>
      </c>
      <c r="K1044" s="32"/>
      <c r="L1044" s="233"/>
      <c r="M1044" s="278"/>
      <c r="N1044" s="278"/>
      <c r="O1044" s="278"/>
      <c r="P1044" s="278"/>
      <c r="Q1044" s="278"/>
      <c r="R1044" s="278"/>
      <c r="S1044" s="278"/>
      <c r="T1044" s="278"/>
      <c r="U1044" s="279"/>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 thickBot="1" x14ac:dyDescent="0.35">
      <c r="A1045" s="88"/>
      <c r="B1045" s="66" t="s">
        <v>292</v>
      </c>
      <c r="C1045" s="67"/>
      <c r="D1045" s="102"/>
      <c r="E1045" s="32"/>
      <c r="F1045" s="32"/>
      <c r="G1045" s="68" t="s">
        <v>285</v>
      </c>
      <c r="H1045" s="69">
        <f t="shared" si="434"/>
        <v>0</v>
      </c>
      <c r="I1045" s="70">
        <f t="shared" si="435"/>
        <v>0</v>
      </c>
      <c r="J1045" s="73" t="str">
        <f t="shared" si="436"/>
        <v>--</v>
      </c>
      <c r="K1045" s="32"/>
      <c r="L1045" s="233"/>
      <c r="M1045" s="278"/>
      <c r="N1045" s="278"/>
      <c r="O1045" s="278"/>
      <c r="P1045" s="278"/>
      <c r="Q1045" s="278"/>
      <c r="R1045" s="278"/>
      <c r="S1045" s="278"/>
      <c r="T1045" s="278"/>
      <c r="U1045" s="279"/>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 thickBot="1" x14ac:dyDescent="0.35">
      <c r="A1046" s="88"/>
      <c r="B1046" s="66" t="s">
        <v>293</v>
      </c>
      <c r="C1046" s="67"/>
      <c r="D1046" s="102"/>
      <c r="E1046" s="32"/>
      <c r="F1046" s="32"/>
      <c r="G1046" s="68" t="s">
        <v>285</v>
      </c>
      <c r="H1046" s="69">
        <f t="shared" si="434"/>
        <v>0</v>
      </c>
      <c r="I1046" s="70">
        <f t="shared" si="435"/>
        <v>0</v>
      </c>
      <c r="J1046" s="73" t="str">
        <f t="shared" si="436"/>
        <v>--</v>
      </c>
      <c r="K1046" s="32"/>
      <c r="L1046" s="233"/>
      <c r="M1046" s="278"/>
      <c r="N1046" s="278"/>
      <c r="O1046" s="278"/>
      <c r="P1046" s="278"/>
      <c r="Q1046" s="278"/>
      <c r="R1046" s="278"/>
      <c r="S1046" s="278"/>
      <c r="T1046" s="278"/>
      <c r="U1046" s="27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 thickBot="1" x14ac:dyDescent="0.35">
      <c r="A1047" s="88"/>
      <c r="B1047" s="66" t="s">
        <v>294</v>
      </c>
      <c r="C1047" s="67"/>
      <c r="D1047" s="102"/>
      <c r="E1047" s="32"/>
      <c r="F1047" s="32"/>
      <c r="G1047" s="68" t="s">
        <v>285</v>
      </c>
      <c r="H1047" s="69">
        <f t="shared" si="434"/>
        <v>0</v>
      </c>
      <c r="I1047" s="70">
        <f t="shared" si="435"/>
        <v>0</v>
      </c>
      <c r="J1047" s="73" t="str">
        <f t="shared" si="436"/>
        <v>--</v>
      </c>
      <c r="K1047" s="32"/>
      <c r="L1047" s="233"/>
      <c r="M1047" s="278"/>
      <c r="N1047" s="278"/>
      <c r="O1047" s="278"/>
      <c r="P1047" s="278"/>
      <c r="Q1047" s="278"/>
      <c r="R1047" s="278"/>
      <c r="S1047" s="278"/>
      <c r="T1047" s="278"/>
      <c r="U1047" s="27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 thickBot="1" x14ac:dyDescent="0.35">
      <c r="A1048" s="88"/>
      <c r="B1048" s="66" t="s">
        <v>295</v>
      </c>
      <c r="C1048" s="67"/>
      <c r="D1048" s="102"/>
      <c r="E1048" s="32"/>
      <c r="F1048" s="32"/>
      <c r="G1048" s="68" t="s">
        <v>285</v>
      </c>
      <c r="H1048" s="69">
        <f t="shared" si="434"/>
        <v>0</v>
      </c>
      <c r="I1048" s="70">
        <f t="shared" si="435"/>
        <v>0</v>
      </c>
      <c r="J1048" s="73" t="str">
        <f t="shared" si="436"/>
        <v>--</v>
      </c>
      <c r="K1048" s="32"/>
      <c r="L1048" s="233"/>
      <c r="M1048" s="278"/>
      <c r="N1048" s="278"/>
      <c r="O1048" s="278"/>
      <c r="P1048" s="278"/>
      <c r="Q1048" s="278"/>
      <c r="R1048" s="278"/>
      <c r="S1048" s="278"/>
      <c r="T1048" s="278"/>
      <c r="U1048" s="27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 thickBot="1" x14ac:dyDescent="0.35">
      <c r="A1049" s="88"/>
      <c r="B1049" s="66" t="s">
        <v>296</v>
      </c>
      <c r="C1049" s="67"/>
      <c r="D1049" s="102"/>
      <c r="E1049" s="32"/>
      <c r="F1049" s="32"/>
      <c r="G1049" s="68" t="s">
        <v>285</v>
      </c>
      <c r="H1049" s="69">
        <f t="shared" si="434"/>
        <v>0</v>
      </c>
      <c r="I1049" s="70">
        <f t="shared" si="435"/>
        <v>0</v>
      </c>
      <c r="J1049" s="73" t="str">
        <f t="shared" si="436"/>
        <v>--</v>
      </c>
      <c r="K1049" s="32"/>
      <c r="L1049" s="233"/>
      <c r="M1049" s="278"/>
      <c r="N1049" s="278"/>
      <c r="O1049" s="278"/>
      <c r="P1049" s="278"/>
      <c r="Q1049" s="278"/>
      <c r="R1049" s="278"/>
      <c r="S1049" s="278"/>
      <c r="T1049" s="278"/>
      <c r="U1049" s="27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 thickBot="1" x14ac:dyDescent="0.35">
      <c r="A1050" s="88"/>
      <c r="B1050" s="66" t="s">
        <v>297</v>
      </c>
      <c r="C1050" s="67"/>
      <c r="D1050" s="102"/>
      <c r="E1050" s="32"/>
      <c r="F1050" s="32"/>
      <c r="G1050" s="68" t="s">
        <v>285</v>
      </c>
      <c r="H1050" s="69">
        <f t="shared" si="434"/>
        <v>0</v>
      </c>
      <c r="I1050" s="70">
        <f t="shared" si="435"/>
        <v>0</v>
      </c>
      <c r="J1050" s="73" t="str">
        <f t="shared" si="436"/>
        <v>--</v>
      </c>
      <c r="K1050" s="32"/>
      <c r="L1050" s="233"/>
      <c r="M1050" s="278"/>
      <c r="N1050" s="278"/>
      <c r="O1050" s="278"/>
      <c r="P1050" s="278"/>
      <c r="Q1050" s="278"/>
      <c r="R1050" s="278"/>
      <c r="S1050" s="278"/>
      <c r="T1050" s="278"/>
      <c r="U1050" s="27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 thickBot="1" x14ac:dyDescent="0.35">
      <c r="A1051" s="88"/>
      <c r="B1051" s="66" t="s">
        <v>298</v>
      </c>
      <c r="C1051" s="67"/>
      <c r="D1051" s="102"/>
      <c r="E1051" s="32"/>
      <c r="F1051" s="32"/>
      <c r="G1051" s="68" t="s">
        <v>285</v>
      </c>
      <c r="H1051" s="69">
        <f t="shared" si="434"/>
        <v>0</v>
      </c>
      <c r="I1051" s="70">
        <f t="shared" si="435"/>
        <v>0</v>
      </c>
      <c r="J1051" s="73" t="str">
        <f t="shared" si="436"/>
        <v>--</v>
      </c>
      <c r="K1051" s="32"/>
      <c r="L1051" s="233"/>
      <c r="M1051" s="278"/>
      <c r="N1051" s="278"/>
      <c r="O1051" s="278"/>
      <c r="P1051" s="278"/>
      <c r="Q1051" s="278"/>
      <c r="R1051" s="278"/>
      <c r="S1051" s="278"/>
      <c r="T1051" s="278"/>
      <c r="U1051" s="27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 thickBot="1" x14ac:dyDescent="0.35">
      <c r="A1052" s="88"/>
      <c r="B1052" s="66" t="s">
        <v>299</v>
      </c>
      <c r="C1052" s="67"/>
      <c r="D1052" s="102"/>
      <c r="E1052" s="32"/>
      <c r="F1052" s="32"/>
      <c r="G1052" s="68" t="s">
        <v>285</v>
      </c>
      <c r="H1052" s="69">
        <f t="shared" si="434"/>
        <v>0</v>
      </c>
      <c r="I1052" s="70">
        <f t="shared" si="435"/>
        <v>0</v>
      </c>
      <c r="J1052" s="73" t="str">
        <f t="shared" si="436"/>
        <v>--</v>
      </c>
      <c r="K1052" s="32"/>
      <c r="L1052" s="233"/>
      <c r="M1052" s="278"/>
      <c r="N1052" s="278"/>
      <c r="O1052" s="278"/>
      <c r="P1052" s="278"/>
      <c r="Q1052" s="278"/>
      <c r="R1052" s="278"/>
      <c r="S1052" s="278"/>
      <c r="T1052" s="278"/>
      <c r="U1052" s="27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 thickBot="1" x14ac:dyDescent="0.35">
      <c r="A1053" s="88"/>
      <c r="B1053" s="66" t="s">
        <v>300</v>
      </c>
      <c r="C1053" s="67"/>
      <c r="D1053" s="102"/>
      <c r="E1053" s="32"/>
      <c r="F1053" s="32"/>
      <c r="G1053" s="68" t="s">
        <v>285</v>
      </c>
      <c r="H1053" s="69">
        <f t="shared" si="434"/>
        <v>0</v>
      </c>
      <c r="I1053" s="70">
        <f t="shared" si="435"/>
        <v>0</v>
      </c>
      <c r="J1053" s="73" t="str">
        <f t="shared" si="436"/>
        <v>--</v>
      </c>
      <c r="K1053" s="32"/>
      <c r="L1053" s="233"/>
      <c r="M1053" s="278"/>
      <c r="N1053" s="278"/>
      <c r="O1053" s="278"/>
      <c r="P1053" s="278"/>
      <c r="Q1053" s="278"/>
      <c r="R1053" s="278"/>
      <c r="S1053" s="278"/>
      <c r="T1053" s="278"/>
      <c r="U1053" s="279"/>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 thickBot="1" x14ac:dyDescent="0.35">
      <c r="A1054" s="88"/>
      <c r="B1054" s="66" t="s">
        <v>301</v>
      </c>
      <c r="C1054" s="67"/>
      <c r="D1054" s="102"/>
      <c r="E1054" s="32"/>
      <c r="F1054" s="32"/>
      <c r="G1054" s="68" t="s">
        <v>285</v>
      </c>
      <c r="H1054" s="69">
        <f t="shared" si="434"/>
        <v>0</v>
      </c>
      <c r="I1054" s="70">
        <f t="shared" si="435"/>
        <v>0</v>
      </c>
      <c r="J1054" s="73" t="str">
        <f t="shared" si="436"/>
        <v>--</v>
      </c>
      <c r="K1054" s="32"/>
      <c r="L1054" s="233"/>
      <c r="M1054" s="278"/>
      <c r="N1054" s="278"/>
      <c r="O1054" s="278"/>
      <c r="P1054" s="278"/>
      <c r="Q1054" s="278"/>
      <c r="R1054" s="278"/>
      <c r="S1054" s="278"/>
      <c r="T1054" s="278"/>
      <c r="U1054" s="279"/>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 thickBot="1" x14ac:dyDescent="0.35">
      <c r="A1055" s="88"/>
      <c r="B1055" s="66" t="s">
        <v>302</v>
      </c>
      <c r="C1055" s="67"/>
      <c r="D1055" s="102"/>
      <c r="E1055" s="32"/>
      <c r="F1055" s="32"/>
      <c r="G1055" s="68" t="s">
        <v>285</v>
      </c>
      <c r="H1055" s="69">
        <f t="shared" si="434"/>
        <v>0</v>
      </c>
      <c r="I1055" s="70">
        <f t="shared" si="435"/>
        <v>0</v>
      </c>
      <c r="J1055" s="73" t="str">
        <f t="shared" si="436"/>
        <v>--</v>
      </c>
      <c r="K1055" s="32"/>
      <c r="L1055" s="233"/>
      <c r="M1055" s="278"/>
      <c r="N1055" s="278"/>
      <c r="O1055" s="278"/>
      <c r="P1055" s="278"/>
      <c r="Q1055" s="278"/>
      <c r="R1055" s="278"/>
      <c r="S1055" s="278"/>
      <c r="T1055" s="278"/>
      <c r="U1055" s="279"/>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 thickBot="1" x14ac:dyDescent="0.35">
      <c r="A1056" s="88"/>
      <c r="B1056" s="66" t="s">
        <v>303</v>
      </c>
      <c r="C1056" s="67"/>
      <c r="D1056" s="102"/>
      <c r="E1056" s="32"/>
      <c r="F1056" s="32"/>
      <c r="G1056" s="68" t="s">
        <v>285</v>
      </c>
      <c r="H1056" s="69">
        <f t="shared" si="434"/>
        <v>0</v>
      </c>
      <c r="I1056" s="70">
        <f t="shared" si="435"/>
        <v>0</v>
      </c>
      <c r="J1056" s="73" t="str">
        <f t="shared" si="436"/>
        <v>--</v>
      </c>
      <c r="K1056" s="32"/>
      <c r="L1056" s="233"/>
      <c r="M1056" s="278"/>
      <c r="N1056" s="278"/>
      <c r="O1056" s="278"/>
      <c r="P1056" s="278"/>
      <c r="Q1056" s="278"/>
      <c r="R1056" s="278"/>
      <c r="S1056" s="278"/>
      <c r="T1056" s="278"/>
      <c r="U1056" s="279"/>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 thickBot="1" x14ac:dyDescent="0.35">
      <c r="A1057" s="88"/>
      <c r="B1057" s="66" t="s">
        <v>304</v>
      </c>
      <c r="C1057" s="67"/>
      <c r="D1057" s="102"/>
      <c r="E1057" s="32"/>
      <c r="F1057" s="32"/>
      <c r="G1057" s="68" t="s">
        <v>285</v>
      </c>
      <c r="H1057" s="69">
        <f t="shared" si="434"/>
        <v>0</v>
      </c>
      <c r="I1057" s="70">
        <f t="shared" si="435"/>
        <v>0</v>
      </c>
      <c r="J1057" s="73" t="str">
        <f t="shared" si="436"/>
        <v>--</v>
      </c>
      <c r="K1057" s="32"/>
      <c r="L1057" s="233"/>
      <c r="M1057" s="278"/>
      <c r="N1057" s="278"/>
      <c r="O1057" s="278"/>
      <c r="P1057" s="278"/>
      <c r="Q1057" s="278"/>
      <c r="R1057" s="278"/>
      <c r="S1057" s="278"/>
      <c r="T1057" s="278"/>
      <c r="U1057" s="279"/>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 thickBot="1" x14ac:dyDescent="0.35">
      <c r="A1058" s="88"/>
      <c r="B1058" s="66" t="s">
        <v>305</v>
      </c>
      <c r="C1058" s="67"/>
      <c r="D1058" s="102"/>
      <c r="E1058" s="32"/>
      <c r="F1058" s="32"/>
      <c r="G1058" s="68" t="s">
        <v>285</v>
      </c>
      <c r="H1058" s="69">
        <f t="shared" si="434"/>
        <v>0</v>
      </c>
      <c r="I1058" s="70">
        <f t="shared" si="435"/>
        <v>0</v>
      </c>
      <c r="J1058" s="73" t="str">
        <f t="shared" si="436"/>
        <v>--</v>
      </c>
      <c r="K1058" s="32"/>
      <c r="L1058" s="233"/>
      <c r="M1058" s="278"/>
      <c r="N1058" s="278"/>
      <c r="O1058" s="278"/>
      <c r="P1058" s="278"/>
      <c r="Q1058" s="278"/>
      <c r="R1058" s="278"/>
      <c r="S1058" s="278"/>
      <c r="T1058" s="278"/>
      <c r="U1058" s="279"/>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 thickBot="1" x14ac:dyDescent="0.35">
      <c r="A1059" s="88"/>
      <c r="B1059" s="66" t="s">
        <v>306</v>
      </c>
      <c r="C1059" s="67"/>
      <c r="D1059" s="102"/>
      <c r="E1059" s="32"/>
      <c r="F1059" s="32"/>
      <c r="G1059" s="68" t="s">
        <v>285</v>
      </c>
      <c r="H1059" s="69">
        <f t="shared" si="434"/>
        <v>0</v>
      </c>
      <c r="I1059" s="70">
        <f t="shared" si="435"/>
        <v>0</v>
      </c>
      <c r="J1059" s="73" t="str">
        <f t="shared" si="436"/>
        <v>--</v>
      </c>
      <c r="K1059" s="32"/>
      <c r="L1059" s="233"/>
      <c r="M1059" s="278"/>
      <c r="N1059" s="278"/>
      <c r="O1059" s="278"/>
      <c r="P1059" s="278"/>
      <c r="Q1059" s="278"/>
      <c r="R1059" s="278"/>
      <c r="S1059" s="278"/>
      <c r="T1059" s="278"/>
      <c r="U1059" s="279"/>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 thickBot="1" x14ac:dyDescent="0.35">
      <c r="A1060" s="88"/>
      <c r="B1060" s="66" t="s">
        <v>307</v>
      </c>
      <c r="C1060" s="67"/>
      <c r="D1060" s="102"/>
      <c r="E1060" s="32"/>
      <c r="F1060" s="32"/>
      <c r="G1060" s="68" t="s">
        <v>285</v>
      </c>
      <c r="H1060" s="69">
        <f t="shared" si="434"/>
        <v>0</v>
      </c>
      <c r="I1060" s="70">
        <f t="shared" si="435"/>
        <v>0</v>
      </c>
      <c r="J1060" s="73" t="str">
        <f t="shared" si="436"/>
        <v>--</v>
      </c>
      <c r="K1060" s="32"/>
      <c r="L1060" s="233"/>
      <c r="M1060" s="278"/>
      <c r="N1060" s="278"/>
      <c r="O1060" s="278"/>
      <c r="P1060" s="278"/>
      <c r="Q1060" s="278"/>
      <c r="R1060" s="278"/>
      <c r="S1060" s="278"/>
      <c r="T1060" s="278"/>
      <c r="U1060" s="279"/>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 thickBot="1" x14ac:dyDescent="0.35">
      <c r="A1061" s="88"/>
      <c r="B1061" s="66" t="s">
        <v>308</v>
      </c>
      <c r="C1061" s="67"/>
      <c r="D1061" s="102"/>
      <c r="E1061" s="32"/>
      <c r="F1061" s="32"/>
      <c r="G1061" s="68" t="s">
        <v>285</v>
      </c>
      <c r="H1061" s="69">
        <f t="shared" si="434"/>
        <v>0</v>
      </c>
      <c r="I1061" s="70">
        <f t="shared" si="435"/>
        <v>0</v>
      </c>
      <c r="J1061" s="73" t="str">
        <f t="shared" si="436"/>
        <v>--</v>
      </c>
      <c r="K1061" s="32"/>
      <c r="L1061" s="233"/>
      <c r="M1061" s="278"/>
      <c r="N1061" s="278"/>
      <c r="O1061" s="278"/>
      <c r="P1061" s="278"/>
      <c r="Q1061" s="278"/>
      <c r="R1061" s="278"/>
      <c r="S1061" s="278"/>
      <c r="T1061" s="278"/>
      <c r="U1061" s="279"/>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 thickBot="1" x14ac:dyDescent="0.35">
      <c r="A1062" s="88"/>
      <c r="B1062" s="66" t="s">
        <v>309</v>
      </c>
      <c r="C1062" s="67"/>
      <c r="D1062" s="102"/>
      <c r="E1062" s="32"/>
      <c r="F1062" s="32"/>
      <c r="G1062" s="68" t="s">
        <v>285</v>
      </c>
      <c r="H1062" s="69">
        <f t="shared" si="434"/>
        <v>0</v>
      </c>
      <c r="I1062" s="70">
        <f t="shared" si="435"/>
        <v>0</v>
      </c>
      <c r="J1062" s="73" t="str">
        <f t="shared" si="436"/>
        <v>--</v>
      </c>
      <c r="K1062" s="32"/>
      <c r="L1062" s="233"/>
      <c r="M1062" s="278"/>
      <c r="N1062" s="278"/>
      <c r="O1062" s="278"/>
      <c r="P1062" s="278"/>
      <c r="Q1062" s="278"/>
      <c r="R1062" s="278"/>
      <c r="S1062" s="278"/>
      <c r="T1062" s="278"/>
      <c r="U1062" s="279"/>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 thickBot="1" x14ac:dyDescent="0.35">
      <c r="A1063" s="88"/>
      <c r="B1063" s="66" t="s">
        <v>310</v>
      </c>
      <c r="C1063" s="67"/>
      <c r="D1063" s="102"/>
      <c r="E1063" s="32"/>
      <c r="F1063" s="32"/>
      <c r="G1063" s="68" t="s">
        <v>285</v>
      </c>
      <c r="H1063" s="69">
        <f t="shared" si="434"/>
        <v>0</v>
      </c>
      <c r="I1063" s="70">
        <f t="shared" si="435"/>
        <v>0</v>
      </c>
      <c r="J1063" s="73" t="str">
        <f t="shared" si="436"/>
        <v>--</v>
      </c>
      <c r="K1063" s="32"/>
      <c r="L1063" s="233"/>
      <c r="M1063" s="278"/>
      <c r="N1063" s="278"/>
      <c r="O1063" s="278"/>
      <c r="P1063" s="278"/>
      <c r="Q1063" s="278"/>
      <c r="R1063" s="278"/>
      <c r="S1063" s="278"/>
      <c r="T1063" s="278"/>
      <c r="U1063" s="279"/>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 thickBot="1" x14ac:dyDescent="0.35">
      <c r="A1064" s="88"/>
      <c r="B1064" s="66" t="s">
        <v>311</v>
      </c>
      <c r="C1064" s="67"/>
      <c r="D1064" s="102"/>
      <c r="E1064" s="32"/>
      <c r="F1064" s="32"/>
      <c r="G1064" s="68" t="s">
        <v>285</v>
      </c>
      <c r="H1064" s="69">
        <f t="shared" si="434"/>
        <v>0</v>
      </c>
      <c r="I1064" s="70">
        <f t="shared" si="435"/>
        <v>0</v>
      </c>
      <c r="J1064" s="73" t="str">
        <f t="shared" si="436"/>
        <v>--</v>
      </c>
      <c r="K1064" s="32"/>
      <c r="L1064" s="233"/>
      <c r="M1064" s="278"/>
      <c r="N1064" s="278"/>
      <c r="O1064" s="278"/>
      <c r="P1064" s="278"/>
      <c r="Q1064" s="278"/>
      <c r="R1064" s="278"/>
      <c r="S1064" s="278"/>
      <c r="T1064" s="278"/>
      <c r="U1064" s="279"/>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 thickBot="1" x14ac:dyDescent="0.35">
      <c r="A1065" s="88"/>
      <c r="B1065" s="66" t="s">
        <v>312</v>
      </c>
      <c r="C1065" s="67"/>
      <c r="D1065" s="102"/>
      <c r="E1065" s="32"/>
      <c r="F1065" s="32"/>
      <c r="G1065" s="68" t="s">
        <v>285</v>
      </c>
      <c r="H1065" s="69">
        <f t="shared" si="434"/>
        <v>0</v>
      </c>
      <c r="I1065" s="70">
        <f t="shared" si="435"/>
        <v>0</v>
      </c>
      <c r="J1065" s="73" t="str">
        <f t="shared" si="436"/>
        <v>--</v>
      </c>
      <c r="K1065" s="32"/>
      <c r="L1065" s="233"/>
      <c r="M1065" s="278"/>
      <c r="N1065" s="278"/>
      <c r="O1065" s="278"/>
      <c r="P1065" s="278"/>
      <c r="Q1065" s="278"/>
      <c r="R1065" s="278"/>
      <c r="S1065" s="278"/>
      <c r="T1065" s="278"/>
      <c r="U1065" s="279"/>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 thickBot="1" x14ac:dyDescent="0.35">
      <c r="A1066" s="88"/>
      <c r="B1066" s="66" t="s">
        <v>313</v>
      </c>
      <c r="C1066" s="67"/>
      <c r="D1066" s="102"/>
      <c r="E1066" s="32"/>
      <c r="F1066" s="32"/>
      <c r="G1066" s="68" t="s">
        <v>285</v>
      </c>
      <c r="H1066" s="69">
        <f t="shared" si="434"/>
        <v>0</v>
      </c>
      <c r="I1066" s="70">
        <f t="shared" si="435"/>
        <v>0</v>
      </c>
      <c r="J1066" s="73" t="str">
        <f t="shared" si="436"/>
        <v>--</v>
      </c>
      <c r="K1066" s="32"/>
      <c r="L1066" s="234"/>
      <c r="M1066" s="278"/>
      <c r="N1066" s="278"/>
      <c r="O1066" s="278"/>
      <c r="P1066" s="278"/>
      <c r="Q1066" s="278"/>
      <c r="R1066" s="278"/>
      <c r="S1066" s="278"/>
      <c r="T1066" s="278"/>
      <c r="U1066" s="279"/>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2" thickBot="1" x14ac:dyDescent="0.35">
      <c r="A1067" s="88"/>
      <c r="B1067" s="319" t="s">
        <v>426</v>
      </c>
      <c r="C1067" s="320"/>
      <c r="D1067" s="79"/>
      <c r="E1067" s="80"/>
      <c r="F1067" s="80"/>
      <c r="G1067" s="81"/>
      <c r="H1067" s="192"/>
      <c r="I1067" s="192"/>
      <c r="J1067" s="192"/>
      <c r="K1067" s="82"/>
      <c r="L1067" s="319" t="s">
        <v>319</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2" thickBot="1" x14ac:dyDescent="0.35">
      <c r="A1068" s="88"/>
      <c r="B1068" s="319" t="s">
        <v>320</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3">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 thickBot="1" x14ac:dyDescent="0.35">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5">
      <c r="A1071" s="88"/>
      <c r="B1071" s="85" t="s">
        <v>427</v>
      </c>
      <c r="C1071" s="25"/>
      <c r="D1071" s="25"/>
      <c r="E1071" s="25"/>
      <c r="F1071" s="88"/>
      <c r="G1071" s="25"/>
      <c r="H1071" s="25"/>
      <c r="I1071" s="87"/>
      <c r="J1071" s="26"/>
      <c r="K1071" s="25"/>
      <c r="L1071" s="25"/>
      <c r="M1071" s="196" t="s">
        <v>217</v>
      </c>
      <c r="N1071" s="196" t="s">
        <v>218</v>
      </c>
      <c r="O1071" s="196" t="s">
        <v>219</v>
      </c>
      <c r="P1071" s="196" t="s">
        <v>220</v>
      </c>
      <c r="Q1071" s="196" t="s">
        <v>221</v>
      </c>
      <c r="R1071" s="196" t="s">
        <v>222</v>
      </c>
      <c r="S1071" s="196" t="s">
        <v>223</v>
      </c>
      <c r="T1071" s="196" t="s">
        <v>224</v>
      </c>
      <c r="U1071" s="196" t="s">
        <v>225</v>
      </c>
      <c r="V1071" s="196" t="s">
        <v>226</v>
      </c>
      <c r="W1071" s="113" t="s">
        <v>227</v>
      </c>
      <c r="X1071" s="196" t="s">
        <v>228</v>
      </c>
      <c r="Y1071" s="25"/>
      <c r="Z1071" s="25"/>
      <c r="AA1071" s="25"/>
      <c r="AB1071" s="25"/>
      <c r="AC1071" s="25"/>
      <c r="AD1071" s="25"/>
      <c r="BA1071" s="226"/>
    </row>
    <row r="1072" spans="1:53" ht="15.6" thickTop="1" thickBot="1" x14ac:dyDescent="0.35">
      <c r="A1072" s="88"/>
      <c r="B1072" s="312" t="s">
        <v>229</v>
      </c>
      <c r="C1072" s="313"/>
      <c r="D1072" s="314" t="s">
        <v>230</v>
      </c>
      <c r="E1072" s="305"/>
      <c r="F1072" s="88"/>
      <c r="G1072" s="315" t="s">
        <v>231</v>
      </c>
      <c r="H1072" s="316"/>
      <c r="I1072" s="28">
        <f>SUM(E1083:E1107)</f>
        <v>0</v>
      </c>
      <c r="J1072" s="317" t="s">
        <v>232</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233</v>
      </c>
      <c r="AA1072" s="296"/>
      <c r="AB1072" s="297"/>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234</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5">
      <c r="A1073" s="88"/>
      <c r="B1073" s="29" t="s">
        <v>235</v>
      </c>
      <c r="C1073" s="30">
        <v>0</v>
      </c>
      <c r="D1073" s="31" t="s">
        <v>236</v>
      </c>
      <c r="E1073" s="66" t="str">
        <f>TEXT(IF('Cable Calculator'!ED7="","",'Cable Calculator'!ED7),)</f>
        <v/>
      </c>
      <c r="F1073" s="88"/>
      <c r="G1073" s="304" t="s">
        <v>237</v>
      </c>
      <c r="H1073" s="305"/>
      <c r="I1073" s="33">
        <f>E1074-I1072</f>
        <v>0</v>
      </c>
      <c r="J1073" s="289" t="s">
        <v>238</v>
      </c>
      <c r="K1073" s="290"/>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239</v>
      </c>
      <c r="AA1073" s="300" t="s">
        <v>240</v>
      </c>
      <c r="AB1073" s="301"/>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241</v>
      </c>
      <c r="AU1073" s="109">
        <f>COUNTIFS($E1073,"SS",$AS1073,"Y")</f>
        <v>0</v>
      </c>
      <c r="AV1073" s="111">
        <f>COUNTIFS($E1073,"RPX",$AS1073,"Y")</f>
        <v>0</v>
      </c>
      <c r="AW1073" s="111">
        <f>COUNTIFS($E1073,"EUC",$AS1073,"Y")</f>
        <v>0</v>
      </c>
      <c r="AX1073" s="109">
        <f>COUNTIFS($E1073,"RPX-T",$AS1073,"Y")</f>
        <v>0</v>
      </c>
      <c r="BA1073" s="227"/>
    </row>
    <row r="1074" spans="1:53" ht="15.6" thickTop="1" thickBot="1" x14ac:dyDescent="0.35">
      <c r="A1074" s="88"/>
      <c r="B1074" s="36" t="s">
        <v>242</v>
      </c>
      <c r="C1074" s="37">
        <v>0</v>
      </c>
      <c r="D1074" s="38" t="s">
        <v>243</v>
      </c>
      <c r="E1074" s="32"/>
      <c r="F1074" s="88"/>
      <c r="G1074" s="291" t="s">
        <v>244</v>
      </c>
      <c r="H1074" s="292"/>
      <c r="I1074" s="35">
        <f>IF(E1074=0,0,12-(MOD(I1072,12)))</f>
        <v>0</v>
      </c>
      <c r="J1074" s="289" t="s">
        <v>245</v>
      </c>
      <c r="K1074" s="290"/>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246</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5">
      <c r="A1075" s="88"/>
      <c r="B1075" s="40" t="s">
        <v>247</v>
      </c>
      <c r="C1075" s="30">
        <v>0</v>
      </c>
      <c r="D1075" s="41" t="s">
        <v>248</v>
      </c>
      <c r="E1075" s="42"/>
      <c r="F1075" s="88"/>
      <c r="G1075" s="321" t="s">
        <v>249</v>
      </c>
      <c r="H1075" s="43" t="s">
        <v>250</v>
      </c>
      <c r="I1075" s="35">
        <f>IF(E1075&lt;&gt;0,1,0)</f>
        <v>0</v>
      </c>
      <c r="J1075" s="291" t="s">
        <v>251</v>
      </c>
      <c r="K1075" s="292"/>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252</v>
      </c>
      <c r="AU1075" s="109">
        <f>COUNTIFS($E1073,"SS",$AS1075,"Y")</f>
        <v>0</v>
      </c>
      <c r="AV1075" s="108">
        <f>COUNTIFS($E1073,"RPX",$AS1075,"Y")</f>
        <v>0</v>
      </c>
      <c r="AW1075" s="108">
        <f>COUNTIFS($E1073,"EUC",$AS1075,"Y")</f>
        <v>0</v>
      </c>
      <c r="AX1075" s="109">
        <f>COUNTIFS($E1073,"RPX-T",$AS1075,"Y")</f>
        <v>0</v>
      </c>
      <c r="BA1075" s="227"/>
    </row>
    <row r="1076" spans="1:53" ht="15.6" thickTop="1" thickBot="1" x14ac:dyDescent="0.35">
      <c r="A1076" s="88"/>
      <c r="B1076" s="29" t="s">
        <v>253</v>
      </c>
      <c r="C1076" s="37">
        <v>0</v>
      </c>
      <c r="D1076" s="41" t="s">
        <v>254</v>
      </c>
      <c r="E1076" s="42"/>
      <c r="F1076" s="88"/>
      <c r="G1076" s="322"/>
      <c r="H1076" s="47" t="s">
        <v>255</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5">
      <c r="A1077" s="88"/>
      <c r="B1077" s="36" t="s">
        <v>256</v>
      </c>
      <c r="C1077" s="30">
        <v>0</v>
      </c>
      <c r="D1077" s="49" t="s">
        <v>257</v>
      </c>
      <c r="E1077" s="50">
        <f>E1074/12</f>
        <v>0</v>
      </c>
      <c r="F1077" s="88"/>
      <c r="G1077" s="321" t="s">
        <v>258</v>
      </c>
      <c r="H1077" s="51" t="s">
        <v>259</v>
      </c>
      <c r="I1077" s="112">
        <f>E1076</f>
        <v>0</v>
      </c>
      <c r="J1077" s="323" t="s">
        <v>260</v>
      </c>
      <c r="K1077" s="324"/>
      <c r="L1077" s="325"/>
      <c r="M1077" s="52" t="s">
        <v>261</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5.6" thickTop="1" thickBot="1" x14ac:dyDescent="0.35">
      <c r="A1078" s="88"/>
      <c r="B1078" s="36" t="s">
        <v>262</v>
      </c>
      <c r="C1078" s="30">
        <v>0</v>
      </c>
      <c r="D1078" s="31" t="s">
        <v>263</v>
      </c>
      <c r="E1078" s="101" t="str">
        <f>IF('Cable Calculator'!ED5="","",'Cable Calculator'!ED5)</f>
        <v/>
      </c>
      <c r="F1078" s="88"/>
      <c r="G1078" s="322"/>
      <c r="H1078" s="47" t="s">
        <v>264</v>
      </c>
      <c r="I1078" s="35" t="str">
        <f>IF(E1076="","0",IF(AND(E1073="EUC",E1074=432), I1077+(203-E1075),IF(E1076=0,0,(E1076+(E1074-E1075)-1))))</f>
        <v>0</v>
      </c>
      <c r="J1078" s="286" t="str">
        <f>IFERROR(IF(OR(E1073="EUC",E1073="SS"),"---",IF(OR(P1072,S1072),"NO 2F Tethers for RPX!",IF(OR(P1074,S1074),"NO 6F Tethers for RPX!","---"))),"---")</f>
        <v>---</v>
      </c>
      <c r="K1078" s="287"/>
      <c r="L1078" s="288"/>
      <c r="M1078" s="286" t="str">
        <f>IF(E1075&gt;60,"Dead Count &gt;60: Consider Downsize","---")</f>
        <v>---</v>
      </c>
      <c r="N1078" s="287"/>
      <c r="O1078" s="287"/>
      <c r="P1078" s="287"/>
      <c r="Q1078" s="287"/>
      <c r="R1078" s="287"/>
      <c r="S1078" s="287"/>
      <c r="T1078" s="287"/>
      <c r="U1078" s="288"/>
      <c r="V1078" s="100"/>
      <c r="W1078" s="54">
        <f>SUM(P1078:U1078)</f>
        <v>0</v>
      </c>
      <c r="X1078" s="54"/>
      <c r="Y1078" s="25"/>
      <c r="Z1078" s="45">
        <v>4</v>
      </c>
      <c r="AA1078" s="46">
        <v>37</v>
      </c>
      <c r="AB1078" s="46">
        <v>48</v>
      </c>
      <c r="AC1078" s="25"/>
      <c r="AD1078" s="25"/>
      <c r="BA1078" s="227"/>
    </row>
    <row r="1079" spans="1:53" ht="15.6" thickTop="1" thickBot="1" x14ac:dyDescent="0.35">
      <c r="A1079" s="88"/>
      <c r="B1079" s="55" t="s">
        <v>265</v>
      </c>
      <c r="C1079" s="56">
        <f>SUM(C1073:C1078)+I1072</f>
        <v>0</v>
      </c>
      <c r="D1079" s="31" t="s">
        <v>266</v>
      </c>
      <c r="E1079" s="101" t="str">
        <f>IF(AS1073="Y","DBL",IF(AS1074="Y","TRPL",IF(AS1075="Y","QUAD","")))</f>
        <v/>
      </c>
      <c r="F1079" s="88"/>
      <c r="G1079" s="192"/>
      <c r="H1079" s="57"/>
      <c r="I1079" s="192"/>
      <c r="J1079" s="286"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7"/>
      <c r="L1079" s="288"/>
      <c r="M1079" s="286" t="str">
        <f>IF(AND(OR(E1073="SS",E1073="RPX",E1073="EUC",E1073="RPX-T"),(OR(C1083="",C1083="Field SPL"))),"Cannot have FlexNap cables without tethers","---")</f>
        <v>---</v>
      </c>
      <c r="N1079" s="287"/>
      <c r="O1079" s="287"/>
      <c r="P1079" s="287"/>
      <c r="Q1079" s="287"/>
      <c r="R1079" s="287"/>
      <c r="S1079" s="287"/>
      <c r="T1079" s="287"/>
      <c r="U1079" s="288"/>
      <c r="V1079" s="25"/>
      <c r="W1079" s="58"/>
      <c r="X1079" s="58"/>
      <c r="Y1079" s="25"/>
      <c r="Z1079" s="45">
        <v>5</v>
      </c>
      <c r="AA1079" s="46">
        <v>49</v>
      </c>
      <c r="AB1079" s="46">
        <v>60</v>
      </c>
      <c r="AC1079" s="25"/>
      <c r="AD1079" s="25"/>
      <c r="BA1079" s="227"/>
    </row>
    <row r="1080" spans="1:53" ht="15.6" thickTop="1" thickBot="1" x14ac:dyDescent="0.35">
      <c r="A1080" s="88"/>
      <c r="B1080" s="59"/>
      <c r="C1080" s="60"/>
      <c r="D1080" s="61"/>
      <c r="E1080" s="62"/>
      <c r="F1080" s="88"/>
      <c r="G1080" s="63"/>
      <c r="H1080" s="64"/>
      <c r="I1080" s="63"/>
      <c r="J1080" s="286" t="str">
        <f>IF(AND(OR(E1073="RPX", E1073="RPX-T", E1073="SS"),E1074=216),"NO 216 For RPX, RPX-T, OR SS CABLE","---")</f>
        <v>---</v>
      </c>
      <c r="K1080" s="287"/>
      <c r="L1080" s="288"/>
      <c r="M1080" s="286" t="str" cm="1">
        <f t="array" ref="M1080">IF(AND(E1073="",OR(C1083:C1107="FST",C1083:C1107="REV T",C1083:C1107="DBL REV",C1083:C1107="TPL REV", C1083:C1107="QD REV")),"Non-FlexNap cables cannot have tethers","---")</f>
        <v>---</v>
      </c>
      <c r="N1080" s="287"/>
      <c r="O1080" s="287"/>
      <c r="P1080" s="287"/>
      <c r="Q1080" s="287"/>
      <c r="R1080" s="287"/>
      <c r="S1080" s="287"/>
      <c r="T1080" s="287"/>
      <c r="U1080" s="288"/>
      <c r="V1080" s="25"/>
      <c r="W1080" s="58"/>
      <c r="X1080" s="58"/>
      <c r="Y1080" s="25"/>
      <c r="Z1080" s="45">
        <v>6</v>
      </c>
      <c r="AA1080" s="65">
        <v>61</v>
      </c>
      <c r="AB1080" s="65">
        <v>72</v>
      </c>
      <c r="AC1080" s="25"/>
      <c r="AD1080" s="25"/>
      <c r="BA1080" s="226"/>
    </row>
    <row r="1081" spans="1:53" ht="15.75" customHeight="1" thickBot="1" x14ac:dyDescent="0.35">
      <c r="A1081" s="88"/>
      <c r="B1081" s="321" t="s">
        <v>267</v>
      </c>
      <c r="C1081" s="293" t="s">
        <v>268</v>
      </c>
      <c r="D1081" s="293" t="s">
        <v>269</v>
      </c>
      <c r="E1081" s="306" t="s">
        <v>270</v>
      </c>
      <c r="F1081" s="293" t="s">
        <v>271</v>
      </c>
      <c r="G1081" s="308" t="s">
        <v>272</v>
      </c>
      <c r="H1081" s="308" t="s">
        <v>273</v>
      </c>
      <c r="I1081" s="308" t="s">
        <v>274</v>
      </c>
      <c r="J1081" s="310" t="s">
        <v>275</v>
      </c>
      <c r="K1081" s="293" t="s">
        <v>276</v>
      </c>
      <c r="L1081" s="280" t="s">
        <v>277</v>
      </c>
      <c r="M1081" s="282" t="s">
        <v>278</v>
      </c>
      <c r="N1081" s="282"/>
      <c r="O1081" s="282"/>
      <c r="P1081" s="282"/>
      <c r="Q1081" s="282"/>
      <c r="R1081" s="282"/>
      <c r="S1081" s="282"/>
      <c r="T1081" s="282"/>
      <c r="U1081" s="283"/>
      <c r="V1081" s="107"/>
      <c r="W1081" s="72"/>
      <c r="X1081" s="72"/>
      <c r="Y1081" s="72"/>
      <c r="Z1081" s="45">
        <v>7</v>
      </c>
      <c r="AA1081" s="65">
        <v>73</v>
      </c>
      <c r="AB1081" s="65">
        <v>84</v>
      </c>
      <c r="AC1081" s="25"/>
      <c r="AD1081" s="25"/>
      <c r="BA1081" s="228"/>
    </row>
    <row r="1082" spans="1:53" ht="15" thickBot="1" x14ac:dyDescent="0.35">
      <c r="A1082" s="88"/>
      <c r="B1082" s="322"/>
      <c r="C1082" s="294"/>
      <c r="D1082" s="294"/>
      <c r="E1082" s="307"/>
      <c r="F1082" s="294"/>
      <c r="G1082" s="309"/>
      <c r="H1082" s="309"/>
      <c r="I1082" s="309"/>
      <c r="J1082" s="311"/>
      <c r="K1082" s="294"/>
      <c r="L1082" s="281"/>
      <c r="M1082" s="284"/>
      <c r="N1082" s="284"/>
      <c r="O1082" s="284"/>
      <c r="P1082" s="284"/>
      <c r="Q1082" s="284"/>
      <c r="R1082" s="284"/>
      <c r="S1082" s="284"/>
      <c r="T1082" s="284"/>
      <c r="U1082" s="285"/>
      <c r="V1082" s="107"/>
      <c r="W1082" s="72"/>
      <c r="X1082" s="72"/>
      <c r="Y1082" s="72"/>
      <c r="Z1082" s="45">
        <v>8</v>
      </c>
      <c r="AA1082" s="46">
        <v>85</v>
      </c>
      <c r="AB1082" s="46">
        <v>96</v>
      </c>
      <c r="AC1082" s="25"/>
      <c r="AD1082" s="25"/>
      <c r="AI1082" s="109" t="s">
        <v>279</v>
      </c>
      <c r="AJ1082" s="109" t="s">
        <v>280</v>
      </c>
      <c r="AK1082" s="109" t="s">
        <v>281</v>
      </c>
      <c r="AL1082" s="109" t="s">
        <v>282</v>
      </c>
      <c r="BA1082" s="228"/>
    </row>
    <row r="1083" spans="1:53" ht="15" thickBot="1" x14ac:dyDescent="0.35">
      <c r="A1083" s="88"/>
      <c r="B1083" s="66" t="s">
        <v>283</v>
      </c>
      <c r="C1083" s="67"/>
      <c r="D1083" s="102"/>
      <c r="E1083" s="32"/>
      <c r="F1083" s="32"/>
      <c r="G1083" s="68" t="s">
        <v>285</v>
      </c>
      <c r="H1083" s="69">
        <f>IF(I1083=0,0,I1083-(E1083-1))</f>
        <v>0</v>
      </c>
      <c r="I1083" s="70">
        <f>IF(E1083=0,0,I1078)</f>
        <v>0</v>
      </c>
      <c r="J1083" s="71" t="s">
        <v>286</v>
      </c>
      <c r="K1083" s="32"/>
      <c r="L1083" s="233"/>
      <c r="M1083" s="278"/>
      <c r="N1083" s="278"/>
      <c r="O1083" s="278"/>
      <c r="P1083" s="278"/>
      <c r="Q1083" s="278"/>
      <c r="R1083" s="278"/>
      <c r="S1083" s="278"/>
      <c r="T1083" s="278"/>
      <c r="U1083" s="27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 thickBot="1" x14ac:dyDescent="0.35">
      <c r="A1084" s="88"/>
      <c r="B1084" s="66" t="s">
        <v>288</v>
      </c>
      <c r="C1084" s="67"/>
      <c r="D1084" s="102"/>
      <c r="E1084" s="32"/>
      <c r="F1084" s="32"/>
      <c r="G1084" s="68" t="s">
        <v>285</v>
      </c>
      <c r="H1084" s="69">
        <f t="shared" ref="H1084:H1107" si="451">IF(E1084=0,0,I1084-(E1084-1))</f>
        <v>0</v>
      </c>
      <c r="I1084" s="70">
        <f t="shared" ref="I1084:I1107" si="452">IF(E1084=0,0,H1083-1)</f>
        <v>0</v>
      </c>
      <c r="J1084" s="73" t="str">
        <f>IF(C1084="","--",IF(AND(C1084&lt;&gt;"FST",C1084&lt;&gt;"TCF",BA1083&lt;&gt;0),BA1083,"--"))</f>
        <v>--</v>
      </c>
      <c r="K1084" s="32"/>
      <c r="L1084" s="233"/>
      <c r="M1084" s="278"/>
      <c r="N1084" s="278"/>
      <c r="O1084" s="278"/>
      <c r="P1084" s="278"/>
      <c r="Q1084" s="278"/>
      <c r="R1084" s="278"/>
      <c r="S1084" s="278"/>
      <c r="T1084" s="278"/>
      <c r="U1084" s="27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 thickBot="1" x14ac:dyDescent="0.35">
      <c r="A1085" s="88"/>
      <c r="B1085" s="74" t="s">
        <v>290</v>
      </c>
      <c r="C1085" s="67"/>
      <c r="D1085" s="102"/>
      <c r="E1085" s="32"/>
      <c r="F1085" s="32"/>
      <c r="G1085" s="75" t="s">
        <v>285</v>
      </c>
      <c r="H1085" s="69">
        <f t="shared" si="451"/>
        <v>0</v>
      </c>
      <c r="I1085" s="70">
        <f t="shared" si="452"/>
        <v>0</v>
      </c>
      <c r="J1085" s="73" t="str">
        <f t="shared" ref="J1085:J1107" si="453">IF(C1085="","--",IF(AND(C1085&lt;&gt;"FST",C1085&lt;&gt;"TCF",BA1084&lt;&gt;0),BA1084,"--"))</f>
        <v>--</v>
      </c>
      <c r="K1085" s="32"/>
      <c r="L1085" s="233"/>
      <c r="M1085" s="278"/>
      <c r="N1085" s="278"/>
      <c r="O1085" s="278"/>
      <c r="P1085" s="278"/>
      <c r="Q1085" s="278"/>
      <c r="R1085" s="278"/>
      <c r="S1085" s="278"/>
      <c r="T1085" s="278"/>
      <c r="U1085" s="27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 thickBot="1" x14ac:dyDescent="0.35">
      <c r="A1086" s="88"/>
      <c r="B1086" s="66" t="s">
        <v>292</v>
      </c>
      <c r="C1086" s="67"/>
      <c r="D1086" s="102"/>
      <c r="E1086" s="32"/>
      <c r="F1086" s="32"/>
      <c r="G1086" s="68" t="s">
        <v>285</v>
      </c>
      <c r="H1086" s="69">
        <f t="shared" si="451"/>
        <v>0</v>
      </c>
      <c r="I1086" s="70">
        <f t="shared" si="452"/>
        <v>0</v>
      </c>
      <c r="J1086" s="73" t="str">
        <f t="shared" si="453"/>
        <v>--</v>
      </c>
      <c r="K1086" s="32"/>
      <c r="L1086" s="233"/>
      <c r="M1086" s="278"/>
      <c r="N1086" s="278"/>
      <c r="O1086" s="278"/>
      <c r="P1086" s="278"/>
      <c r="Q1086" s="278"/>
      <c r="R1086" s="278"/>
      <c r="S1086" s="278"/>
      <c r="T1086" s="278"/>
      <c r="U1086" s="27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 thickBot="1" x14ac:dyDescent="0.35">
      <c r="A1087" s="88"/>
      <c r="B1087" s="66" t="s">
        <v>293</v>
      </c>
      <c r="C1087" s="67"/>
      <c r="D1087" s="102"/>
      <c r="E1087" s="32"/>
      <c r="F1087" s="32"/>
      <c r="G1087" s="68" t="s">
        <v>285</v>
      </c>
      <c r="H1087" s="69">
        <f t="shared" si="451"/>
        <v>0</v>
      </c>
      <c r="I1087" s="70">
        <f t="shared" si="452"/>
        <v>0</v>
      </c>
      <c r="J1087" s="73" t="str">
        <f t="shared" si="453"/>
        <v>--</v>
      </c>
      <c r="K1087" s="32"/>
      <c r="L1087" s="233"/>
      <c r="M1087" s="278"/>
      <c r="N1087" s="278"/>
      <c r="O1087" s="278"/>
      <c r="P1087" s="278"/>
      <c r="Q1087" s="278"/>
      <c r="R1087" s="278"/>
      <c r="S1087" s="278"/>
      <c r="T1087" s="278"/>
      <c r="U1087" s="27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 thickBot="1" x14ac:dyDescent="0.35">
      <c r="A1088" s="88"/>
      <c r="B1088" s="66" t="s">
        <v>294</v>
      </c>
      <c r="C1088" s="67"/>
      <c r="D1088" s="102"/>
      <c r="E1088" s="32"/>
      <c r="F1088" s="32"/>
      <c r="G1088" s="68" t="s">
        <v>285</v>
      </c>
      <c r="H1088" s="69">
        <f t="shared" si="451"/>
        <v>0</v>
      </c>
      <c r="I1088" s="70">
        <f t="shared" si="452"/>
        <v>0</v>
      </c>
      <c r="J1088" s="73" t="str">
        <f t="shared" si="453"/>
        <v>--</v>
      </c>
      <c r="K1088" s="32"/>
      <c r="L1088" s="233"/>
      <c r="M1088" s="278"/>
      <c r="N1088" s="278"/>
      <c r="O1088" s="278"/>
      <c r="P1088" s="278"/>
      <c r="Q1088" s="278"/>
      <c r="R1088" s="278"/>
      <c r="S1088" s="278"/>
      <c r="T1088" s="278"/>
      <c r="U1088" s="27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 thickBot="1" x14ac:dyDescent="0.35">
      <c r="A1089" s="88"/>
      <c r="B1089" s="66" t="s">
        <v>295</v>
      </c>
      <c r="C1089" s="67"/>
      <c r="D1089" s="102"/>
      <c r="E1089" s="32"/>
      <c r="F1089" s="32"/>
      <c r="G1089" s="68" t="s">
        <v>285</v>
      </c>
      <c r="H1089" s="69">
        <f t="shared" si="451"/>
        <v>0</v>
      </c>
      <c r="I1089" s="70">
        <f t="shared" si="452"/>
        <v>0</v>
      </c>
      <c r="J1089" s="73" t="str">
        <f t="shared" si="453"/>
        <v>--</v>
      </c>
      <c r="K1089" s="32"/>
      <c r="L1089" s="233"/>
      <c r="M1089" s="278"/>
      <c r="N1089" s="278"/>
      <c r="O1089" s="278"/>
      <c r="P1089" s="278"/>
      <c r="Q1089" s="278"/>
      <c r="R1089" s="278"/>
      <c r="S1089" s="278"/>
      <c r="T1089" s="278"/>
      <c r="U1089" s="27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 thickBot="1" x14ac:dyDescent="0.35">
      <c r="A1090" s="88"/>
      <c r="B1090" s="66" t="s">
        <v>296</v>
      </c>
      <c r="C1090" s="67"/>
      <c r="D1090" s="102"/>
      <c r="E1090" s="32"/>
      <c r="F1090" s="32"/>
      <c r="G1090" s="68" t="s">
        <v>285</v>
      </c>
      <c r="H1090" s="69">
        <f t="shared" si="451"/>
        <v>0</v>
      </c>
      <c r="I1090" s="70">
        <f t="shared" si="452"/>
        <v>0</v>
      </c>
      <c r="J1090" s="73" t="str">
        <f t="shared" si="453"/>
        <v>--</v>
      </c>
      <c r="K1090" s="32"/>
      <c r="L1090" s="233"/>
      <c r="M1090" s="278"/>
      <c r="N1090" s="278"/>
      <c r="O1090" s="278"/>
      <c r="P1090" s="278"/>
      <c r="Q1090" s="278"/>
      <c r="R1090" s="278"/>
      <c r="S1090" s="278"/>
      <c r="T1090" s="278"/>
      <c r="U1090" s="27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 thickBot="1" x14ac:dyDescent="0.35">
      <c r="A1091" s="88"/>
      <c r="B1091" s="66" t="s">
        <v>297</v>
      </c>
      <c r="C1091" s="67"/>
      <c r="D1091" s="102"/>
      <c r="E1091" s="32"/>
      <c r="F1091" s="32"/>
      <c r="G1091" s="68" t="s">
        <v>285</v>
      </c>
      <c r="H1091" s="69">
        <f t="shared" si="451"/>
        <v>0</v>
      </c>
      <c r="I1091" s="70">
        <f t="shared" si="452"/>
        <v>0</v>
      </c>
      <c r="J1091" s="73" t="str">
        <f t="shared" si="453"/>
        <v>--</v>
      </c>
      <c r="K1091" s="32"/>
      <c r="L1091" s="233"/>
      <c r="M1091" s="278"/>
      <c r="N1091" s="278"/>
      <c r="O1091" s="278"/>
      <c r="P1091" s="278"/>
      <c r="Q1091" s="278"/>
      <c r="R1091" s="278"/>
      <c r="S1091" s="278"/>
      <c r="T1091" s="278"/>
      <c r="U1091" s="27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 thickBot="1" x14ac:dyDescent="0.35">
      <c r="A1092" s="88"/>
      <c r="B1092" s="66" t="s">
        <v>298</v>
      </c>
      <c r="C1092" s="67"/>
      <c r="D1092" s="102"/>
      <c r="E1092" s="32"/>
      <c r="F1092" s="32"/>
      <c r="G1092" s="68" t="s">
        <v>285</v>
      </c>
      <c r="H1092" s="69">
        <f t="shared" si="451"/>
        <v>0</v>
      </c>
      <c r="I1092" s="70">
        <f t="shared" si="452"/>
        <v>0</v>
      </c>
      <c r="J1092" s="73" t="str">
        <f t="shared" si="453"/>
        <v>--</v>
      </c>
      <c r="K1092" s="32"/>
      <c r="L1092" s="233"/>
      <c r="M1092" s="278"/>
      <c r="N1092" s="278"/>
      <c r="O1092" s="278"/>
      <c r="P1092" s="278"/>
      <c r="Q1092" s="278"/>
      <c r="R1092" s="278"/>
      <c r="S1092" s="278"/>
      <c r="T1092" s="278"/>
      <c r="U1092" s="27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 thickBot="1" x14ac:dyDescent="0.35">
      <c r="A1093" s="88"/>
      <c r="B1093" s="66" t="s">
        <v>299</v>
      </c>
      <c r="C1093" s="67"/>
      <c r="D1093" s="102"/>
      <c r="E1093" s="32"/>
      <c r="F1093" s="32"/>
      <c r="G1093" s="68" t="s">
        <v>285</v>
      </c>
      <c r="H1093" s="69">
        <f t="shared" si="451"/>
        <v>0</v>
      </c>
      <c r="I1093" s="70">
        <f t="shared" si="452"/>
        <v>0</v>
      </c>
      <c r="J1093" s="73" t="str">
        <f t="shared" si="453"/>
        <v>--</v>
      </c>
      <c r="K1093" s="32"/>
      <c r="L1093" s="233"/>
      <c r="M1093" s="278"/>
      <c r="N1093" s="278"/>
      <c r="O1093" s="278"/>
      <c r="P1093" s="278"/>
      <c r="Q1093" s="278"/>
      <c r="R1093" s="278"/>
      <c r="S1093" s="278"/>
      <c r="T1093" s="278"/>
      <c r="U1093" s="27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 thickBot="1" x14ac:dyDescent="0.35">
      <c r="A1094" s="88"/>
      <c r="B1094" s="66" t="s">
        <v>300</v>
      </c>
      <c r="C1094" s="67"/>
      <c r="D1094" s="102"/>
      <c r="E1094" s="32"/>
      <c r="F1094" s="32"/>
      <c r="G1094" s="68" t="s">
        <v>285</v>
      </c>
      <c r="H1094" s="69">
        <f t="shared" si="451"/>
        <v>0</v>
      </c>
      <c r="I1094" s="70">
        <f t="shared" si="452"/>
        <v>0</v>
      </c>
      <c r="J1094" s="73" t="str">
        <f t="shared" si="453"/>
        <v>--</v>
      </c>
      <c r="K1094" s="32"/>
      <c r="L1094" s="233"/>
      <c r="M1094" s="278"/>
      <c r="N1094" s="278"/>
      <c r="O1094" s="278"/>
      <c r="P1094" s="278"/>
      <c r="Q1094" s="278"/>
      <c r="R1094" s="278"/>
      <c r="S1094" s="278"/>
      <c r="T1094" s="278"/>
      <c r="U1094" s="279"/>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 thickBot="1" x14ac:dyDescent="0.35">
      <c r="A1095" s="88"/>
      <c r="B1095" s="66" t="s">
        <v>301</v>
      </c>
      <c r="C1095" s="67"/>
      <c r="D1095" s="102"/>
      <c r="E1095" s="32"/>
      <c r="F1095" s="32"/>
      <c r="G1095" s="68" t="s">
        <v>285</v>
      </c>
      <c r="H1095" s="69">
        <f t="shared" si="451"/>
        <v>0</v>
      </c>
      <c r="I1095" s="70">
        <f t="shared" si="452"/>
        <v>0</v>
      </c>
      <c r="J1095" s="73" t="str">
        <f t="shared" si="453"/>
        <v>--</v>
      </c>
      <c r="K1095" s="32"/>
      <c r="L1095" s="233"/>
      <c r="M1095" s="278"/>
      <c r="N1095" s="278"/>
      <c r="O1095" s="278"/>
      <c r="P1095" s="278"/>
      <c r="Q1095" s="278"/>
      <c r="R1095" s="278"/>
      <c r="S1095" s="278"/>
      <c r="T1095" s="278"/>
      <c r="U1095" s="279"/>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 thickBot="1" x14ac:dyDescent="0.35">
      <c r="A1096" s="88"/>
      <c r="B1096" s="66" t="s">
        <v>302</v>
      </c>
      <c r="C1096" s="67"/>
      <c r="D1096" s="102"/>
      <c r="E1096" s="32"/>
      <c r="F1096" s="32"/>
      <c r="G1096" s="68" t="s">
        <v>285</v>
      </c>
      <c r="H1096" s="69">
        <f t="shared" si="451"/>
        <v>0</v>
      </c>
      <c r="I1096" s="70">
        <f t="shared" si="452"/>
        <v>0</v>
      </c>
      <c r="J1096" s="73" t="str">
        <f t="shared" si="453"/>
        <v>--</v>
      </c>
      <c r="K1096" s="32"/>
      <c r="L1096" s="233"/>
      <c r="M1096" s="278"/>
      <c r="N1096" s="278"/>
      <c r="O1096" s="278"/>
      <c r="P1096" s="278"/>
      <c r="Q1096" s="278"/>
      <c r="R1096" s="278"/>
      <c r="S1096" s="278"/>
      <c r="T1096" s="278"/>
      <c r="U1096" s="279"/>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 thickBot="1" x14ac:dyDescent="0.35">
      <c r="A1097" s="88"/>
      <c r="B1097" s="66" t="s">
        <v>303</v>
      </c>
      <c r="C1097" s="67"/>
      <c r="D1097" s="102"/>
      <c r="E1097" s="32"/>
      <c r="F1097" s="32"/>
      <c r="G1097" s="68" t="s">
        <v>285</v>
      </c>
      <c r="H1097" s="69">
        <f t="shared" si="451"/>
        <v>0</v>
      </c>
      <c r="I1097" s="70">
        <f t="shared" si="452"/>
        <v>0</v>
      </c>
      <c r="J1097" s="73" t="str">
        <f t="shared" si="453"/>
        <v>--</v>
      </c>
      <c r="K1097" s="32"/>
      <c r="L1097" s="233"/>
      <c r="M1097" s="278"/>
      <c r="N1097" s="278"/>
      <c r="O1097" s="278"/>
      <c r="P1097" s="278"/>
      <c r="Q1097" s="278"/>
      <c r="R1097" s="278"/>
      <c r="S1097" s="278"/>
      <c r="T1097" s="278"/>
      <c r="U1097" s="279"/>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 thickBot="1" x14ac:dyDescent="0.35">
      <c r="A1098" s="88"/>
      <c r="B1098" s="66" t="s">
        <v>304</v>
      </c>
      <c r="C1098" s="67"/>
      <c r="D1098" s="102"/>
      <c r="E1098" s="32"/>
      <c r="F1098" s="32"/>
      <c r="G1098" s="68" t="s">
        <v>285</v>
      </c>
      <c r="H1098" s="69">
        <f t="shared" si="451"/>
        <v>0</v>
      </c>
      <c r="I1098" s="70">
        <f t="shared" si="452"/>
        <v>0</v>
      </c>
      <c r="J1098" s="73" t="str">
        <f t="shared" si="453"/>
        <v>--</v>
      </c>
      <c r="K1098" s="32"/>
      <c r="L1098" s="233"/>
      <c r="M1098" s="278"/>
      <c r="N1098" s="278"/>
      <c r="O1098" s="278"/>
      <c r="P1098" s="278"/>
      <c r="Q1098" s="278"/>
      <c r="R1098" s="278"/>
      <c r="S1098" s="278"/>
      <c r="T1098" s="278"/>
      <c r="U1098" s="279"/>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 thickBot="1" x14ac:dyDescent="0.35">
      <c r="A1099" s="88"/>
      <c r="B1099" s="66" t="s">
        <v>305</v>
      </c>
      <c r="C1099" s="67"/>
      <c r="D1099" s="102"/>
      <c r="E1099" s="32"/>
      <c r="F1099" s="32"/>
      <c r="G1099" s="68" t="s">
        <v>285</v>
      </c>
      <c r="H1099" s="69">
        <f t="shared" si="451"/>
        <v>0</v>
      </c>
      <c r="I1099" s="70">
        <f t="shared" si="452"/>
        <v>0</v>
      </c>
      <c r="J1099" s="73" t="str">
        <f t="shared" si="453"/>
        <v>--</v>
      </c>
      <c r="K1099" s="32"/>
      <c r="L1099" s="233"/>
      <c r="M1099" s="278"/>
      <c r="N1099" s="278"/>
      <c r="O1099" s="278"/>
      <c r="P1099" s="278"/>
      <c r="Q1099" s="278"/>
      <c r="R1099" s="278"/>
      <c r="S1099" s="278"/>
      <c r="T1099" s="278"/>
      <c r="U1099" s="279"/>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 thickBot="1" x14ac:dyDescent="0.35">
      <c r="A1100" s="88"/>
      <c r="B1100" s="66" t="s">
        <v>306</v>
      </c>
      <c r="C1100" s="67"/>
      <c r="D1100" s="102"/>
      <c r="E1100" s="32"/>
      <c r="F1100" s="32"/>
      <c r="G1100" s="68" t="s">
        <v>285</v>
      </c>
      <c r="H1100" s="69">
        <f t="shared" si="451"/>
        <v>0</v>
      </c>
      <c r="I1100" s="70">
        <f t="shared" si="452"/>
        <v>0</v>
      </c>
      <c r="J1100" s="73" t="str">
        <f t="shared" si="453"/>
        <v>--</v>
      </c>
      <c r="K1100" s="32"/>
      <c r="L1100" s="233"/>
      <c r="M1100" s="278"/>
      <c r="N1100" s="278"/>
      <c r="O1100" s="278"/>
      <c r="P1100" s="278"/>
      <c r="Q1100" s="278"/>
      <c r="R1100" s="278"/>
      <c r="S1100" s="278"/>
      <c r="T1100" s="278"/>
      <c r="U1100" s="279"/>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 thickBot="1" x14ac:dyDescent="0.35">
      <c r="A1101" s="88"/>
      <c r="B1101" s="66" t="s">
        <v>307</v>
      </c>
      <c r="C1101" s="67"/>
      <c r="D1101" s="102"/>
      <c r="E1101" s="32"/>
      <c r="F1101" s="32"/>
      <c r="G1101" s="68" t="s">
        <v>285</v>
      </c>
      <c r="H1101" s="69">
        <f t="shared" si="451"/>
        <v>0</v>
      </c>
      <c r="I1101" s="70">
        <f t="shared" si="452"/>
        <v>0</v>
      </c>
      <c r="J1101" s="73" t="str">
        <f t="shared" si="453"/>
        <v>--</v>
      </c>
      <c r="K1101" s="32"/>
      <c r="L1101" s="233"/>
      <c r="M1101" s="278"/>
      <c r="N1101" s="278"/>
      <c r="O1101" s="278"/>
      <c r="P1101" s="278"/>
      <c r="Q1101" s="278"/>
      <c r="R1101" s="278"/>
      <c r="S1101" s="278"/>
      <c r="T1101" s="278"/>
      <c r="U1101" s="279"/>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 thickBot="1" x14ac:dyDescent="0.35">
      <c r="A1102" s="88"/>
      <c r="B1102" s="66" t="s">
        <v>308</v>
      </c>
      <c r="C1102" s="67"/>
      <c r="D1102" s="102"/>
      <c r="E1102" s="32"/>
      <c r="F1102" s="32"/>
      <c r="G1102" s="68" t="s">
        <v>285</v>
      </c>
      <c r="H1102" s="69">
        <f t="shared" si="451"/>
        <v>0</v>
      </c>
      <c r="I1102" s="70">
        <f t="shared" si="452"/>
        <v>0</v>
      </c>
      <c r="J1102" s="73" t="str">
        <f t="shared" si="453"/>
        <v>--</v>
      </c>
      <c r="K1102" s="32"/>
      <c r="L1102" s="233"/>
      <c r="M1102" s="278"/>
      <c r="N1102" s="278"/>
      <c r="O1102" s="278"/>
      <c r="P1102" s="278"/>
      <c r="Q1102" s="278"/>
      <c r="R1102" s="278"/>
      <c r="S1102" s="278"/>
      <c r="T1102" s="278"/>
      <c r="U1102" s="279"/>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 thickBot="1" x14ac:dyDescent="0.35">
      <c r="A1103" s="88"/>
      <c r="B1103" s="66" t="s">
        <v>309</v>
      </c>
      <c r="C1103" s="67"/>
      <c r="D1103" s="102"/>
      <c r="E1103" s="32"/>
      <c r="F1103" s="32"/>
      <c r="G1103" s="68" t="s">
        <v>285</v>
      </c>
      <c r="H1103" s="69">
        <f t="shared" si="451"/>
        <v>0</v>
      </c>
      <c r="I1103" s="70">
        <f t="shared" si="452"/>
        <v>0</v>
      </c>
      <c r="J1103" s="73" t="str">
        <f t="shared" si="453"/>
        <v>--</v>
      </c>
      <c r="K1103" s="32"/>
      <c r="L1103" s="233"/>
      <c r="M1103" s="278"/>
      <c r="N1103" s="278"/>
      <c r="O1103" s="278"/>
      <c r="P1103" s="278"/>
      <c r="Q1103" s="278"/>
      <c r="R1103" s="278"/>
      <c r="S1103" s="278"/>
      <c r="T1103" s="278"/>
      <c r="U1103" s="279"/>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 thickBot="1" x14ac:dyDescent="0.35">
      <c r="A1104" s="88"/>
      <c r="B1104" s="66" t="s">
        <v>310</v>
      </c>
      <c r="C1104" s="67"/>
      <c r="D1104" s="102"/>
      <c r="E1104" s="32"/>
      <c r="F1104" s="32"/>
      <c r="G1104" s="68" t="s">
        <v>285</v>
      </c>
      <c r="H1104" s="69">
        <f t="shared" si="451"/>
        <v>0</v>
      </c>
      <c r="I1104" s="70">
        <f t="shared" si="452"/>
        <v>0</v>
      </c>
      <c r="J1104" s="73" t="str">
        <f t="shared" si="453"/>
        <v>--</v>
      </c>
      <c r="K1104" s="32"/>
      <c r="L1104" s="233"/>
      <c r="M1104" s="278"/>
      <c r="N1104" s="278"/>
      <c r="O1104" s="278"/>
      <c r="P1104" s="278"/>
      <c r="Q1104" s="278"/>
      <c r="R1104" s="278"/>
      <c r="S1104" s="278"/>
      <c r="T1104" s="278"/>
      <c r="U1104" s="279"/>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 thickBot="1" x14ac:dyDescent="0.35">
      <c r="A1105" s="88"/>
      <c r="B1105" s="66" t="s">
        <v>311</v>
      </c>
      <c r="C1105" s="67"/>
      <c r="D1105" s="102"/>
      <c r="E1105" s="32"/>
      <c r="F1105" s="32"/>
      <c r="G1105" s="68" t="s">
        <v>285</v>
      </c>
      <c r="H1105" s="69">
        <f t="shared" si="451"/>
        <v>0</v>
      </c>
      <c r="I1105" s="70">
        <f t="shared" si="452"/>
        <v>0</v>
      </c>
      <c r="J1105" s="73" t="str">
        <f t="shared" si="453"/>
        <v>--</v>
      </c>
      <c r="K1105" s="32"/>
      <c r="L1105" s="233"/>
      <c r="M1105" s="278"/>
      <c r="N1105" s="278"/>
      <c r="O1105" s="278"/>
      <c r="P1105" s="278"/>
      <c r="Q1105" s="278"/>
      <c r="R1105" s="278"/>
      <c r="S1105" s="278"/>
      <c r="T1105" s="278"/>
      <c r="U1105" s="279"/>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 thickBot="1" x14ac:dyDescent="0.35">
      <c r="A1106" s="88"/>
      <c r="B1106" s="66" t="s">
        <v>312</v>
      </c>
      <c r="C1106" s="67"/>
      <c r="D1106" s="102"/>
      <c r="E1106" s="32"/>
      <c r="F1106" s="32"/>
      <c r="G1106" s="68" t="s">
        <v>285</v>
      </c>
      <c r="H1106" s="69">
        <f t="shared" si="451"/>
        <v>0</v>
      </c>
      <c r="I1106" s="70">
        <f t="shared" si="452"/>
        <v>0</v>
      </c>
      <c r="J1106" s="73" t="str">
        <f t="shared" si="453"/>
        <v>--</v>
      </c>
      <c r="K1106" s="32"/>
      <c r="L1106" s="233"/>
      <c r="M1106" s="278"/>
      <c r="N1106" s="278"/>
      <c r="O1106" s="278"/>
      <c r="P1106" s="278"/>
      <c r="Q1106" s="278"/>
      <c r="R1106" s="278"/>
      <c r="S1106" s="278"/>
      <c r="T1106" s="278"/>
      <c r="U1106" s="279"/>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 thickBot="1" x14ac:dyDescent="0.35">
      <c r="A1107" s="88"/>
      <c r="B1107" s="66" t="s">
        <v>313</v>
      </c>
      <c r="C1107" s="67"/>
      <c r="D1107" s="102"/>
      <c r="E1107" s="32"/>
      <c r="F1107" s="32"/>
      <c r="G1107" s="68" t="s">
        <v>285</v>
      </c>
      <c r="H1107" s="69">
        <f t="shared" si="451"/>
        <v>0</v>
      </c>
      <c r="I1107" s="70">
        <f t="shared" si="452"/>
        <v>0</v>
      </c>
      <c r="J1107" s="73" t="str">
        <f t="shared" si="453"/>
        <v>--</v>
      </c>
      <c r="K1107" s="32"/>
      <c r="L1107" s="234"/>
      <c r="M1107" s="278"/>
      <c r="N1107" s="278"/>
      <c r="O1107" s="278"/>
      <c r="P1107" s="278"/>
      <c r="Q1107" s="278"/>
      <c r="R1107" s="278"/>
      <c r="S1107" s="278"/>
      <c r="T1107" s="278"/>
      <c r="U1107" s="279"/>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2" thickBot="1" x14ac:dyDescent="0.35">
      <c r="A1108" s="88"/>
      <c r="B1108" s="319" t="s">
        <v>428</v>
      </c>
      <c r="C1108" s="320"/>
      <c r="D1108" s="79"/>
      <c r="E1108" s="80"/>
      <c r="F1108" s="80"/>
      <c r="G1108" s="81"/>
      <c r="H1108" s="192"/>
      <c r="I1108" s="192"/>
      <c r="J1108" s="192"/>
      <c r="K1108" s="82"/>
      <c r="L1108" s="319" t="s">
        <v>319</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2" thickBot="1" x14ac:dyDescent="0.35">
      <c r="A1109" s="88"/>
      <c r="B1109" s="319" t="s">
        <v>320</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3">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 thickBot="1" x14ac:dyDescent="0.35">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5">
      <c r="A1112" s="88"/>
      <c r="B1112" s="85" t="s">
        <v>429</v>
      </c>
      <c r="C1112" s="25"/>
      <c r="D1112" s="25"/>
      <c r="E1112" s="25"/>
      <c r="F1112" s="88"/>
      <c r="G1112" s="25"/>
      <c r="H1112" s="25"/>
      <c r="I1112" s="87"/>
      <c r="J1112" s="26"/>
      <c r="K1112" s="25"/>
      <c r="L1112" s="25"/>
      <c r="M1112" s="196" t="s">
        <v>217</v>
      </c>
      <c r="N1112" s="196" t="s">
        <v>218</v>
      </c>
      <c r="O1112" s="196" t="s">
        <v>219</v>
      </c>
      <c r="P1112" s="196" t="s">
        <v>220</v>
      </c>
      <c r="Q1112" s="196" t="s">
        <v>221</v>
      </c>
      <c r="R1112" s="196" t="s">
        <v>222</v>
      </c>
      <c r="S1112" s="196" t="s">
        <v>223</v>
      </c>
      <c r="T1112" s="196" t="s">
        <v>224</v>
      </c>
      <c r="U1112" s="196" t="s">
        <v>225</v>
      </c>
      <c r="V1112" s="196" t="s">
        <v>226</v>
      </c>
      <c r="W1112" s="113" t="s">
        <v>227</v>
      </c>
      <c r="X1112" s="196" t="s">
        <v>228</v>
      </c>
      <c r="Y1112" s="25"/>
      <c r="Z1112" s="25"/>
      <c r="AA1112" s="25"/>
      <c r="AB1112" s="25"/>
      <c r="AC1112" s="25"/>
      <c r="AD1112" s="25"/>
      <c r="BA1112" s="226"/>
    </row>
    <row r="1113" spans="1:53" ht="15.6" thickTop="1" thickBot="1" x14ac:dyDescent="0.35">
      <c r="A1113" s="88"/>
      <c r="B1113" s="312" t="s">
        <v>229</v>
      </c>
      <c r="C1113" s="313"/>
      <c r="D1113" s="314" t="s">
        <v>230</v>
      </c>
      <c r="E1113" s="305"/>
      <c r="F1113" s="88"/>
      <c r="G1113" s="315" t="s">
        <v>231</v>
      </c>
      <c r="H1113" s="316"/>
      <c r="I1113" s="28">
        <f>SUM(E1124:E1148)</f>
        <v>0</v>
      </c>
      <c r="J1113" s="317" t="s">
        <v>232</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233</v>
      </c>
      <c r="AA1113" s="296"/>
      <c r="AB1113" s="297"/>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234</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5">
      <c r="A1114" s="88"/>
      <c r="B1114" s="29" t="s">
        <v>235</v>
      </c>
      <c r="C1114" s="30">
        <v>0</v>
      </c>
      <c r="D1114" s="31" t="s">
        <v>236</v>
      </c>
      <c r="E1114" s="66" t="str">
        <f>TEXT(IF('Cable Calculator'!EI7="","",'Cable Calculator'!EI7),)</f>
        <v/>
      </c>
      <c r="F1114" s="88"/>
      <c r="G1114" s="304" t="s">
        <v>237</v>
      </c>
      <c r="H1114" s="305"/>
      <c r="I1114" s="33">
        <f>E1115-I1113</f>
        <v>0</v>
      </c>
      <c r="J1114" s="289" t="s">
        <v>238</v>
      </c>
      <c r="K1114" s="290"/>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8" t="s">
        <v>239</v>
      </c>
      <c r="AA1114" s="300" t="s">
        <v>240</v>
      </c>
      <c r="AB1114" s="301"/>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241</v>
      </c>
      <c r="AU1114" s="109">
        <f>COUNTIFS($E1114,"SS",$AS1114,"Y")</f>
        <v>0</v>
      </c>
      <c r="AV1114" s="111">
        <f>COUNTIFS($E1114,"RPX",$AS1114,"Y")</f>
        <v>0</v>
      </c>
      <c r="AW1114" s="111">
        <f>COUNTIFS($E1114,"EUC",$AS1114,"Y")</f>
        <v>0</v>
      </c>
      <c r="AX1114" s="109">
        <f>COUNTIFS($E1114,"RPX-T",$AS1114,"Y")</f>
        <v>0</v>
      </c>
      <c r="BA1114" s="227"/>
    </row>
    <row r="1115" spans="1:53" ht="15.6" thickTop="1" thickBot="1" x14ac:dyDescent="0.35">
      <c r="A1115" s="88"/>
      <c r="B1115" s="36" t="s">
        <v>242</v>
      </c>
      <c r="C1115" s="37">
        <v>0</v>
      </c>
      <c r="D1115" s="38" t="s">
        <v>243</v>
      </c>
      <c r="E1115" s="32"/>
      <c r="F1115" s="88"/>
      <c r="G1115" s="291" t="s">
        <v>244</v>
      </c>
      <c r="H1115" s="292"/>
      <c r="I1115" s="35">
        <f>IF(E1115=0,0,12-(MOD(I1113,12)))</f>
        <v>0</v>
      </c>
      <c r="J1115" s="289" t="s">
        <v>245</v>
      </c>
      <c r="K1115" s="290"/>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246</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5">
      <c r="A1116" s="88"/>
      <c r="B1116" s="40" t="s">
        <v>247</v>
      </c>
      <c r="C1116" s="30">
        <v>0</v>
      </c>
      <c r="D1116" s="41" t="s">
        <v>248</v>
      </c>
      <c r="E1116" s="42"/>
      <c r="F1116" s="88"/>
      <c r="G1116" s="321" t="s">
        <v>249</v>
      </c>
      <c r="H1116" s="43" t="s">
        <v>250</v>
      </c>
      <c r="I1116" s="35">
        <f>IF(E1116&lt;&gt;0,1,0)</f>
        <v>0</v>
      </c>
      <c r="J1116" s="291" t="s">
        <v>251</v>
      </c>
      <c r="K1116" s="292"/>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252</v>
      </c>
      <c r="AU1116" s="109">
        <f>COUNTIFS($E1114,"SS",$AS1116,"Y")</f>
        <v>0</v>
      </c>
      <c r="AV1116" s="108">
        <f>COUNTIFS($E1114,"RPX",$AS1116,"Y")</f>
        <v>0</v>
      </c>
      <c r="AW1116" s="108">
        <f>COUNTIFS($E1114,"EUC",$AS1116,"Y")</f>
        <v>0</v>
      </c>
      <c r="AX1116" s="109">
        <f>COUNTIFS($E1114,"RPX-T",$AS1116,"Y")</f>
        <v>0</v>
      </c>
      <c r="BA1116" s="227"/>
    </row>
    <row r="1117" spans="1:53" ht="15.6" thickTop="1" thickBot="1" x14ac:dyDescent="0.35">
      <c r="A1117" s="88"/>
      <c r="B1117" s="29" t="s">
        <v>253</v>
      </c>
      <c r="C1117" s="37">
        <v>0</v>
      </c>
      <c r="D1117" s="41" t="s">
        <v>254</v>
      </c>
      <c r="E1117" s="42"/>
      <c r="F1117" s="88"/>
      <c r="G1117" s="322"/>
      <c r="H1117" s="47" t="s">
        <v>255</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5">
      <c r="A1118" s="88"/>
      <c r="B1118" s="36" t="s">
        <v>256</v>
      </c>
      <c r="C1118" s="30">
        <v>0</v>
      </c>
      <c r="D1118" s="49" t="s">
        <v>257</v>
      </c>
      <c r="E1118" s="50">
        <f>E1115/12</f>
        <v>0</v>
      </c>
      <c r="F1118" s="88"/>
      <c r="G1118" s="321" t="s">
        <v>258</v>
      </c>
      <c r="H1118" s="51" t="s">
        <v>259</v>
      </c>
      <c r="I1118" s="112">
        <f>E1117</f>
        <v>0</v>
      </c>
      <c r="J1118" s="323" t="s">
        <v>260</v>
      </c>
      <c r="K1118" s="324"/>
      <c r="L1118" s="325"/>
      <c r="M1118" s="52" t="s">
        <v>261</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5.6" thickTop="1" thickBot="1" x14ac:dyDescent="0.35">
      <c r="A1119" s="88"/>
      <c r="B1119" s="36" t="s">
        <v>262</v>
      </c>
      <c r="C1119" s="30">
        <v>0</v>
      </c>
      <c r="D1119" s="31" t="s">
        <v>263</v>
      </c>
      <c r="E1119" s="101" t="str">
        <f>IF('Cable Calculator'!EI5="","",'Cable Calculator'!EI5)</f>
        <v/>
      </c>
      <c r="F1119" s="88"/>
      <c r="G1119" s="322"/>
      <c r="H1119" s="47" t="s">
        <v>264</v>
      </c>
      <c r="I1119" s="35" t="str">
        <f>IF(E1117="","0",IF(AND(E1114="EUC",E1115=432), I1118+(203-E1116),IF(E1117=0,0,(E1117+(E1115-E1116)-1))))</f>
        <v>0</v>
      </c>
      <c r="J1119" s="286" t="str">
        <f>IFERROR(IF(OR(E1114="EUC",E1114="SS"),"---",IF(OR(P1113,S1113),"NO 2F Tethers for RPX!",IF(OR(P1115,S1115),"NO 6F Tethers for RPX!","---"))),"---")</f>
        <v>---</v>
      </c>
      <c r="K1119" s="287"/>
      <c r="L1119" s="288"/>
      <c r="M1119" s="286" t="str">
        <f>IF(E1116&gt;60,"Dead Count &gt;60: Consider Downsize","---")</f>
        <v>---</v>
      </c>
      <c r="N1119" s="287"/>
      <c r="O1119" s="287"/>
      <c r="P1119" s="287"/>
      <c r="Q1119" s="287"/>
      <c r="R1119" s="287"/>
      <c r="S1119" s="287"/>
      <c r="T1119" s="287"/>
      <c r="U1119" s="288"/>
      <c r="V1119" s="100"/>
      <c r="W1119" s="54">
        <f>SUM(P1119:U1119)</f>
        <v>0</v>
      </c>
      <c r="X1119" s="54"/>
      <c r="Y1119" s="25"/>
      <c r="Z1119" s="45">
        <v>4</v>
      </c>
      <c r="AA1119" s="46">
        <v>37</v>
      </c>
      <c r="AB1119" s="46">
        <v>48</v>
      </c>
      <c r="AC1119" s="25"/>
      <c r="AD1119" s="25"/>
      <c r="BA1119" s="227"/>
    </row>
    <row r="1120" spans="1:53" ht="15.6" thickTop="1" thickBot="1" x14ac:dyDescent="0.35">
      <c r="A1120" s="88"/>
      <c r="B1120" s="55" t="s">
        <v>265</v>
      </c>
      <c r="C1120" s="56">
        <f>SUM(C1114:C1119)+I1113</f>
        <v>0</v>
      </c>
      <c r="D1120" s="31" t="s">
        <v>266</v>
      </c>
      <c r="E1120" s="101" t="str">
        <f>IF(AS1114="Y","DBL",IF(AS1115="Y","TRPL",IF(AS1116="Y","QUAD","")))</f>
        <v/>
      </c>
      <c r="F1120" s="88"/>
      <c r="G1120" s="192"/>
      <c r="H1120" s="57"/>
      <c r="I1120" s="192"/>
      <c r="J1120" s="286"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7"/>
      <c r="L1120" s="288"/>
      <c r="M1120" s="286" t="str">
        <f>IF(AND(OR(E1114="SS",E1114="RPX",E1114="EUC",E1114="RPX-T"),(OR(C1124="",C1124="Field SPL"))),"Cannot have FlexNap cables without tethers","---")</f>
        <v>---</v>
      </c>
      <c r="N1120" s="287"/>
      <c r="O1120" s="287"/>
      <c r="P1120" s="287"/>
      <c r="Q1120" s="287"/>
      <c r="R1120" s="287"/>
      <c r="S1120" s="287"/>
      <c r="T1120" s="287"/>
      <c r="U1120" s="288"/>
      <c r="V1120" s="25"/>
      <c r="W1120" s="58"/>
      <c r="X1120" s="58"/>
      <c r="Y1120" s="25"/>
      <c r="Z1120" s="45">
        <v>5</v>
      </c>
      <c r="AA1120" s="46">
        <v>49</v>
      </c>
      <c r="AB1120" s="46">
        <v>60</v>
      </c>
      <c r="AC1120" s="25"/>
      <c r="AD1120" s="25"/>
      <c r="BA1120" s="227"/>
    </row>
    <row r="1121" spans="1:53" ht="15.6" thickTop="1" thickBot="1" x14ac:dyDescent="0.35">
      <c r="A1121" s="88"/>
      <c r="B1121" s="59"/>
      <c r="C1121" s="60"/>
      <c r="D1121" s="61"/>
      <c r="E1121" s="62"/>
      <c r="F1121" s="88"/>
      <c r="G1121" s="63"/>
      <c r="H1121" s="64"/>
      <c r="I1121" s="63"/>
      <c r="J1121" s="286" t="str">
        <f>IF(AND(OR(E1114="RPX", E1114="RPX-T", E1114="SS"),E1115=216),"NO 216 For RPX, RPX-T, OR SS CABLE","---")</f>
        <v>---</v>
      </c>
      <c r="K1121" s="287"/>
      <c r="L1121" s="288"/>
      <c r="M1121" s="286" t="str" cm="1">
        <f t="array" ref="M1121">IF(AND(E1114="",OR(C1124:C1148="FST",C1124:C1148="REV T",C1124:C1148="DBL REV",C1124:C1148="TPL REV", C1124:C1148="QD REV")),"Non-FlexNap cables cannot have tethers","---")</f>
        <v>---</v>
      </c>
      <c r="N1121" s="287"/>
      <c r="O1121" s="287"/>
      <c r="P1121" s="287"/>
      <c r="Q1121" s="287"/>
      <c r="R1121" s="287"/>
      <c r="S1121" s="287"/>
      <c r="T1121" s="287"/>
      <c r="U1121" s="288"/>
      <c r="V1121" s="25"/>
      <c r="W1121" s="58"/>
      <c r="X1121" s="58"/>
      <c r="Y1121" s="25"/>
      <c r="Z1121" s="45">
        <v>6</v>
      </c>
      <c r="AA1121" s="65">
        <v>61</v>
      </c>
      <c r="AB1121" s="65">
        <v>72</v>
      </c>
      <c r="AC1121" s="25"/>
      <c r="AD1121" s="25"/>
      <c r="BA1121" s="226"/>
    </row>
    <row r="1122" spans="1:53" ht="15.75" customHeight="1" thickBot="1" x14ac:dyDescent="0.35">
      <c r="A1122" s="88"/>
      <c r="B1122" s="321" t="s">
        <v>267</v>
      </c>
      <c r="C1122" s="293" t="s">
        <v>268</v>
      </c>
      <c r="D1122" s="293" t="s">
        <v>269</v>
      </c>
      <c r="E1122" s="306" t="s">
        <v>270</v>
      </c>
      <c r="F1122" s="293" t="s">
        <v>271</v>
      </c>
      <c r="G1122" s="308" t="s">
        <v>272</v>
      </c>
      <c r="H1122" s="308" t="s">
        <v>273</v>
      </c>
      <c r="I1122" s="308" t="s">
        <v>274</v>
      </c>
      <c r="J1122" s="310" t="s">
        <v>275</v>
      </c>
      <c r="K1122" s="293" t="s">
        <v>276</v>
      </c>
      <c r="L1122" s="280" t="s">
        <v>277</v>
      </c>
      <c r="M1122" s="282" t="s">
        <v>278</v>
      </c>
      <c r="N1122" s="282"/>
      <c r="O1122" s="282"/>
      <c r="P1122" s="282"/>
      <c r="Q1122" s="282"/>
      <c r="R1122" s="282"/>
      <c r="S1122" s="282"/>
      <c r="T1122" s="282"/>
      <c r="U1122" s="283"/>
      <c r="V1122" s="107"/>
      <c r="W1122" s="72"/>
      <c r="X1122" s="72"/>
      <c r="Y1122" s="72"/>
      <c r="Z1122" s="45">
        <v>7</v>
      </c>
      <c r="AA1122" s="65">
        <v>73</v>
      </c>
      <c r="AB1122" s="65">
        <v>84</v>
      </c>
      <c r="AC1122" s="25"/>
      <c r="AD1122" s="25"/>
      <c r="BA1122" s="228"/>
    </row>
    <row r="1123" spans="1:53" ht="15" thickBot="1" x14ac:dyDescent="0.35">
      <c r="A1123" s="88"/>
      <c r="B1123" s="322"/>
      <c r="C1123" s="294"/>
      <c r="D1123" s="294"/>
      <c r="E1123" s="307"/>
      <c r="F1123" s="294"/>
      <c r="G1123" s="309"/>
      <c r="H1123" s="309"/>
      <c r="I1123" s="309"/>
      <c r="J1123" s="311"/>
      <c r="K1123" s="294"/>
      <c r="L1123" s="281"/>
      <c r="M1123" s="284"/>
      <c r="N1123" s="284"/>
      <c r="O1123" s="284"/>
      <c r="P1123" s="284"/>
      <c r="Q1123" s="284"/>
      <c r="R1123" s="284"/>
      <c r="S1123" s="284"/>
      <c r="T1123" s="284"/>
      <c r="U1123" s="285"/>
      <c r="V1123" s="107"/>
      <c r="W1123" s="72"/>
      <c r="X1123" s="72"/>
      <c r="Y1123" s="72"/>
      <c r="Z1123" s="45">
        <v>8</v>
      </c>
      <c r="AA1123" s="46">
        <v>85</v>
      </c>
      <c r="AB1123" s="46">
        <v>96</v>
      </c>
      <c r="AC1123" s="25"/>
      <c r="AD1123" s="25"/>
      <c r="AI1123" s="109" t="s">
        <v>279</v>
      </c>
      <c r="AJ1123" s="109" t="s">
        <v>280</v>
      </c>
      <c r="AK1123" s="109" t="s">
        <v>281</v>
      </c>
      <c r="AL1123" s="109" t="s">
        <v>282</v>
      </c>
      <c r="BA1123" s="228"/>
    </row>
    <row r="1124" spans="1:53" ht="15" thickBot="1" x14ac:dyDescent="0.35">
      <c r="A1124" s="88"/>
      <c r="B1124" s="66" t="s">
        <v>283</v>
      </c>
      <c r="C1124" s="67"/>
      <c r="D1124" s="102"/>
      <c r="E1124" s="32"/>
      <c r="F1124" s="32"/>
      <c r="G1124" s="68" t="s">
        <v>285</v>
      </c>
      <c r="H1124" s="69">
        <f>IF(I1124=0,0,I1124-(E1124-1))</f>
        <v>0</v>
      </c>
      <c r="I1124" s="70">
        <f>IF(E1124=0,0,I1119)</f>
        <v>0</v>
      </c>
      <c r="J1124" s="71" t="s">
        <v>286</v>
      </c>
      <c r="K1124" s="32"/>
      <c r="L1124" s="233"/>
      <c r="M1124" s="278"/>
      <c r="N1124" s="278"/>
      <c r="O1124" s="278"/>
      <c r="P1124" s="278"/>
      <c r="Q1124" s="278"/>
      <c r="R1124" s="278"/>
      <c r="S1124" s="278"/>
      <c r="T1124" s="278"/>
      <c r="U1124" s="279"/>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 thickBot="1" x14ac:dyDescent="0.35">
      <c r="A1125" s="88"/>
      <c r="B1125" s="66" t="s">
        <v>288</v>
      </c>
      <c r="C1125" s="67"/>
      <c r="D1125" s="102"/>
      <c r="E1125" s="32"/>
      <c r="F1125" s="32"/>
      <c r="G1125" s="68" t="s">
        <v>285</v>
      </c>
      <c r="H1125" s="69">
        <f t="shared" ref="H1125:H1148" si="468">IF(E1125=0,0,I1125-(E1125-1))</f>
        <v>0</v>
      </c>
      <c r="I1125" s="70">
        <f t="shared" ref="I1125:I1148" si="469">IF(E1125=0,0,H1124-1)</f>
        <v>0</v>
      </c>
      <c r="J1125" s="73" t="str">
        <f>IF(C1125="","--",IF(AND(C1125&lt;&gt;"FST",C1125&lt;&gt;"TCF",BA1124&lt;&gt;0),BA1124,"--"))</f>
        <v>--</v>
      </c>
      <c r="K1125" s="32"/>
      <c r="L1125" s="233"/>
      <c r="M1125" s="278"/>
      <c r="N1125" s="278"/>
      <c r="O1125" s="278"/>
      <c r="P1125" s="278"/>
      <c r="Q1125" s="278"/>
      <c r="R1125" s="278"/>
      <c r="S1125" s="278"/>
      <c r="T1125" s="278"/>
      <c r="U1125" s="279"/>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 thickBot="1" x14ac:dyDescent="0.35">
      <c r="A1126" s="88"/>
      <c r="B1126" s="74" t="s">
        <v>290</v>
      </c>
      <c r="C1126" s="67"/>
      <c r="D1126" s="102"/>
      <c r="E1126" s="32"/>
      <c r="F1126" s="32"/>
      <c r="G1126" s="75" t="s">
        <v>285</v>
      </c>
      <c r="H1126" s="69">
        <f t="shared" si="468"/>
        <v>0</v>
      </c>
      <c r="I1126" s="70">
        <f t="shared" si="469"/>
        <v>0</v>
      </c>
      <c r="J1126" s="73" t="str">
        <f t="shared" ref="J1126:J1148" si="470">IF(C1126="","--",IF(AND(C1126&lt;&gt;"FST",C1126&lt;&gt;"TCF",BA1125&lt;&gt;0),BA1125,"--"))</f>
        <v>--</v>
      </c>
      <c r="K1126" s="32"/>
      <c r="L1126" s="233"/>
      <c r="M1126" s="278"/>
      <c r="N1126" s="278"/>
      <c r="O1126" s="278"/>
      <c r="P1126" s="278"/>
      <c r="Q1126" s="278"/>
      <c r="R1126" s="278"/>
      <c r="S1126" s="278"/>
      <c r="T1126" s="278"/>
      <c r="U1126" s="279"/>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 thickBot="1" x14ac:dyDescent="0.35">
      <c r="A1127" s="88"/>
      <c r="B1127" s="66" t="s">
        <v>292</v>
      </c>
      <c r="C1127" s="67"/>
      <c r="D1127" s="102"/>
      <c r="E1127" s="32"/>
      <c r="F1127" s="32"/>
      <c r="G1127" s="68" t="s">
        <v>285</v>
      </c>
      <c r="H1127" s="69">
        <f t="shared" si="468"/>
        <v>0</v>
      </c>
      <c r="I1127" s="70">
        <f t="shared" si="469"/>
        <v>0</v>
      </c>
      <c r="J1127" s="73" t="str">
        <f t="shared" si="470"/>
        <v>--</v>
      </c>
      <c r="K1127" s="32"/>
      <c r="L1127" s="233"/>
      <c r="M1127" s="278"/>
      <c r="N1127" s="278"/>
      <c r="O1127" s="278"/>
      <c r="P1127" s="278"/>
      <c r="Q1127" s="278"/>
      <c r="R1127" s="278"/>
      <c r="S1127" s="278"/>
      <c r="T1127" s="278"/>
      <c r="U1127" s="279"/>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 thickBot="1" x14ac:dyDescent="0.35">
      <c r="A1128" s="88"/>
      <c r="B1128" s="66" t="s">
        <v>293</v>
      </c>
      <c r="C1128" s="67"/>
      <c r="D1128" s="102"/>
      <c r="E1128" s="32"/>
      <c r="F1128" s="32"/>
      <c r="G1128" s="68" t="s">
        <v>285</v>
      </c>
      <c r="H1128" s="69">
        <f t="shared" si="468"/>
        <v>0</v>
      </c>
      <c r="I1128" s="70">
        <f t="shared" si="469"/>
        <v>0</v>
      </c>
      <c r="J1128" s="73" t="str">
        <f t="shared" si="470"/>
        <v>--</v>
      </c>
      <c r="K1128" s="32"/>
      <c r="L1128" s="233"/>
      <c r="M1128" s="278"/>
      <c r="N1128" s="278"/>
      <c r="O1128" s="278"/>
      <c r="P1128" s="278"/>
      <c r="Q1128" s="278"/>
      <c r="R1128" s="278"/>
      <c r="S1128" s="278"/>
      <c r="T1128" s="278"/>
      <c r="U1128" s="279"/>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 thickBot="1" x14ac:dyDescent="0.35">
      <c r="A1129" s="88"/>
      <c r="B1129" s="66" t="s">
        <v>294</v>
      </c>
      <c r="C1129" s="67"/>
      <c r="D1129" s="102"/>
      <c r="E1129" s="32"/>
      <c r="F1129" s="32"/>
      <c r="G1129" s="68" t="s">
        <v>285</v>
      </c>
      <c r="H1129" s="69">
        <f t="shared" si="468"/>
        <v>0</v>
      </c>
      <c r="I1129" s="70">
        <f t="shared" si="469"/>
        <v>0</v>
      </c>
      <c r="J1129" s="73" t="str">
        <f t="shared" si="470"/>
        <v>--</v>
      </c>
      <c r="K1129" s="32"/>
      <c r="L1129" s="233"/>
      <c r="M1129" s="278"/>
      <c r="N1129" s="278"/>
      <c r="O1129" s="278"/>
      <c r="P1129" s="278"/>
      <c r="Q1129" s="278"/>
      <c r="R1129" s="278"/>
      <c r="S1129" s="278"/>
      <c r="T1129" s="278"/>
      <c r="U1129" s="279"/>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 thickBot="1" x14ac:dyDescent="0.35">
      <c r="A1130" s="88"/>
      <c r="B1130" s="66" t="s">
        <v>295</v>
      </c>
      <c r="C1130" s="67"/>
      <c r="D1130" s="102"/>
      <c r="E1130" s="32"/>
      <c r="F1130" s="32"/>
      <c r="G1130" s="68" t="s">
        <v>285</v>
      </c>
      <c r="H1130" s="69">
        <f t="shared" si="468"/>
        <v>0</v>
      </c>
      <c r="I1130" s="70">
        <f t="shared" si="469"/>
        <v>0</v>
      </c>
      <c r="J1130" s="73" t="str">
        <f t="shared" si="470"/>
        <v>--</v>
      </c>
      <c r="K1130" s="32"/>
      <c r="L1130" s="233"/>
      <c r="M1130" s="278"/>
      <c r="N1130" s="278"/>
      <c r="O1130" s="278"/>
      <c r="P1130" s="278"/>
      <c r="Q1130" s="278"/>
      <c r="R1130" s="278"/>
      <c r="S1130" s="278"/>
      <c r="T1130" s="278"/>
      <c r="U1130" s="279"/>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 thickBot="1" x14ac:dyDescent="0.35">
      <c r="A1131" s="88"/>
      <c r="B1131" s="66" t="s">
        <v>296</v>
      </c>
      <c r="C1131" s="67"/>
      <c r="D1131" s="102"/>
      <c r="E1131" s="32"/>
      <c r="F1131" s="32"/>
      <c r="G1131" s="68" t="s">
        <v>285</v>
      </c>
      <c r="H1131" s="69">
        <f t="shared" si="468"/>
        <v>0</v>
      </c>
      <c r="I1131" s="70">
        <f t="shared" si="469"/>
        <v>0</v>
      </c>
      <c r="J1131" s="73" t="str">
        <f t="shared" si="470"/>
        <v>--</v>
      </c>
      <c r="K1131" s="32"/>
      <c r="L1131" s="233"/>
      <c r="M1131" s="278"/>
      <c r="N1131" s="278"/>
      <c r="O1131" s="278"/>
      <c r="P1131" s="278"/>
      <c r="Q1131" s="278"/>
      <c r="R1131" s="278"/>
      <c r="S1131" s="278"/>
      <c r="T1131" s="278"/>
      <c r="U1131" s="279"/>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 thickBot="1" x14ac:dyDescent="0.35">
      <c r="A1132" s="88"/>
      <c r="B1132" s="66" t="s">
        <v>297</v>
      </c>
      <c r="C1132" s="67"/>
      <c r="D1132" s="102"/>
      <c r="E1132" s="32"/>
      <c r="F1132" s="32"/>
      <c r="G1132" s="68" t="s">
        <v>285</v>
      </c>
      <c r="H1132" s="69">
        <f t="shared" si="468"/>
        <v>0</v>
      </c>
      <c r="I1132" s="70">
        <f t="shared" si="469"/>
        <v>0</v>
      </c>
      <c r="J1132" s="73" t="str">
        <f t="shared" si="470"/>
        <v>--</v>
      </c>
      <c r="K1132" s="32"/>
      <c r="L1132" s="233"/>
      <c r="M1132" s="278"/>
      <c r="N1132" s="278"/>
      <c r="O1132" s="278"/>
      <c r="P1132" s="278"/>
      <c r="Q1132" s="278"/>
      <c r="R1132" s="278"/>
      <c r="S1132" s="278"/>
      <c r="T1132" s="278"/>
      <c r="U1132" s="27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 thickBot="1" x14ac:dyDescent="0.35">
      <c r="A1133" s="88"/>
      <c r="B1133" s="66" t="s">
        <v>298</v>
      </c>
      <c r="C1133" s="67"/>
      <c r="D1133" s="102"/>
      <c r="E1133" s="32"/>
      <c r="F1133" s="32"/>
      <c r="G1133" s="68" t="s">
        <v>285</v>
      </c>
      <c r="H1133" s="69">
        <f t="shared" si="468"/>
        <v>0</v>
      </c>
      <c r="I1133" s="70">
        <f t="shared" si="469"/>
        <v>0</v>
      </c>
      <c r="J1133" s="73" t="str">
        <f t="shared" si="470"/>
        <v>--</v>
      </c>
      <c r="K1133" s="32"/>
      <c r="L1133" s="233"/>
      <c r="M1133" s="278"/>
      <c r="N1133" s="278"/>
      <c r="O1133" s="278"/>
      <c r="P1133" s="278"/>
      <c r="Q1133" s="278"/>
      <c r="R1133" s="278"/>
      <c r="S1133" s="278"/>
      <c r="T1133" s="278"/>
      <c r="U1133" s="27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 thickBot="1" x14ac:dyDescent="0.35">
      <c r="A1134" s="88"/>
      <c r="B1134" s="66" t="s">
        <v>299</v>
      </c>
      <c r="C1134" s="67"/>
      <c r="D1134" s="102"/>
      <c r="E1134" s="32"/>
      <c r="F1134" s="32"/>
      <c r="G1134" s="68" t="s">
        <v>285</v>
      </c>
      <c r="H1134" s="69">
        <f t="shared" si="468"/>
        <v>0</v>
      </c>
      <c r="I1134" s="70">
        <f t="shared" si="469"/>
        <v>0</v>
      </c>
      <c r="J1134" s="73" t="str">
        <f t="shared" si="470"/>
        <v>--</v>
      </c>
      <c r="K1134" s="32"/>
      <c r="L1134" s="233"/>
      <c r="M1134" s="278"/>
      <c r="N1134" s="278"/>
      <c r="O1134" s="278"/>
      <c r="P1134" s="278"/>
      <c r="Q1134" s="278"/>
      <c r="R1134" s="278"/>
      <c r="S1134" s="278"/>
      <c r="T1134" s="278"/>
      <c r="U1134" s="27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 thickBot="1" x14ac:dyDescent="0.35">
      <c r="A1135" s="88"/>
      <c r="B1135" s="66" t="s">
        <v>300</v>
      </c>
      <c r="C1135" s="67"/>
      <c r="D1135" s="102"/>
      <c r="E1135" s="32"/>
      <c r="F1135" s="32"/>
      <c r="G1135" s="68" t="s">
        <v>285</v>
      </c>
      <c r="H1135" s="69">
        <f t="shared" si="468"/>
        <v>0</v>
      </c>
      <c r="I1135" s="70">
        <f t="shared" si="469"/>
        <v>0</v>
      </c>
      <c r="J1135" s="73" t="str">
        <f t="shared" si="470"/>
        <v>--</v>
      </c>
      <c r="K1135" s="32"/>
      <c r="L1135" s="233"/>
      <c r="M1135" s="278"/>
      <c r="N1135" s="278"/>
      <c r="O1135" s="278"/>
      <c r="P1135" s="278"/>
      <c r="Q1135" s="278"/>
      <c r="R1135" s="278"/>
      <c r="S1135" s="278"/>
      <c r="T1135" s="278"/>
      <c r="U1135" s="279"/>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 thickBot="1" x14ac:dyDescent="0.35">
      <c r="A1136" s="88"/>
      <c r="B1136" s="66" t="s">
        <v>301</v>
      </c>
      <c r="C1136" s="67"/>
      <c r="D1136" s="102"/>
      <c r="E1136" s="32"/>
      <c r="F1136" s="32"/>
      <c r="G1136" s="68" t="s">
        <v>285</v>
      </c>
      <c r="H1136" s="69">
        <f t="shared" si="468"/>
        <v>0</v>
      </c>
      <c r="I1136" s="70">
        <f t="shared" si="469"/>
        <v>0</v>
      </c>
      <c r="J1136" s="73" t="str">
        <f t="shared" si="470"/>
        <v>--</v>
      </c>
      <c r="K1136" s="32"/>
      <c r="L1136" s="233"/>
      <c r="M1136" s="278"/>
      <c r="N1136" s="278"/>
      <c r="O1136" s="278"/>
      <c r="P1136" s="278"/>
      <c r="Q1136" s="278"/>
      <c r="R1136" s="278"/>
      <c r="S1136" s="278"/>
      <c r="T1136" s="278"/>
      <c r="U1136" s="279"/>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 thickBot="1" x14ac:dyDescent="0.35">
      <c r="A1137" s="88"/>
      <c r="B1137" s="66" t="s">
        <v>302</v>
      </c>
      <c r="C1137" s="67"/>
      <c r="D1137" s="102"/>
      <c r="E1137" s="32"/>
      <c r="F1137" s="32"/>
      <c r="G1137" s="68" t="s">
        <v>285</v>
      </c>
      <c r="H1137" s="69">
        <f t="shared" si="468"/>
        <v>0</v>
      </c>
      <c r="I1137" s="70">
        <f t="shared" si="469"/>
        <v>0</v>
      </c>
      <c r="J1137" s="73" t="str">
        <f t="shared" si="470"/>
        <v>--</v>
      </c>
      <c r="K1137" s="32"/>
      <c r="L1137" s="233"/>
      <c r="M1137" s="278"/>
      <c r="N1137" s="278"/>
      <c r="O1137" s="278"/>
      <c r="P1137" s="278"/>
      <c r="Q1137" s="278"/>
      <c r="R1137" s="278"/>
      <c r="S1137" s="278"/>
      <c r="T1137" s="278"/>
      <c r="U1137" s="279"/>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 thickBot="1" x14ac:dyDescent="0.35">
      <c r="A1138" s="88"/>
      <c r="B1138" s="66" t="s">
        <v>303</v>
      </c>
      <c r="C1138" s="67"/>
      <c r="D1138" s="102"/>
      <c r="E1138" s="32"/>
      <c r="F1138" s="32"/>
      <c r="G1138" s="68" t="s">
        <v>285</v>
      </c>
      <c r="H1138" s="69">
        <f t="shared" si="468"/>
        <v>0</v>
      </c>
      <c r="I1138" s="70">
        <f t="shared" si="469"/>
        <v>0</v>
      </c>
      <c r="J1138" s="73" t="str">
        <f t="shared" si="470"/>
        <v>--</v>
      </c>
      <c r="K1138" s="32"/>
      <c r="L1138" s="233"/>
      <c r="M1138" s="278"/>
      <c r="N1138" s="278"/>
      <c r="O1138" s="278"/>
      <c r="P1138" s="278"/>
      <c r="Q1138" s="278"/>
      <c r="R1138" s="278"/>
      <c r="S1138" s="278"/>
      <c r="T1138" s="278"/>
      <c r="U1138" s="279"/>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 thickBot="1" x14ac:dyDescent="0.35">
      <c r="A1139" s="88"/>
      <c r="B1139" s="66" t="s">
        <v>304</v>
      </c>
      <c r="C1139" s="67"/>
      <c r="D1139" s="102"/>
      <c r="E1139" s="32"/>
      <c r="F1139" s="32"/>
      <c r="G1139" s="68" t="s">
        <v>285</v>
      </c>
      <c r="H1139" s="69">
        <f t="shared" si="468"/>
        <v>0</v>
      </c>
      <c r="I1139" s="70">
        <f t="shared" si="469"/>
        <v>0</v>
      </c>
      <c r="J1139" s="73" t="str">
        <f t="shared" si="470"/>
        <v>--</v>
      </c>
      <c r="K1139" s="32"/>
      <c r="L1139" s="233"/>
      <c r="M1139" s="278"/>
      <c r="N1139" s="278"/>
      <c r="O1139" s="278"/>
      <c r="P1139" s="278"/>
      <c r="Q1139" s="278"/>
      <c r="R1139" s="278"/>
      <c r="S1139" s="278"/>
      <c r="T1139" s="278"/>
      <c r="U1139" s="279"/>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 thickBot="1" x14ac:dyDescent="0.35">
      <c r="A1140" s="88"/>
      <c r="B1140" s="66" t="s">
        <v>305</v>
      </c>
      <c r="C1140" s="67"/>
      <c r="D1140" s="102"/>
      <c r="E1140" s="32"/>
      <c r="F1140" s="32"/>
      <c r="G1140" s="68" t="s">
        <v>285</v>
      </c>
      <c r="H1140" s="69">
        <f t="shared" si="468"/>
        <v>0</v>
      </c>
      <c r="I1140" s="70">
        <f t="shared" si="469"/>
        <v>0</v>
      </c>
      <c r="J1140" s="73" t="str">
        <f t="shared" si="470"/>
        <v>--</v>
      </c>
      <c r="K1140" s="32"/>
      <c r="L1140" s="233"/>
      <c r="M1140" s="278"/>
      <c r="N1140" s="278"/>
      <c r="O1140" s="278"/>
      <c r="P1140" s="278"/>
      <c r="Q1140" s="278"/>
      <c r="R1140" s="278"/>
      <c r="S1140" s="278"/>
      <c r="T1140" s="278"/>
      <c r="U1140" s="279"/>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 thickBot="1" x14ac:dyDescent="0.35">
      <c r="A1141" s="88"/>
      <c r="B1141" s="66" t="s">
        <v>306</v>
      </c>
      <c r="C1141" s="67"/>
      <c r="D1141" s="102"/>
      <c r="E1141" s="32"/>
      <c r="F1141" s="32"/>
      <c r="G1141" s="68" t="s">
        <v>285</v>
      </c>
      <c r="H1141" s="69">
        <f t="shared" si="468"/>
        <v>0</v>
      </c>
      <c r="I1141" s="70">
        <f t="shared" si="469"/>
        <v>0</v>
      </c>
      <c r="J1141" s="73" t="str">
        <f t="shared" si="470"/>
        <v>--</v>
      </c>
      <c r="K1141" s="32"/>
      <c r="L1141" s="233"/>
      <c r="M1141" s="278"/>
      <c r="N1141" s="278"/>
      <c r="O1141" s="278"/>
      <c r="P1141" s="278"/>
      <c r="Q1141" s="278"/>
      <c r="R1141" s="278"/>
      <c r="S1141" s="278"/>
      <c r="T1141" s="278"/>
      <c r="U1141" s="279"/>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 thickBot="1" x14ac:dyDescent="0.35">
      <c r="A1142" s="88"/>
      <c r="B1142" s="66" t="s">
        <v>307</v>
      </c>
      <c r="C1142" s="67"/>
      <c r="D1142" s="102"/>
      <c r="E1142" s="32"/>
      <c r="F1142" s="32"/>
      <c r="G1142" s="68" t="s">
        <v>285</v>
      </c>
      <c r="H1142" s="69">
        <f t="shared" si="468"/>
        <v>0</v>
      </c>
      <c r="I1142" s="70">
        <f t="shared" si="469"/>
        <v>0</v>
      </c>
      <c r="J1142" s="73" t="str">
        <f t="shared" si="470"/>
        <v>--</v>
      </c>
      <c r="K1142" s="32"/>
      <c r="L1142" s="233"/>
      <c r="M1142" s="278"/>
      <c r="N1142" s="278"/>
      <c r="O1142" s="278"/>
      <c r="P1142" s="278"/>
      <c r="Q1142" s="278"/>
      <c r="R1142" s="278"/>
      <c r="S1142" s="278"/>
      <c r="T1142" s="278"/>
      <c r="U1142" s="279"/>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 thickBot="1" x14ac:dyDescent="0.35">
      <c r="A1143" s="88"/>
      <c r="B1143" s="66" t="s">
        <v>308</v>
      </c>
      <c r="C1143" s="67"/>
      <c r="D1143" s="102"/>
      <c r="E1143" s="32"/>
      <c r="F1143" s="32"/>
      <c r="G1143" s="68" t="s">
        <v>285</v>
      </c>
      <c r="H1143" s="69">
        <f t="shared" si="468"/>
        <v>0</v>
      </c>
      <c r="I1143" s="70">
        <f t="shared" si="469"/>
        <v>0</v>
      </c>
      <c r="J1143" s="73" t="str">
        <f t="shared" si="470"/>
        <v>--</v>
      </c>
      <c r="K1143" s="32"/>
      <c r="L1143" s="233"/>
      <c r="M1143" s="278"/>
      <c r="N1143" s="278"/>
      <c r="O1143" s="278"/>
      <c r="P1143" s="278"/>
      <c r="Q1143" s="278"/>
      <c r="R1143" s="278"/>
      <c r="S1143" s="278"/>
      <c r="T1143" s="278"/>
      <c r="U1143" s="279"/>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 thickBot="1" x14ac:dyDescent="0.35">
      <c r="A1144" s="88"/>
      <c r="B1144" s="66" t="s">
        <v>309</v>
      </c>
      <c r="C1144" s="67"/>
      <c r="D1144" s="102"/>
      <c r="E1144" s="32"/>
      <c r="F1144" s="32"/>
      <c r="G1144" s="68" t="s">
        <v>285</v>
      </c>
      <c r="H1144" s="69">
        <f t="shared" si="468"/>
        <v>0</v>
      </c>
      <c r="I1144" s="70">
        <f t="shared" si="469"/>
        <v>0</v>
      </c>
      <c r="J1144" s="73" t="str">
        <f t="shared" si="470"/>
        <v>--</v>
      </c>
      <c r="K1144" s="32"/>
      <c r="L1144" s="233"/>
      <c r="M1144" s="278"/>
      <c r="N1144" s="278"/>
      <c r="O1144" s="278"/>
      <c r="P1144" s="278"/>
      <c r="Q1144" s="278"/>
      <c r="R1144" s="278"/>
      <c r="S1144" s="278"/>
      <c r="T1144" s="278"/>
      <c r="U1144" s="279"/>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 thickBot="1" x14ac:dyDescent="0.35">
      <c r="A1145" s="88"/>
      <c r="B1145" s="66" t="s">
        <v>310</v>
      </c>
      <c r="C1145" s="67"/>
      <c r="D1145" s="102"/>
      <c r="E1145" s="32"/>
      <c r="F1145" s="32"/>
      <c r="G1145" s="68" t="s">
        <v>285</v>
      </c>
      <c r="H1145" s="69">
        <f t="shared" si="468"/>
        <v>0</v>
      </c>
      <c r="I1145" s="70">
        <f t="shared" si="469"/>
        <v>0</v>
      </c>
      <c r="J1145" s="73" t="str">
        <f t="shared" si="470"/>
        <v>--</v>
      </c>
      <c r="K1145" s="32"/>
      <c r="L1145" s="233"/>
      <c r="M1145" s="278"/>
      <c r="N1145" s="278"/>
      <c r="O1145" s="278"/>
      <c r="P1145" s="278"/>
      <c r="Q1145" s="278"/>
      <c r="R1145" s="278"/>
      <c r="S1145" s="278"/>
      <c r="T1145" s="278"/>
      <c r="U1145" s="279"/>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 thickBot="1" x14ac:dyDescent="0.35">
      <c r="A1146" s="88"/>
      <c r="B1146" s="66" t="s">
        <v>311</v>
      </c>
      <c r="C1146" s="67"/>
      <c r="D1146" s="102"/>
      <c r="E1146" s="32"/>
      <c r="F1146" s="32"/>
      <c r="G1146" s="68" t="s">
        <v>285</v>
      </c>
      <c r="H1146" s="69">
        <f t="shared" si="468"/>
        <v>0</v>
      </c>
      <c r="I1146" s="70">
        <f t="shared" si="469"/>
        <v>0</v>
      </c>
      <c r="J1146" s="73" t="str">
        <f t="shared" si="470"/>
        <v>--</v>
      </c>
      <c r="K1146" s="32"/>
      <c r="L1146" s="233"/>
      <c r="M1146" s="278"/>
      <c r="N1146" s="278"/>
      <c r="O1146" s="278"/>
      <c r="P1146" s="278"/>
      <c r="Q1146" s="278"/>
      <c r="R1146" s="278"/>
      <c r="S1146" s="278"/>
      <c r="T1146" s="278"/>
      <c r="U1146" s="279"/>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 thickBot="1" x14ac:dyDescent="0.35">
      <c r="A1147" s="88"/>
      <c r="B1147" s="66" t="s">
        <v>312</v>
      </c>
      <c r="C1147" s="67"/>
      <c r="D1147" s="102"/>
      <c r="E1147" s="32"/>
      <c r="F1147" s="32"/>
      <c r="G1147" s="68" t="s">
        <v>285</v>
      </c>
      <c r="H1147" s="69">
        <f t="shared" si="468"/>
        <v>0</v>
      </c>
      <c r="I1147" s="70">
        <f t="shared" si="469"/>
        <v>0</v>
      </c>
      <c r="J1147" s="73" t="str">
        <f t="shared" si="470"/>
        <v>--</v>
      </c>
      <c r="K1147" s="32"/>
      <c r="L1147" s="233"/>
      <c r="M1147" s="278"/>
      <c r="N1147" s="278"/>
      <c r="O1147" s="278"/>
      <c r="P1147" s="278"/>
      <c r="Q1147" s="278"/>
      <c r="R1147" s="278"/>
      <c r="S1147" s="278"/>
      <c r="T1147" s="278"/>
      <c r="U1147" s="279"/>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 thickBot="1" x14ac:dyDescent="0.35">
      <c r="A1148" s="88"/>
      <c r="B1148" s="66" t="s">
        <v>313</v>
      </c>
      <c r="C1148" s="67"/>
      <c r="D1148" s="102"/>
      <c r="E1148" s="32"/>
      <c r="F1148" s="32"/>
      <c r="G1148" s="68" t="s">
        <v>285</v>
      </c>
      <c r="H1148" s="69">
        <f t="shared" si="468"/>
        <v>0</v>
      </c>
      <c r="I1148" s="70">
        <f t="shared" si="469"/>
        <v>0</v>
      </c>
      <c r="J1148" s="73" t="str">
        <f t="shared" si="470"/>
        <v>--</v>
      </c>
      <c r="K1148" s="32"/>
      <c r="L1148" s="234"/>
      <c r="M1148" s="278"/>
      <c r="N1148" s="278"/>
      <c r="O1148" s="278"/>
      <c r="P1148" s="278"/>
      <c r="Q1148" s="278"/>
      <c r="R1148" s="278"/>
      <c r="S1148" s="278"/>
      <c r="T1148" s="278"/>
      <c r="U1148" s="279"/>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2" thickBot="1" x14ac:dyDescent="0.35">
      <c r="A1149" s="88"/>
      <c r="B1149" s="319" t="s">
        <v>430</v>
      </c>
      <c r="C1149" s="320"/>
      <c r="D1149" s="79"/>
      <c r="E1149" s="80"/>
      <c r="F1149" s="80"/>
      <c r="G1149" s="81"/>
      <c r="H1149" s="192"/>
      <c r="I1149" s="192"/>
      <c r="J1149" s="192"/>
      <c r="K1149" s="82"/>
      <c r="L1149" s="319" t="s">
        <v>319</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2" thickBot="1" x14ac:dyDescent="0.35">
      <c r="A1150" s="88"/>
      <c r="B1150" s="319" t="s">
        <v>320</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3">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 thickBot="1" x14ac:dyDescent="0.35">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5">
      <c r="A1153" s="88"/>
      <c r="B1153" s="85" t="s">
        <v>431</v>
      </c>
      <c r="C1153" s="25"/>
      <c r="D1153" s="25"/>
      <c r="E1153" s="25"/>
      <c r="F1153" s="88"/>
      <c r="G1153" s="25"/>
      <c r="H1153" s="25"/>
      <c r="I1153" s="87"/>
      <c r="J1153" s="26"/>
      <c r="K1153" s="25"/>
      <c r="L1153" s="25"/>
      <c r="M1153" s="196" t="s">
        <v>217</v>
      </c>
      <c r="N1153" s="196" t="s">
        <v>218</v>
      </c>
      <c r="O1153" s="196" t="s">
        <v>219</v>
      </c>
      <c r="P1153" s="196" t="s">
        <v>220</v>
      </c>
      <c r="Q1153" s="196" t="s">
        <v>221</v>
      </c>
      <c r="R1153" s="196" t="s">
        <v>222</v>
      </c>
      <c r="S1153" s="196" t="s">
        <v>223</v>
      </c>
      <c r="T1153" s="196" t="s">
        <v>224</v>
      </c>
      <c r="U1153" s="196" t="s">
        <v>225</v>
      </c>
      <c r="V1153" s="196" t="s">
        <v>226</v>
      </c>
      <c r="W1153" s="113" t="s">
        <v>227</v>
      </c>
      <c r="X1153" s="196" t="s">
        <v>228</v>
      </c>
      <c r="Y1153" s="25"/>
      <c r="Z1153" s="25"/>
      <c r="AA1153" s="25"/>
      <c r="AB1153" s="25"/>
      <c r="AC1153" s="25"/>
      <c r="AD1153" s="25"/>
      <c r="BA1153" s="226"/>
    </row>
    <row r="1154" spans="1:53" ht="15.6" thickTop="1" thickBot="1" x14ac:dyDescent="0.35">
      <c r="A1154" s="88"/>
      <c r="B1154" s="312" t="s">
        <v>229</v>
      </c>
      <c r="C1154" s="313"/>
      <c r="D1154" s="314" t="s">
        <v>230</v>
      </c>
      <c r="E1154" s="305"/>
      <c r="F1154" s="88"/>
      <c r="G1154" s="315" t="s">
        <v>231</v>
      </c>
      <c r="H1154" s="316"/>
      <c r="I1154" s="28">
        <f>SUM(E1165:E1189)</f>
        <v>0</v>
      </c>
      <c r="J1154" s="317" t="s">
        <v>232</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233</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234</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5">
      <c r="A1155" s="88"/>
      <c r="B1155" s="29" t="s">
        <v>235</v>
      </c>
      <c r="C1155" s="30">
        <v>0</v>
      </c>
      <c r="D1155" s="31" t="s">
        <v>236</v>
      </c>
      <c r="E1155" s="66" t="str">
        <f>TEXT(IF('Cable Calculator'!EN7="","",'Cable Calculator'!EN7),)</f>
        <v/>
      </c>
      <c r="F1155" s="88"/>
      <c r="G1155" s="304" t="s">
        <v>237</v>
      </c>
      <c r="H1155" s="305"/>
      <c r="I1155" s="33">
        <f>E1156-I1154</f>
        <v>0</v>
      </c>
      <c r="J1155" s="289" t="s">
        <v>238</v>
      </c>
      <c r="K1155" s="290"/>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239</v>
      </c>
      <c r="AA1155" s="300" t="s">
        <v>240</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241</v>
      </c>
      <c r="AU1155" s="109">
        <f>COUNTIFS($E1155,"SS",$AS1155,"Y")</f>
        <v>0</v>
      </c>
      <c r="AV1155" s="111">
        <f>COUNTIFS($E1155,"RPX",$AS1155,"Y")</f>
        <v>0</v>
      </c>
      <c r="AW1155" s="111">
        <f>COUNTIFS($E1155,"EUC",$AS1155,"Y")</f>
        <v>0</v>
      </c>
      <c r="AX1155" s="109">
        <f>COUNTIFS($E1155,"RPX-T",$AS1155,"Y")</f>
        <v>0</v>
      </c>
      <c r="BA1155" s="227"/>
    </row>
    <row r="1156" spans="1:53" ht="15.6" thickTop="1" thickBot="1" x14ac:dyDescent="0.35">
      <c r="A1156" s="88"/>
      <c r="B1156" s="36" t="s">
        <v>242</v>
      </c>
      <c r="C1156" s="37">
        <v>0</v>
      </c>
      <c r="D1156" s="38" t="s">
        <v>243</v>
      </c>
      <c r="E1156" s="32"/>
      <c r="F1156" s="88"/>
      <c r="G1156" s="291" t="s">
        <v>244</v>
      </c>
      <c r="H1156" s="292"/>
      <c r="I1156" s="35">
        <f>IF(E1156=0,0,12-(MOD(I1154,12)))</f>
        <v>0</v>
      </c>
      <c r="J1156" s="289" t="s">
        <v>245</v>
      </c>
      <c r="K1156" s="290"/>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246</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5">
      <c r="A1157" s="88"/>
      <c r="B1157" s="40" t="s">
        <v>247</v>
      </c>
      <c r="C1157" s="30">
        <v>0</v>
      </c>
      <c r="D1157" s="41" t="s">
        <v>248</v>
      </c>
      <c r="E1157" s="42"/>
      <c r="F1157" s="88"/>
      <c r="G1157" s="321" t="s">
        <v>249</v>
      </c>
      <c r="H1157" s="43" t="s">
        <v>250</v>
      </c>
      <c r="I1157" s="35">
        <f>IF(E1157&lt;&gt;0,1,0)</f>
        <v>0</v>
      </c>
      <c r="J1157" s="291" t="s">
        <v>251</v>
      </c>
      <c r="K1157" s="29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252</v>
      </c>
      <c r="AU1157" s="109">
        <f>COUNTIFS($E1155,"SS",$AS1157,"Y")</f>
        <v>0</v>
      </c>
      <c r="AV1157" s="108">
        <f>COUNTIFS($E1155,"RPX",$AS1157,"Y")</f>
        <v>0</v>
      </c>
      <c r="AW1157" s="108">
        <f>COUNTIFS($E1155,"EUC",$AS1157,"Y")</f>
        <v>0</v>
      </c>
      <c r="AX1157" s="109">
        <f>COUNTIFS($E1155,"RPX-T",$AS1157,"Y")</f>
        <v>0</v>
      </c>
      <c r="BA1157" s="227"/>
    </row>
    <row r="1158" spans="1:53" ht="15.6" thickTop="1" thickBot="1" x14ac:dyDescent="0.35">
      <c r="A1158" s="88"/>
      <c r="B1158" s="29" t="s">
        <v>253</v>
      </c>
      <c r="C1158" s="37">
        <v>0</v>
      </c>
      <c r="D1158" s="41" t="s">
        <v>254</v>
      </c>
      <c r="E1158" s="42"/>
      <c r="F1158" s="88"/>
      <c r="G1158" s="322"/>
      <c r="H1158" s="47" t="s">
        <v>255</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5">
      <c r="A1159" s="88"/>
      <c r="B1159" s="36" t="s">
        <v>256</v>
      </c>
      <c r="C1159" s="30">
        <v>0</v>
      </c>
      <c r="D1159" s="49" t="s">
        <v>257</v>
      </c>
      <c r="E1159" s="50">
        <f>E1156/12</f>
        <v>0</v>
      </c>
      <c r="F1159" s="88"/>
      <c r="G1159" s="321" t="s">
        <v>258</v>
      </c>
      <c r="H1159" s="51" t="s">
        <v>259</v>
      </c>
      <c r="I1159" s="112">
        <f>E1158</f>
        <v>0</v>
      </c>
      <c r="J1159" s="323" t="s">
        <v>260</v>
      </c>
      <c r="K1159" s="324"/>
      <c r="L1159" s="325"/>
      <c r="M1159" s="52" t="s">
        <v>261</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5.6" thickTop="1" thickBot="1" x14ac:dyDescent="0.35">
      <c r="A1160" s="88"/>
      <c r="B1160" s="36" t="s">
        <v>262</v>
      </c>
      <c r="C1160" s="30">
        <v>0</v>
      </c>
      <c r="D1160" s="31" t="s">
        <v>263</v>
      </c>
      <c r="E1160" s="101" t="str">
        <f>IF('Cable Calculator'!EN5="","",'Cable Calculator'!EN5)</f>
        <v/>
      </c>
      <c r="F1160" s="88"/>
      <c r="G1160" s="322"/>
      <c r="H1160" s="47" t="s">
        <v>264</v>
      </c>
      <c r="I1160" s="35" t="str">
        <f>IF(E1158="","0",IF(AND(E1155="EUC",E1156=432), I1159+(203-E1157),IF(E1158=0,0,(E1158+(E1156-E1157)-1))))</f>
        <v>0</v>
      </c>
      <c r="J1160" s="286" t="str">
        <f>IFERROR(IF(OR(E1155="EUC",E1155="SS"),"---",IF(OR(P1154,S1154),"NO 2F Tethers for RPX!",IF(OR(P1156,S1156),"NO 6F Tethers for RPX!","---"))),"---")</f>
        <v>---</v>
      </c>
      <c r="K1160" s="287"/>
      <c r="L1160" s="288"/>
      <c r="M1160" s="286" t="str">
        <f>IF(E1157&gt;60,"Dead Count &gt;60: Consider Downsize","---")</f>
        <v>---</v>
      </c>
      <c r="N1160" s="287"/>
      <c r="O1160" s="287"/>
      <c r="P1160" s="287"/>
      <c r="Q1160" s="287"/>
      <c r="R1160" s="287"/>
      <c r="S1160" s="287"/>
      <c r="T1160" s="287"/>
      <c r="U1160" s="288"/>
      <c r="V1160" s="100"/>
      <c r="W1160" s="54">
        <f>SUM(P1160:U1160)</f>
        <v>0</v>
      </c>
      <c r="X1160" s="54"/>
      <c r="Y1160" s="25"/>
      <c r="Z1160" s="45">
        <v>4</v>
      </c>
      <c r="AA1160" s="46">
        <v>37</v>
      </c>
      <c r="AB1160" s="46">
        <v>48</v>
      </c>
      <c r="AC1160" s="25"/>
      <c r="AD1160" s="25"/>
      <c r="BA1160" s="227"/>
    </row>
    <row r="1161" spans="1:53" ht="15.6" thickTop="1" thickBot="1" x14ac:dyDescent="0.35">
      <c r="A1161" s="88"/>
      <c r="B1161" s="55" t="s">
        <v>265</v>
      </c>
      <c r="C1161" s="56">
        <f>SUM(C1155:C1160)+I1154</f>
        <v>0</v>
      </c>
      <c r="D1161" s="31" t="s">
        <v>266</v>
      </c>
      <c r="E1161" s="101" t="str">
        <f>IF(AS1155="Y","DBL",IF(AS1156="Y","TRPL",IF(AS1157="Y","QUAD","")))</f>
        <v/>
      </c>
      <c r="F1161" s="88"/>
      <c r="G1161" s="192"/>
      <c r="H1161" s="57"/>
      <c r="I1161" s="192"/>
      <c r="J1161" s="286"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7"/>
      <c r="L1161" s="288"/>
      <c r="M1161" s="286" t="str">
        <f>IF(AND(OR(E1155="SS",E1155="RPX",E1155="EUC",E1155="RPX-T"),(OR(C1165="",C1165="Field SPL"))),"Cannot have FlexNap cables without tethers","---")</f>
        <v>---</v>
      </c>
      <c r="N1161" s="287"/>
      <c r="O1161" s="287"/>
      <c r="P1161" s="287"/>
      <c r="Q1161" s="287"/>
      <c r="R1161" s="287"/>
      <c r="S1161" s="287"/>
      <c r="T1161" s="287"/>
      <c r="U1161" s="288"/>
      <c r="V1161" s="25"/>
      <c r="W1161" s="58"/>
      <c r="X1161" s="58"/>
      <c r="Y1161" s="25"/>
      <c r="Z1161" s="45">
        <v>5</v>
      </c>
      <c r="AA1161" s="46">
        <v>49</v>
      </c>
      <c r="AB1161" s="46">
        <v>60</v>
      </c>
      <c r="AC1161" s="25"/>
      <c r="AD1161" s="25"/>
      <c r="BA1161" s="227"/>
    </row>
    <row r="1162" spans="1:53" ht="15.6" thickTop="1" thickBot="1" x14ac:dyDescent="0.35">
      <c r="A1162" s="88"/>
      <c r="B1162" s="59"/>
      <c r="C1162" s="60"/>
      <c r="D1162" s="61"/>
      <c r="E1162" s="62"/>
      <c r="F1162" s="88"/>
      <c r="G1162" s="63"/>
      <c r="H1162" s="64"/>
      <c r="I1162" s="63"/>
      <c r="J1162" s="286" t="str">
        <f>IF(AND(OR(E1155="RPX", E1155="RPX-T", E1155="SS"),E1156=216),"NO 216 For RPX, RPX-T, OR SS CABLE","---")</f>
        <v>---</v>
      </c>
      <c r="K1162" s="287"/>
      <c r="L1162" s="288"/>
      <c r="M1162" s="286" t="str" cm="1">
        <f t="array" ref="M1162">IF(AND(E1155="",OR(C1165:C1189="FST",C1165:C1189="REV T",C1165:C1189="DBL REV",C1165:C1189="TPL REV", C1165:C1189="QD REV")),"Non-FlexNap cables cannot have tethers","---")</f>
        <v>---</v>
      </c>
      <c r="N1162" s="287"/>
      <c r="O1162" s="287"/>
      <c r="P1162" s="287"/>
      <c r="Q1162" s="287"/>
      <c r="R1162" s="287"/>
      <c r="S1162" s="287"/>
      <c r="T1162" s="287"/>
      <c r="U1162" s="288"/>
      <c r="V1162" s="25"/>
      <c r="W1162" s="58"/>
      <c r="X1162" s="58"/>
      <c r="Y1162" s="25"/>
      <c r="Z1162" s="45">
        <v>6</v>
      </c>
      <c r="AA1162" s="65">
        <v>61</v>
      </c>
      <c r="AB1162" s="65">
        <v>72</v>
      </c>
      <c r="AC1162" s="25"/>
      <c r="AD1162" s="25"/>
      <c r="BA1162" s="226"/>
    </row>
    <row r="1163" spans="1:53" ht="15.75" customHeight="1" thickBot="1" x14ac:dyDescent="0.35">
      <c r="A1163" s="88"/>
      <c r="B1163" s="321" t="s">
        <v>267</v>
      </c>
      <c r="C1163" s="293" t="s">
        <v>268</v>
      </c>
      <c r="D1163" s="293" t="s">
        <v>269</v>
      </c>
      <c r="E1163" s="306" t="s">
        <v>270</v>
      </c>
      <c r="F1163" s="293" t="s">
        <v>271</v>
      </c>
      <c r="G1163" s="308" t="s">
        <v>272</v>
      </c>
      <c r="H1163" s="308" t="s">
        <v>273</v>
      </c>
      <c r="I1163" s="308" t="s">
        <v>274</v>
      </c>
      <c r="J1163" s="310" t="s">
        <v>275</v>
      </c>
      <c r="K1163" s="293" t="s">
        <v>276</v>
      </c>
      <c r="L1163" s="280" t="s">
        <v>277</v>
      </c>
      <c r="M1163" s="282" t="s">
        <v>278</v>
      </c>
      <c r="N1163" s="282"/>
      <c r="O1163" s="282"/>
      <c r="P1163" s="282"/>
      <c r="Q1163" s="282"/>
      <c r="R1163" s="282"/>
      <c r="S1163" s="282"/>
      <c r="T1163" s="282"/>
      <c r="U1163" s="283"/>
      <c r="V1163" s="107"/>
      <c r="W1163" s="72"/>
      <c r="X1163" s="72"/>
      <c r="Y1163" s="72"/>
      <c r="Z1163" s="45">
        <v>7</v>
      </c>
      <c r="AA1163" s="65">
        <v>73</v>
      </c>
      <c r="AB1163" s="65">
        <v>84</v>
      </c>
      <c r="AC1163" s="25"/>
      <c r="AD1163" s="25"/>
      <c r="BA1163" s="228"/>
    </row>
    <row r="1164" spans="1:53" ht="15" thickBot="1" x14ac:dyDescent="0.35">
      <c r="A1164" s="88"/>
      <c r="B1164" s="322"/>
      <c r="C1164" s="294"/>
      <c r="D1164" s="294"/>
      <c r="E1164" s="307"/>
      <c r="F1164" s="294"/>
      <c r="G1164" s="309"/>
      <c r="H1164" s="309"/>
      <c r="I1164" s="309"/>
      <c r="J1164" s="311"/>
      <c r="K1164" s="294"/>
      <c r="L1164" s="281"/>
      <c r="M1164" s="284"/>
      <c r="N1164" s="284"/>
      <c r="O1164" s="284"/>
      <c r="P1164" s="284"/>
      <c r="Q1164" s="284"/>
      <c r="R1164" s="284"/>
      <c r="S1164" s="284"/>
      <c r="T1164" s="284"/>
      <c r="U1164" s="285"/>
      <c r="V1164" s="107"/>
      <c r="W1164" s="72"/>
      <c r="X1164" s="72"/>
      <c r="Y1164" s="72"/>
      <c r="Z1164" s="45">
        <v>8</v>
      </c>
      <c r="AA1164" s="46">
        <v>85</v>
      </c>
      <c r="AB1164" s="46">
        <v>96</v>
      </c>
      <c r="AC1164" s="25"/>
      <c r="AD1164" s="25"/>
      <c r="AI1164" s="109" t="s">
        <v>279</v>
      </c>
      <c r="AJ1164" s="109" t="s">
        <v>280</v>
      </c>
      <c r="AK1164" s="109" t="s">
        <v>281</v>
      </c>
      <c r="AL1164" s="109" t="s">
        <v>282</v>
      </c>
      <c r="BA1164" s="228"/>
    </row>
    <row r="1165" spans="1:53" ht="15" thickBot="1" x14ac:dyDescent="0.35">
      <c r="A1165" s="88"/>
      <c r="B1165" s="66" t="s">
        <v>283</v>
      </c>
      <c r="C1165" s="67"/>
      <c r="D1165" s="102"/>
      <c r="E1165" s="32"/>
      <c r="F1165" s="32"/>
      <c r="G1165" s="68" t="s">
        <v>285</v>
      </c>
      <c r="H1165" s="69">
        <f>IF(I1165=0,0,I1165-(E1165-1))</f>
        <v>0</v>
      </c>
      <c r="I1165" s="70">
        <f>IF(E1165=0,0,I1160)</f>
        <v>0</v>
      </c>
      <c r="J1165" s="71" t="s">
        <v>286</v>
      </c>
      <c r="K1165" s="32"/>
      <c r="L1165" s="233"/>
      <c r="M1165" s="278"/>
      <c r="N1165" s="278"/>
      <c r="O1165" s="278"/>
      <c r="P1165" s="278"/>
      <c r="Q1165" s="278"/>
      <c r="R1165" s="278"/>
      <c r="S1165" s="278"/>
      <c r="T1165" s="278"/>
      <c r="U1165" s="279"/>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 thickBot="1" x14ac:dyDescent="0.35">
      <c r="A1166" s="88"/>
      <c r="B1166" s="66" t="s">
        <v>288</v>
      </c>
      <c r="C1166" s="67"/>
      <c r="D1166" s="102"/>
      <c r="E1166" s="32"/>
      <c r="F1166" s="32"/>
      <c r="G1166" s="68" t="s">
        <v>285</v>
      </c>
      <c r="H1166" s="69">
        <f t="shared" ref="H1166:H1189" si="485">IF(E1166=0,0,I1166-(E1166-1))</f>
        <v>0</v>
      </c>
      <c r="I1166" s="70">
        <f t="shared" ref="I1166:I1189" si="486">IF(E1166=0,0,H1165-1)</f>
        <v>0</v>
      </c>
      <c r="J1166" s="73" t="str">
        <f>IF(C1166="","--",IF(AND(C1166&lt;&gt;"FST",C1166&lt;&gt;"TCF",BA1165&lt;&gt;0),BA1165,"--"))</f>
        <v>--</v>
      </c>
      <c r="K1166" s="32"/>
      <c r="L1166" s="233"/>
      <c r="M1166" s="278"/>
      <c r="N1166" s="278"/>
      <c r="O1166" s="278"/>
      <c r="P1166" s="278"/>
      <c r="Q1166" s="278"/>
      <c r="R1166" s="278"/>
      <c r="S1166" s="278"/>
      <c r="T1166" s="278"/>
      <c r="U1166" s="279"/>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 thickBot="1" x14ac:dyDescent="0.35">
      <c r="A1167" s="88"/>
      <c r="B1167" s="74" t="s">
        <v>290</v>
      </c>
      <c r="C1167" s="67"/>
      <c r="D1167" s="102"/>
      <c r="E1167" s="32"/>
      <c r="F1167" s="32"/>
      <c r="G1167" s="75" t="s">
        <v>285</v>
      </c>
      <c r="H1167" s="69">
        <f t="shared" si="485"/>
        <v>0</v>
      </c>
      <c r="I1167" s="70">
        <f t="shared" si="486"/>
        <v>0</v>
      </c>
      <c r="J1167" s="73" t="str">
        <f t="shared" ref="J1167:J1189" si="487">IF(C1167="","--",IF(AND(C1167&lt;&gt;"FST",C1167&lt;&gt;"TCF",BA1166&lt;&gt;0),BA1166,"--"))</f>
        <v>--</v>
      </c>
      <c r="K1167" s="32"/>
      <c r="L1167" s="233"/>
      <c r="M1167" s="278"/>
      <c r="N1167" s="278"/>
      <c r="O1167" s="278"/>
      <c r="P1167" s="278"/>
      <c r="Q1167" s="278"/>
      <c r="R1167" s="278"/>
      <c r="S1167" s="278"/>
      <c r="T1167" s="278"/>
      <c r="U1167" s="279"/>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 thickBot="1" x14ac:dyDescent="0.35">
      <c r="A1168" s="88"/>
      <c r="B1168" s="66" t="s">
        <v>292</v>
      </c>
      <c r="C1168" s="67"/>
      <c r="D1168" s="102"/>
      <c r="E1168" s="32"/>
      <c r="F1168" s="32"/>
      <c r="G1168" s="68" t="s">
        <v>285</v>
      </c>
      <c r="H1168" s="69">
        <f t="shared" si="485"/>
        <v>0</v>
      </c>
      <c r="I1168" s="70">
        <f t="shared" si="486"/>
        <v>0</v>
      </c>
      <c r="J1168" s="73" t="str">
        <f t="shared" si="487"/>
        <v>--</v>
      </c>
      <c r="K1168" s="32"/>
      <c r="L1168" s="233"/>
      <c r="M1168" s="278"/>
      <c r="N1168" s="278"/>
      <c r="O1168" s="278"/>
      <c r="P1168" s="278"/>
      <c r="Q1168" s="278"/>
      <c r="R1168" s="278"/>
      <c r="S1168" s="278"/>
      <c r="T1168" s="278"/>
      <c r="U1168" s="279"/>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 thickBot="1" x14ac:dyDescent="0.35">
      <c r="A1169" s="88"/>
      <c r="B1169" s="66" t="s">
        <v>293</v>
      </c>
      <c r="C1169" s="67"/>
      <c r="D1169" s="102"/>
      <c r="E1169" s="32"/>
      <c r="F1169" s="32"/>
      <c r="G1169" s="68" t="s">
        <v>285</v>
      </c>
      <c r="H1169" s="69">
        <f t="shared" si="485"/>
        <v>0</v>
      </c>
      <c r="I1169" s="70">
        <f t="shared" si="486"/>
        <v>0</v>
      </c>
      <c r="J1169" s="73" t="str">
        <f t="shared" si="487"/>
        <v>--</v>
      </c>
      <c r="K1169" s="32"/>
      <c r="L1169" s="233"/>
      <c r="M1169" s="278"/>
      <c r="N1169" s="278"/>
      <c r="O1169" s="278"/>
      <c r="P1169" s="278"/>
      <c r="Q1169" s="278"/>
      <c r="R1169" s="278"/>
      <c r="S1169" s="278"/>
      <c r="T1169" s="278"/>
      <c r="U1169" s="279"/>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 thickBot="1" x14ac:dyDescent="0.35">
      <c r="A1170" s="88"/>
      <c r="B1170" s="66" t="s">
        <v>294</v>
      </c>
      <c r="C1170" s="67"/>
      <c r="D1170" s="102"/>
      <c r="E1170" s="32"/>
      <c r="F1170" s="32"/>
      <c r="G1170" s="68" t="s">
        <v>285</v>
      </c>
      <c r="H1170" s="69">
        <f t="shared" si="485"/>
        <v>0</v>
      </c>
      <c r="I1170" s="70">
        <f t="shared" si="486"/>
        <v>0</v>
      </c>
      <c r="J1170" s="73" t="str">
        <f t="shared" si="487"/>
        <v>--</v>
      </c>
      <c r="K1170" s="32"/>
      <c r="L1170" s="233"/>
      <c r="M1170" s="278"/>
      <c r="N1170" s="278"/>
      <c r="O1170" s="278"/>
      <c r="P1170" s="278"/>
      <c r="Q1170" s="278"/>
      <c r="R1170" s="278"/>
      <c r="S1170" s="278"/>
      <c r="T1170" s="278"/>
      <c r="U1170" s="279"/>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 thickBot="1" x14ac:dyDescent="0.35">
      <c r="A1171" s="88"/>
      <c r="B1171" s="66" t="s">
        <v>295</v>
      </c>
      <c r="C1171" s="67"/>
      <c r="D1171" s="102"/>
      <c r="E1171" s="32"/>
      <c r="F1171" s="32"/>
      <c r="G1171" s="68" t="s">
        <v>285</v>
      </c>
      <c r="H1171" s="69">
        <f t="shared" si="485"/>
        <v>0</v>
      </c>
      <c r="I1171" s="70">
        <f t="shared" si="486"/>
        <v>0</v>
      </c>
      <c r="J1171" s="73" t="str">
        <f t="shared" si="487"/>
        <v>--</v>
      </c>
      <c r="K1171" s="32"/>
      <c r="L1171" s="233"/>
      <c r="M1171" s="278"/>
      <c r="N1171" s="278"/>
      <c r="O1171" s="278"/>
      <c r="P1171" s="278"/>
      <c r="Q1171" s="278"/>
      <c r="R1171" s="278"/>
      <c r="S1171" s="278"/>
      <c r="T1171" s="278"/>
      <c r="U1171" s="27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 thickBot="1" x14ac:dyDescent="0.35">
      <c r="A1172" s="88"/>
      <c r="B1172" s="66" t="s">
        <v>296</v>
      </c>
      <c r="C1172" s="67"/>
      <c r="D1172" s="102"/>
      <c r="E1172" s="32"/>
      <c r="F1172" s="32"/>
      <c r="G1172" s="68" t="s">
        <v>285</v>
      </c>
      <c r="H1172" s="69">
        <f t="shared" si="485"/>
        <v>0</v>
      </c>
      <c r="I1172" s="70">
        <f t="shared" si="486"/>
        <v>0</v>
      </c>
      <c r="J1172" s="73" t="str">
        <f t="shared" si="487"/>
        <v>--</v>
      </c>
      <c r="K1172" s="32"/>
      <c r="L1172" s="233"/>
      <c r="M1172" s="278"/>
      <c r="N1172" s="278"/>
      <c r="O1172" s="278"/>
      <c r="P1172" s="278"/>
      <c r="Q1172" s="278"/>
      <c r="R1172" s="278"/>
      <c r="S1172" s="278"/>
      <c r="T1172" s="278"/>
      <c r="U1172" s="27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 thickBot="1" x14ac:dyDescent="0.35">
      <c r="A1173" s="88"/>
      <c r="B1173" s="66" t="s">
        <v>297</v>
      </c>
      <c r="C1173" s="67"/>
      <c r="D1173" s="102"/>
      <c r="E1173" s="32"/>
      <c r="F1173" s="32"/>
      <c r="G1173" s="68" t="s">
        <v>285</v>
      </c>
      <c r="H1173" s="69">
        <f t="shared" si="485"/>
        <v>0</v>
      </c>
      <c r="I1173" s="70">
        <f t="shared" si="486"/>
        <v>0</v>
      </c>
      <c r="J1173" s="73" t="str">
        <f t="shared" si="487"/>
        <v>--</v>
      </c>
      <c r="K1173" s="32"/>
      <c r="L1173" s="233"/>
      <c r="M1173" s="278"/>
      <c r="N1173" s="278"/>
      <c r="O1173" s="278"/>
      <c r="P1173" s="278"/>
      <c r="Q1173" s="278"/>
      <c r="R1173" s="278"/>
      <c r="S1173" s="278"/>
      <c r="T1173" s="278"/>
      <c r="U1173" s="27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 thickBot="1" x14ac:dyDescent="0.35">
      <c r="A1174" s="88"/>
      <c r="B1174" s="66" t="s">
        <v>298</v>
      </c>
      <c r="C1174" s="67"/>
      <c r="D1174" s="102"/>
      <c r="E1174" s="32"/>
      <c r="F1174" s="32"/>
      <c r="G1174" s="68" t="s">
        <v>285</v>
      </c>
      <c r="H1174" s="69">
        <f t="shared" si="485"/>
        <v>0</v>
      </c>
      <c r="I1174" s="70">
        <f t="shared" si="486"/>
        <v>0</v>
      </c>
      <c r="J1174" s="73" t="str">
        <f t="shared" si="487"/>
        <v>--</v>
      </c>
      <c r="K1174" s="32"/>
      <c r="L1174" s="233"/>
      <c r="M1174" s="278"/>
      <c r="N1174" s="278"/>
      <c r="O1174" s="278"/>
      <c r="P1174" s="278"/>
      <c r="Q1174" s="278"/>
      <c r="R1174" s="278"/>
      <c r="S1174" s="278"/>
      <c r="T1174" s="278"/>
      <c r="U1174" s="27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 thickBot="1" x14ac:dyDescent="0.35">
      <c r="A1175" s="88"/>
      <c r="B1175" s="66" t="s">
        <v>299</v>
      </c>
      <c r="C1175" s="67"/>
      <c r="D1175" s="102"/>
      <c r="E1175" s="32"/>
      <c r="F1175" s="32"/>
      <c r="G1175" s="68" t="s">
        <v>285</v>
      </c>
      <c r="H1175" s="69">
        <f t="shared" si="485"/>
        <v>0</v>
      </c>
      <c r="I1175" s="70">
        <f t="shared" si="486"/>
        <v>0</v>
      </c>
      <c r="J1175" s="73" t="str">
        <f t="shared" si="487"/>
        <v>--</v>
      </c>
      <c r="K1175" s="32"/>
      <c r="L1175" s="233"/>
      <c r="M1175" s="278"/>
      <c r="N1175" s="278"/>
      <c r="O1175" s="278"/>
      <c r="P1175" s="278"/>
      <c r="Q1175" s="278"/>
      <c r="R1175" s="278"/>
      <c r="S1175" s="278"/>
      <c r="T1175" s="278"/>
      <c r="U1175" s="27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 thickBot="1" x14ac:dyDescent="0.35">
      <c r="A1176" s="88"/>
      <c r="B1176" s="66" t="s">
        <v>300</v>
      </c>
      <c r="C1176" s="67"/>
      <c r="D1176" s="102"/>
      <c r="E1176" s="32"/>
      <c r="F1176" s="32"/>
      <c r="G1176" s="68" t="s">
        <v>285</v>
      </c>
      <c r="H1176" s="69">
        <f t="shared" si="485"/>
        <v>0</v>
      </c>
      <c r="I1176" s="70">
        <f t="shared" si="486"/>
        <v>0</v>
      </c>
      <c r="J1176" s="73" t="str">
        <f t="shared" si="487"/>
        <v>--</v>
      </c>
      <c r="K1176" s="32"/>
      <c r="L1176" s="233"/>
      <c r="M1176" s="278"/>
      <c r="N1176" s="278"/>
      <c r="O1176" s="278"/>
      <c r="P1176" s="278"/>
      <c r="Q1176" s="278"/>
      <c r="R1176" s="278"/>
      <c r="S1176" s="278"/>
      <c r="T1176" s="278"/>
      <c r="U1176" s="279"/>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 thickBot="1" x14ac:dyDescent="0.35">
      <c r="A1177" s="88"/>
      <c r="B1177" s="66" t="s">
        <v>301</v>
      </c>
      <c r="C1177" s="67"/>
      <c r="D1177" s="102"/>
      <c r="E1177" s="32"/>
      <c r="F1177" s="32"/>
      <c r="G1177" s="68" t="s">
        <v>285</v>
      </c>
      <c r="H1177" s="69">
        <f t="shared" si="485"/>
        <v>0</v>
      </c>
      <c r="I1177" s="70">
        <f t="shared" si="486"/>
        <v>0</v>
      </c>
      <c r="J1177" s="73" t="str">
        <f t="shared" si="487"/>
        <v>--</v>
      </c>
      <c r="K1177" s="32"/>
      <c r="L1177" s="233"/>
      <c r="M1177" s="278"/>
      <c r="N1177" s="278"/>
      <c r="O1177" s="278"/>
      <c r="P1177" s="278"/>
      <c r="Q1177" s="278"/>
      <c r="R1177" s="278"/>
      <c r="S1177" s="278"/>
      <c r="T1177" s="278"/>
      <c r="U1177" s="279"/>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 thickBot="1" x14ac:dyDescent="0.35">
      <c r="A1178" s="88"/>
      <c r="B1178" s="66" t="s">
        <v>302</v>
      </c>
      <c r="C1178" s="67"/>
      <c r="D1178" s="102"/>
      <c r="E1178" s="32"/>
      <c r="F1178" s="32"/>
      <c r="G1178" s="68" t="s">
        <v>285</v>
      </c>
      <c r="H1178" s="69">
        <f t="shared" si="485"/>
        <v>0</v>
      </c>
      <c r="I1178" s="70">
        <f t="shared" si="486"/>
        <v>0</v>
      </c>
      <c r="J1178" s="73" t="str">
        <f t="shared" si="487"/>
        <v>--</v>
      </c>
      <c r="K1178" s="32"/>
      <c r="L1178" s="233"/>
      <c r="M1178" s="278"/>
      <c r="N1178" s="278"/>
      <c r="O1178" s="278"/>
      <c r="P1178" s="278"/>
      <c r="Q1178" s="278"/>
      <c r="R1178" s="278"/>
      <c r="S1178" s="278"/>
      <c r="T1178" s="278"/>
      <c r="U1178" s="279"/>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 thickBot="1" x14ac:dyDescent="0.35">
      <c r="A1179" s="88"/>
      <c r="B1179" s="66" t="s">
        <v>303</v>
      </c>
      <c r="C1179" s="67"/>
      <c r="D1179" s="102"/>
      <c r="E1179" s="32"/>
      <c r="F1179" s="32"/>
      <c r="G1179" s="68" t="s">
        <v>285</v>
      </c>
      <c r="H1179" s="69">
        <f t="shared" si="485"/>
        <v>0</v>
      </c>
      <c r="I1179" s="70">
        <f t="shared" si="486"/>
        <v>0</v>
      </c>
      <c r="J1179" s="73" t="str">
        <f t="shared" si="487"/>
        <v>--</v>
      </c>
      <c r="K1179" s="32"/>
      <c r="L1179" s="233"/>
      <c r="M1179" s="278"/>
      <c r="N1179" s="278"/>
      <c r="O1179" s="278"/>
      <c r="P1179" s="278"/>
      <c r="Q1179" s="278"/>
      <c r="R1179" s="278"/>
      <c r="S1179" s="278"/>
      <c r="T1179" s="278"/>
      <c r="U1179" s="279"/>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 thickBot="1" x14ac:dyDescent="0.35">
      <c r="A1180" s="88"/>
      <c r="B1180" s="66" t="s">
        <v>304</v>
      </c>
      <c r="C1180" s="67"/>
      <c r="D1180" s="102"/>
      <c r="E1180" s="32"/>
      <c r="F1180" s="32"/>
      <c r="G1180" s="68" t="s">
        <v>285</v>
      </c>
      <c r="H1180" s="69">
        <f t="shared" si="485"/>
        <v>0</v>
      </c>
      <c r="I1180" s="70">
        <f t="shared" si="486"/>
        <v>0</v>
      </c>
      <c r="J1180" s="73" t="str">
        <f t="shared" si="487"/>
        <v>--</v>
      </c>
      <c r="K1180" s="32"/>
      <c r="L1180" s="233"/>
      <c r="M1180" s="278"/>
      <c r="N1180" s="278"/>
      <c r="O1180" s="278"/>
      <c r="P1180" s="278"/>
      <c r="Q1180" s="278"/>
      <c r="R1180" s="278"/>
      <c r="S1180" s="278"/>
      <c r="T1180" s="278"/>
      <c r="U1180" s="279"/>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 thickBot="1" x14ac:dyDescent="0.35">
      <c r="A1181" s="88"/>
      <c r="B1181" s="66" t="s">
        <v>305</v>
      </c>
      <c r="C1181" s="67"/>
      <c r="D1181" s="102"/>
      <c r="E1181" s="32"/>
      <c r="F1181" s="32"/>
      <c r="G1181" s="68" t="s">
        <v>285</v>
      </c>
      <c r="H1181" s="69">
        <f t="shared" si="485"/>
        <v>0</v>
      </c>
      <c r="I1181" s="70">
        <f t="shared" si="486"/>
        <v>0</v>
      </c>
      <c r="J1181" s="73" t="str">
        <f t="shared" si="487"/>
        <v>--</v>
      </c>
      <c r="K1181" s="32"/>
      <c r="L1181" s="233"/>
      <c r="M1181" s="278"/>
      <c r="N1181" s="278"/>
      <c r="O1181" s="278"/>
      <c r="P1181" s="278"/>
      <c r="Q1181" s="278"/>
      <c r="R1181" s="278"/>
      <c r="S1181" s="278"/>
      <c r="T1181" s="278"/>
      <c r="U1181" s="279"/>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 thickBot="1" x14ac:dyDescent="0.35">
      <c r="A1182" s="88"/>
      <c r="B1182" s="66" t="s">
        <v>306</v>
      </c>
      <c r="C1182" s="67"/>
      <c r="D1182" s="102"/>
      <c r="E1182" s="32"/>
      <c r="F1182" s="32"/>
      <c r="G1182" s="68" t="s">
        <v>285</v>
      </c>
      <c r="H1182" s="69">
        <f t="shared" si="485"/>
        <v>0</v>
      </c>
      <c r="I1182" s="70">
        <f t="shared" si="486"/>
        <v>0</v>
      </c>
      <c r="J1182" s="73" t="str">
        <f t="shared" si="487"/>
        <v>--</v>
      </c>
      <c r="K1182" s="32"/>
      <c r="L1182" s="233"/>
      <c r="M1182" s="278"/>
      <c r="N1182" s="278"/>
      <c r="O1182" s="278"/>
      <c r="P1182" s="278"/>
      <c r="Q1182" s="278"/>
      <c r="R1182" s="278"/>
      <c r="S1182" s="278"/>
      <c r="T1182" s="278"/>
      <c r="U1182" s="279"/>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 thickBot="1" x14ac:dyDescent="0.35">
      <c r="A1183" s="88"/>
      <c r="B1183" s="66" t="s">
        <v>307</v>
      </c>
      <c r="C1183" s="67"/>
      <c r="D1183" s="102"/>
      <c r="E1183" s="32"/>
      <c r="F1183" s="32"/>
      <c r="G1183" s="68" t="s">
        <v>285</v>
      </c>
      <c r="H1183" s="69">
        <f t="shared" si="485"/>
        <v>0</v>
      </c>
      <c r="I1183" s="70">
        <f t="shared" si="486"/>
        <v>0</v>
      </c>
      <c r="J1183" s="73" t="str">
        <f t="shared" si="487"/>
        <v>--</v>
      </c>
      <c r="K1183" s="32"/>
      <c r="L1183" s="233"/>
      <c r="M1183" s="278"/>
      <c r="N1183" s="278"/>
      <c r="O1183" s="278"/>
      <c r="P1183" s="278"/>
      <c r="Q1183" s="278"/>
      <c r="R1183" s="278"/>
      <c r="S1183" s="278"/>
      <c r="T1183" s="278"/>
      <c r="U1183" s="279"/>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 thickBot="1" x14ac:dyDescent="0.35">
      <c r="A1184" s="88"/>
      <c r="B1184" s="66" t="s">
        <v>308</v>
      </c>
      <c r="C1184" s="67"/>
      <c r="D1184" s="102"/>
      <c r="E1184" s="32"/>
      <c r="F1184" s="32"/>
      <c r="G1184" s="68" t="s">
        <v>285</v>
      </c>
      <c r="H1184" s="69">
        <f t="shared" si="485"/>
        <v>0</v>
      </c>
      <c r="I1184" s="70">
        <f t="shared" si="486"/>
        <v>0</v>
      </c>
      <c r="J1184" s="73" t="str">
        <f t="shared" si="487"/>
        <v>--</v>
      </c>
      <c r="K1184" s="32"/>
      <c r="L1184" s="233"/>
      <c r="M1184" s="278"/>
      <c r="N1184" s="278"/>
      <c r="O1184" s="278"/>
      <c r="P1184" s="278"/>
      <c r="Q1184" s="278"/>
      <c r="R1184" s="278"/>
      <c r="S1184" s="278"/>
      <c r="T1184" s="278"/>
      <c r="U1184" s="279"/>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 thickBot="1" x14ac:dyDescent="0.35">
      <c r="A1185" s="88"/>
      <c r="B1185" s="66" t="s">
        <v>309</v>
      </c>
      <c r="C1185" s="67"/>
      <c r="D1185" s="102"/>
      <c r="E1185" s="32"/>
      <c r="F1185" s="32"/>
      <c r="G1185" s="68" t="s">
        <v>285</v>
      </c>
      <c r="H1185" s="69">
        <f t="shared" si="485"/>
        <v>0</v>
      </c>
      <c r="I1185" s="70">
        <f t="shared" si="486"/>
        <v>0</v>
      </c>
      <c r="J1185" s="73" t="str">
        <f t="shared" si="487"/>
        <v>--</v>
      </c>
      <c r="K1185" s="32"/>
      <c r="L1185" s="233"/>
      <c r="M1185" s="278"/>
      <c r="N1185" s="278"/>
      <c r="O1185" s="278"/>
      <c r="P1185" s="278"/>
      <c r="Q1185" s="278"/>
      <c r="R1185" s="278"/>
      <c r="S1185" s="278"/>
      <c r="T1185" s="278"/>
      <c r="U1185" s="279"/>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 thickBot="1" x14ac:dyDescent="0.35">
      <c r="A1186" s="88"/>
      <c r="B1186" s="66" t="s">
        <v>310</v>
      </c>
      <c r="C1186" s="67"/>
      <c r="D1186" s="102"/>
      <c r="E1186" s="32"/>
      <c r="F1186" s="32"/>
      <c r="G1186" s="68" t="s">
        <v>285</v>
      </c>
      <c r="H1186" s="69">
        <f t="shared" si="485"/>
        <v>0</v>
      </c>
      <c r="I1186" s="70">
        <f t="shared" si="486"/>
        <v>0</v>
      </c>
      <c r="J1186" s="73" t="str">
        <f t="shared" si="487"/>
        <v>--</v>
      </c>
      <c r="K1186" s="32"/>
      <c r="L1186" s="233"/>
      <c r="M1186" s="278"/>
      <c r="N1186" s="278"/>
      <c r="O1186" s="278"/>
      <c r="P1186" s="278"/>
      <c r="Q1186" s="278"/>
      <c r="R1186" s="278"/>
      <c r="S1186" s="278"/>
      <c r="T1186" s="278"/>
      <c r="U1186" s="279"/>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 thickBot="1" x14ac:dyDescent="0.35">
      <c r="A1187" s="88"/>
      <c r="B1187" s="66" t="s">
        <v>311</v>
      </c>
      <c r="C1187" s="67"/>
      <c r="D1187" s="102"/>
      <c r="E1187" s="32"/>
      <c r="F1187" s="32"/>
      <c r="G1187" s="68" t="s">
        <v>285</v>
      </c>
      <c r="H1187" s="69">
        <f t="shared" si="485"/>
        <v>0</v>
      </c>
      <c r="I1187" s="70">
        <f t="shared" si="486"/>
        <v>0</v>
      </c>
      <c r="J1187" s="73" t="str">
        <f t="shared" si="487"/>
        <v>--</v>
      </c>
      <c r="K1187" s="32"/>
      <c r="L1187" s="233"/>
      <c r="M1187" s="278"/>
      <c r="N1187" s="278"/>
      <c r="O1187" s="278"/>
      <c r="P1187" s="278"/>
      <c r="Q1187" s="278"/>
      <c r="R1187" s="278"/>
      <c r="S1187" s="278"/>
      <c r="T1187" s="278"/>
      <c r="U1187" s="279"/>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 thickBot="1" x14ac:dyDescent="0.35">
      <c r="A1188" s="88"/>
      <c r="B1188" s="66" t="s">
        <v>312</v>
      </c>
      <c r="C1188" s="67"/>
      <c r="D1188" s="102"/>
      <c r="E1188" s="32"/>
      <c r="F1188" s="32"/>
      <c r="G1188" s="68" t="s">
        <v>285</v>
      </c>
      <c r="H1188" s="69">
        <f t="shared" si="485"/>
        <v>0</v>
      </c>
      <c r="I1188" s="70">
        <f t="shared" si="486"/>
        <v>0</v>
      </c>
      <c r="J1188" s="73" t="str">
        <f t="shared" si="487"/>
        <v>--</v>
      </c>
      <c r="K1188" s="32"/>
      <c r="L1188" s="233"/>
      <c r="M1188" s="278"/>
      <c r="N1188" s="278"/>
      <c r="O1188" s="278"/>
      <c r="P1188" s="278"/>
      <c r="Q1188" s="278"/>
      <c r="R1188" s="278"/>
      <c r="S1188" s="278"/>
      <c r="T1188" s="278"/>
      <c r="U1188" s="279"/>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 thickBot="1" x14ac:dyDescent="0.35">
      <c r="A1189" s="88"/>
      <c r="B1189" s="66" t="s">
        <v>313</v>
      </c>
      <c r="C1189" s="67"/>
      <c r="D1189" s="102"/>
      <c r="E1189" s="32"/>
      <c r="F1189" s="32"/>
      <c r="G1189" s="68" t="s">
        <v>285</v>
      </c>
      <c r="H1189" s="69">
        <f t="shared" si="485"/>
        <v>0</v>
      </c>
      <c r="I1189" s="70">
        <f t="shared" si="486"/>
        <v>0</v>
      </c>
      <c r="J1189" s="73" t="str">
        <f t="shared" si="487"/>
        <v>--</v>
      </c>
      <c r="K1189" s="32"/>
      <c r="L1189" s="234"/>
      <c r="M1189" s="278"/>
      <c r="N1189" s="278"/>
      <c r="O1189" s="278"/>
      <c r="P1189" s="278"/>
      <c r="Q1189" s="278"/>
      <c r="R1189" s="278"/>
      <c r="S1189" s="278"/>
      <c r="T1189" s="278"/>
      <c r="U1189" s="279"/>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2" thickBot="1" x14ac:dyDescent="0.35">
      <c r="A1190" s="88"/>
      <c r="B1190" s="319" t="s">
        <v>432</v>
      </c>
      <c r="C1190" s="320"/>
      <c r="D1190" s="79"/>
      <c r="E1190" s="80"/>
      <c r="F1190" s="80"/>
      <c r="G1190" s="81"/>
      <c r="H1190" s="192"/>
      <c r="I1190" s="192"/>
      <c r="J1190" s="192"/>
      <c r="K1190" s="82"/>
      <c r="L1190" s="319" t="s">
        <v>319</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2" thickBot="1" x14ac:dyDescent="0.35">
      <c r="A1191" s="88"/>
      <c r="B1191" s="319" t="s">
        <v>320</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3">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 thickBot="1" x14ac:dyDescent="0.35">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5">
      <c r="A1194" s="88"/>
      <c r="B1194" s="85" t="s">
        <v>433</v>
      </c>
      <c r="C1194" s="25"/>
      <c r="D1194" s="25"/>
      <c r="E1194" s="25"/>
      <c r="F1194" s="88"/>
      <c r="G1194" s="25"/>
      <c r="H1194" s="25"/>
      <c r="I1194" s="87"/>
      <c r="J1194" s="26"/>
      <c r="K1194" s="25"/>
      <c r="L1194" s="25"/>
      <c r="M1194" s="196" t="s">
        <v>217</v>
      </c>
      <c r="N1194" s="196" t="s">
        <v>218</v>
      </c>
      <c r="O1194" s="196" t="s">
        <v>219</v>
      </c>
      <c r="P1194" s="196" t="s">
        <v>220</v>
      </c>
      <c r="Q1194" s="196" t="s">
        <v>221</v>
      </c>
      <c r="R1194" s="196" t="s">
        <v>222</v>
      </c>
      <c r="S1194" s="196" t="s">
        <v>223</v>
      </c>
      <c r="T1194" s="196" t="s">
        <v>224</v>
      </c>
      <c r="U1194" s="196" t="s">
        <v>225</v>
      </c>
      <c r="V1194" s="196" t="s">
        <v>226</v>
      </c>
      <c r="W1194" s="113" t="s">
        <v>227</v>
      </c>
      <c r="X1194" s="196" t="s">
        <v>228</v>
      </c>
      <c r="Y1194" s="25"/>
      <c r="Z1194" s="25"/>
      <c r="AA1194" s="25"/>
      <c r="AB1194" s="25"/>
      <c r="AC1194" s="25"/>
      <c r="AD1194" s="25"/>
      <c r="BA1194" s="226"/>
    </row>
    <row r="1195" spans="1:53" ht="15.6" thickTop="1" thickBot="1" x14ac:dyDescent="0.35">
      <c r="A1195" s="88"/>
      <c r="B1195" s="312" t="s">
        <v>229</v>
      </c>
      <c r="C1195" s="313"/>
      <c r="D1195" s="314" t="s">
        <v>230</v>
      </c>
      <c r="E1195" s="305"/>
      <c r="F1195" s="88"/>
      <c r="G1195" s="315" t="s">
        <v>231</v>
      </c>
      <c r="H1195" s="316"/>
      <c r="I1195" s="28">
        <f>SUM(E1206:E1230)</f>
        <v>0</v>
      </c>
      <c r="J1195" s="317" t="s">
        <v>232</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233</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234</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5">
      <c r="A1196" s="88"/>
      <c r="B1196" s="29" t="s">
        <v>235</v>
      </c>
      <c r="C1196" s="30">
        <v>0</v>
      </c>
      <c r="D1196" s="31" t="s">
        <v>236</v>
      </c>
      <c r="E1196" s="66" t="str">
        <f>TEXT(IF('Cable Calculator'!ES7="","",'Cable Calculator'!ES7),)</f>
        <v/>
      </c>
      <c r="F1196" s="88"/>
      <c r="G1196" s="304" t="s">
        <v>237</v>
      </c>
      <c r="H1196" s="305"/>
      <c r="I1196" s="33">
        <f>E1197-I1195</f>
        <v>0</v>
      </c>
      <c r="J1196" s="289" t="s">
        <v>238</v>
      </c>
      <c r="K1196" s="290"/>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239</v>
      </c>
      <c r="AA1196" s="300" t="s">
        <v>240</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241</v>
      </c>
      <c r="AU1196" s="109">
        <f>COUNTIFS($E1196,"SS",$AS1196,"Y")</f>
        <v>0</v>
      </c>
      <c r="AV1196" s="111">
        <f>COUNTIFS($E1196,"RPX",$AS1196,"Y")</f>
        <v>0</v>
      </c>
      <c r="AW1196" s="111">
        <f>COUNTIFS($E1196,"EUC",$AS1196,"Y")</f>
        <v>0</v>
      </c>
      <c r="AX1196" s="109">
        <f>COUNTIFS($E1196,"RPX-T",$AS1196,"Y")</f>
        <v>0</v>
      </c>
      <c r="BA1196" s="227"/>
    </row>
    <row r="1197" spans="1:53" ht="15.6" thickTop="1" thickBot="1" x14ac:dyDescent="0.35">
      <c r="A1197" s="88"/>
      <c r="B1197" s="36" t="s">
        <v>242</v>
      </c>
      <c r="C1197" s="37">
        <v>0</v>
      </c>
      <c r="D1197" s="38" t="s">
        <v>243</v>
      </c>
      <c r="E1197" s="32"/>
      <c r="F1197" s="88"/>
      <c r="G1197" s="291" t="s">
        <v>244</v>
      </c>
      <c r="H1197" s="292"/>
      <c r="I1197" s="35">
        <f>IF(E1197=0,0,12-(MOD(I1195,12)))</f>
        <v>0</v>
      </c>
      <c r="J1197" s="289" t="s">
        <v>245</v>
      </c>
      <c r="K1197" s="290"/>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246</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5">
      <c r="A1198" s="88"/>
      <c r="B1198" s="40" t="s">
        <v>247</v>
      </c>
      <c r="C1198" s="30">
        <v>0</v>
      </c>
      <c r="D1198" s="41" t="s">
        <v>248</v>
      </c>
      <c r="E1198" s="42"/>
      <c r="F1198" s="88"/>
      <c r="G1198" s="321" t="s">
        <v>249</v>
      </c>
      <c r="H1198" s="43" t="s">
        <v>250</v>
      </c>
      <c r="I1198" s="35">
        <f>IF(E1198&lt;&gt;0,1,0)</f>
        <v>0</v>
      </c>
      <c r="J1198" s="291" t="s">
        <v>251</v>
      </c>
      <c r="K1198" s="29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252</v>
      </c>
      <c r="AU1198" s="109">
        <f>COUNTIFS($E1196,"SS",$AS1198,"Y")</f>
        <v>0</v>
      </c>
      <c r="AV1198" s="108">
        <f>COUNTIFS($E1196,"RPX",$AS1198,"Y")</f>
        <v>0</v>
      </c>
      <c r="AW1198" s="108">
        <f>COUNTIFS($E1196,"EUC",$AS1198,"Y")</f>
        <v>0</v>
      </c>
      <c r="AX1198" s="109">
        <f>COUNTIFS($E1196,"RPX-T",$AS1198,"Y")</f>
        <v>0</v>
      </c>
      <c r="BA1198" s="227"/>
    </row>
    <row r="1199" spans="1:53" ht="15.6" thickTop="1" thickBot="1" x14ac:dyDescent="0.35">
      <c r="A1199" s="88"/>
      <c r="B1199" s="29" t="s">
        <v>253</v>
      </c>
      <c r="C1199" s="37">
        <v>0</v>
      </c>
      <c r="D1199" s="41" t="s">
        <v>254</v>
      </c>
      <c r="E1199" s="42"/>
      <c r="F1199" s="88"/>
      <c r="G1199" s="322"/>
      <c r="H1199" s="47" t="s">
        <v>255</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5">
      <c r="A1200" s="88"/>
      <c r="B1200" s="36" t="s">
        <v>256</v>
      </c>
      <c r="C1200" s="30">
        <v>0</v>
      </c>
      <c r="D1200" s="49" t="s">
        <v>257</v>
      </c>
      <c r="E1200" s="50">
        <f>E1197/12</f>
        <v>0</v>
      </c>
      <c r="F1200" s="88"/>
      <c r="G1200" s="321" t="s">
        <v>258</v>
      </c>
      <c r="H1200" s="51" t="s">
        <v>259</v>
      </c>
      <c r="I1200" s="112">
        <f>E1199</f>
        <v>0</v>
      </c>
      <c r="J1200" s="323" t="s">
        <v>260</v>
      </c>
      <c r="K1200" s="324"/>
      <c r="L1200" s="325"/>
      <c r="M1200" s="52" t="s">
        <v>261</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5.6" thickTop="1" thickBot="1" x14ac:dyDescent="0.35">
      <c r="A1201" s="88"/>
      <c r="B1201" s="36" t="s">
        <v>262</v>
      </c>
      <c r="C1201" s="30">
        <v>0</v>
      </c>
      <c r="D1201" s="31" t="s">
        <v>263</v>
      </c>
      <c r="E1201" s="101" t="str">
        <f>IF('Cable Calculator'!ES5="","",'Cable Calculator'!ES5)</f>
        <v/>
      </c>
      <c r="F1201" s="88"/>
      <c r="G1201" s="322"/>
      <c r="H1201" s="47" t="s">
        <v>264</v>
      </c>
      <c r="I1201" s="35" t="str">
        <f>IF(E1199="","0",IF(AND(E1196="EUC",E1197=432), I1200+(203-E1198),IF(E1199=0,0,(E1199+(E1197-E1198)-1))))</f>
        <v>0</v>
      </c>
      <c r="J1201" s="286" t="str">
        <f>IFERROR(IF(OR(E1196="EUC",E1196="SS"),"---",IF(OR(P1195,S1195),"NO 2F Tethers for RPX!",IF(OR(P1197,S1197),"NO 6F Tethers for RPX!","---"))),"---")</f>
        <v>---</v>
      </c>
      <c r="K1201" s="287"/>
      <c r="L1201" s="288"/>
      <c r="M1201" s="286" t="str">
        <f>IF(E1198&gt;60,"Dead Count &gt;60: Consider Downsize","---")</f>
        <v>---</v>
      </c>
      <c r="N1201" s="287"/>
      <c r="O1201" s="287"/>
      <c r="P1201" s="287"/>
      <c r="Q1201" s="287"/>
      <c r="R1201" s="287"/>
      <c r="S1201" s="287"/>
      <c r="T1201" s="287"/>
      <c r="U1201" s="288"/>
      <c r="V1201" s="100"/>
      <c r="W1201" s="54">
        <f>SUM(P1201:U1201)</f>
        <v>0</v>
      </c>
      <c r="X1201" s="54"/>
      <c r="Y1201" s="25"/>
      <c r="Z1201" s="45">
        <v>4</v>
      </c>
      <c r="AA1201" s="46">
        <v>37</v>
      </c>
      <c r="AB1201" s="46">
        <v>48</v>
      </c>
      <c r="AC1201" s="25"/>
      <c r="AD1201" s="25"/>
      <c r="BA1201" s="227"/>
    </row>
    <row r="1202" spans="1:53" ht="15.6" thickTop="1" thickBot="1" x14ac:dyDescent="0.35">
      <c r="A1202" s="88"/>
      <c r="B1202" s="55" t="s">
        <v>265</v>
      </c>
      <c r="C1202" s="56">
        <f>SUM(C1196:C1201)+I1195</f>
        <v>0</v>
      </c>
      <c r="D1202" s="31" t="s">
        <v>266</v>
      </c>
      <c r="E1202" s="101" t="str">
        <f>IF(AS1196="Y","DBL",IF(AS1197="Y","TRPL",IF(AS1198="Y","QUAD","")))</f>
        <v/>
      </c>
      <c r="F1202" s="88"/>
      <c r="G1202" s="192"/>
      <c r="H1202" s="57"/>
      <c r="I1202" s="192"/>
      <c r="J1202" s="286"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7"/>
      <c r="L1202" s="288"/>
      <c r="M1202" s="286" t="str">
        <f>IF(AND(OR(E1196="SS",E1196="RPX",E1196="EUC",E1196="RPX-T"),(OR(C1206="",C1206="Field SPL"))),"Cannot have FlexNap cables without tethers","---")</f>
        <v>---</v>
      </c>
      <c r="N1202" s="287"/>
      <c r="O1202" s="287"/>
      <c r="P1202" s="287"/>
      <c r="Q1202" s="287"/>
      <c r="R1202" s="287"/>
      <c r="S1202" s="287"/>
      <c r="T1202" s="287"/>
      <c r="U1202" s="288"/>
      <c r="V1202" s="25"/>
      <c r="W1202" s="58"/>
      <c r="X1202" s="58"/>
      <c r="Y1202" s="25"/>
      <c r="Z1202" s="45">
        <v>5</v>
      </c>
      <c r="AA1202" s="46">
        <v>49</v>
      </c>
      <c r="AB1202" s="46">
        <v>60</v>
      </c>
      <c r="AC1202" s="25"/>
      <c r="AD1202" s="25"/>
      <c r="BA1202" s="227"/>
    </row>
    <row r="1203" spans="1:53" ht="15.6" thickTop="1" thickBot="1" x14ac:dyDescent="0.35">
      <c r="A1203" s="88"/>
      <c r="B1203" s="59"/>
      <c r="C1203" s="60"/>
      <c r="D1203" s="61"/>
      <c r="E1203" s="62"/>
      <c r="F1203" s="88"/>
      <c r="G1203" s="63"/>
      <c r="H1203" s="64"/>
      <c r="I1203" s="63"/>
      <c r="J1203" s="286" t="str">
        <f>IF(AND(OR(E1196="RPX", E1196="RPX-T", E1196="SS"),E1197=216),"NO 216 For RPX, RPX-T, OR SS CABLE","---")</f>
        <v>---</v>
      </c>
      <c r="K1203" s="287"/>
      <c r="L1203" s="288"/>
      <c r="M1203" s="286" t="str" cm="1">
        <f t="array" ref="M1203">IF(AND(E1196="",OR(C1206:C1230="FST",C1206:C1230="REV T",C1206:C1230="DBL REV",C1206:C1230="TPL REV", C1206:C1230="QD REV")),"Non-FlexNap cables cannot have tethers","---")</f>
        <v>---</v>
      </c>
      <c r="N1203" s="287"/>
      <c r="O1203" s="287"/>
      <c r="P1203" s="287"/>
      <c r="Q1203" s="287"/>
      <c r="R1203" s="287"/>
      <c r="S1203" s="287"/>
      <c r="T1203" s="287"/>
      <c r="U1203" s="288"/>
      <c r="V1203" s="25"/>
      <c r="W1203" s="58"/>
      <c r="X1203" s="58"/>
      <c r="Y1203" s="25"/>
      <c r="Z1203" s="45">
        <v>6</v>
      </c>
      <c r="AA1203" s="65">
        <v>61</v>
      </c>
      <c r="AB1203" s="65">
        <v>72</v>
      </c>
      <c r="AC1203" s="25"/>
      <c r="AD1203" s="25"/>
      <c r="BA1203" s="226"/>
    </row>
    <row r="1204" spans="1:53" ht="15.75" customHeight="1" thickBot="1" x14ac:dyDescent="0.35">
      <c r="A1204" s="88"/>
      <c r="B1204" s="321" t="s">
        <v>267</v>
      </c>
      <c r="C1204" s="293" t="s">
        <v>268</v>
      </c>
      <c r="D1204" s="293" t="s">
        <v>269</v>
      </c>
      <c r="E1204" s="306" t="s">
        <v>270</v>
      </c>
      <c r="F1204" s="293" t="s">
        <v>271</v>
      </c>
      <c r="G1204" s="308" t="s">
        <v>272</v>
      </c>
      <c r="H1204" s="308" t="s">
        <v>273</v>
      </c>
      <c r="I1204" s="308" t="s">
        <v>274</v>
      </c>
      <c r="J1204" s="310" t="s">
        <v>275</v>
      </c>
      <c r="K1204" s="293" t="s">
        <v>276</v>
      </c>
      <c r="L1204" s="280" t="s">
        <v>277</v>
      </c>
      <c r="M1204" s="282" t="s">
        <v>278</v>
      </c>
      <c r="N1204" s="282"/>
      <c r="O1204" s="282"/>
      <c r="P1204" s="282"/>
      <c r="Q1204" s="282"/>
      <c r="R1204" s="282"/>
      <c r="S1204" s="282"/>
      <c r="T1204" s="282"/>
      <c r="U1204" s="283"/>
      <c r="V1204" s="107"/>
      <c r="W1204" s="72"/>
      <c r="X1204" s="72"/>
      <c r="Y1204" s="72"/>
      <c r="Z1204" s="45">
        <v>7</v>
      </c>
      <c r="AA1204" s="65">
        <v>73</v>
      </c>
      <c r="AB1204" s="65">
        <v>84</v>
      </c>
      <c r="AC1204" s="25"/>
      <c r="AD1204" s="25"/>
      <c r="BA1204" s="228"/>
    </row>
    <row r="1205" spans="1:53" ht="15" thickBot="1" x14ac:dyDescent="0.35">
      <c r="A1205" s="88"/>
      <c r="B1205" s="322"/>
      <c r="C1205" s="294"/>
      <c r="D1205" s="294"/>
      <c r="E1205" s="307"/>
      <c r="F1205" s="294"/>
      <c r="G1205" s="309"/>
      <c r="H1205" s="309"/>
      <c r="I1205" s="309"/>
      <c r="J1205" s="311"/>
      <c r="K1205" s="294"/>
      <c r="L1205" s="281"/>
      <c r="M1205" s="284"/>
      <c r="N1205" s="284"/>
      <c r="O1205" s="284"/>
      <c r="P1205" s="284"/>
      <c r="Q1205" s="284"/>
      <c r="R1205" s="284"/>
      <c r="S1205" s="284"/>
      <c r="T1205" s="284"/>
      <c r="U1205" s="285"/>
      <c r="V1205" s="107"/>
      <c r="W1205" s="72"/>
      <c r="X1205" s="72"/>
      <c r="Y1205" s="72"/>
      <c r="Z1205" s="45">
        <v>8</v>
      </c>
      <c r="AA1205" s="46">
        <v>85</v>
      </c>
      <c r="AB1205" s="46">
        <v>96</v>
      </c>
      <c r="AC1205" s="25"/>
      <c r="AD1205" s="25"/>
      <c r="AI1205" s="109" t="s">
        <v>279</v>
      </c>
      <c r="AJ1205" s="109" t="s">
        <v>280</v>
      </c>
      <c r="AK1205" s="109" t="s">
        <v>281</v>
      </c>
      <c r="AL1205" s="109" t="s">
        <v>282</v>
      </c>
      <c r="BA1205" s="228"/>
    </row>
    <row r="1206" spans="1:53" ht="15" thickBot="1" x14ac:dyDescent="0.35">
      <c r="A1206" s="88"/>
      <c r="B1206" s="66" t="s">
        <v>283</v>
      </c>
      <c r="C1206" s="67"/>
      <c r="D1206" s="102"/>
      <c r="E1206" s="32"/>
      <c r="F1206" s="32"/>
      <c r="G1206" s="68" t="s">
        <v>285</v>
      </c>
      <c r="H1206" s="69">
        <f>IF(I1206=0,0,I1206-(E1206-1))</f>
        <v>0</v>
      </c>
      <c r="I1206" s="70">
        <f>IF(E1206=0,0,I1201)</f>
        <v>0</v>
      </c>
      <c r="J1206" s="71" t="s">
        <v>286</v>
      </c>
      <c r="K1206" s="32"/>
      <c r="L1206" s="233"/>
      <c r="M1206" s="278"/>
      <c r="N1206" s="278"/>
      <c r="O1206" s="278"/>
      <c r="P1206" s="278"/>
      <c r="Q1206" s="278"/>
      <c r="R1206" s="278"/>
      <c r="S1206" s="278"/>
      <c r="T1206" s="278"/>
      <c r="U1206" s="27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 thickBot="1" x14ac:dyDescent="0.35">
      <c r="A1207" s="88"/>
      <c r="B1207" s="66" t="s">
        <v>288</v>
      </c>
      <c r="C1207" s="67"/>
      <c r="D1207" s="102"/>
      <c r="E1207" s="32"/>
      <c r="F1207" s="32"/>
      <c r="G1207" s="68" t="s">
        <v>285</v>
      </c>
      <c r="H1207" s="69">
        <f t="shared" ref="H1207:H1230" si="502">IF(E1207=0,0,I1207-(E1207-1))</f>
        <v>0</v>
      </c>
      <c r="I1207" s="70">
        <f t="shared" ref="I1207:I1230" si="503">IF(E1207=0,0,H1206-1)</f>
        <v>0</v>
      </c>
      <c r="J1207" s="73" t="str">
        <f>IF(C1207="","--",IF(AND(C1207&lt;&gt;"FST",C1207&lt;&gt;"TCF",BA1206&lt;&gt;0),BA1206,"--"))</f>
        <v>--</v>
      </c>
      <c r="K1207" s="32"/>
      <c r="L1207" s="233"/>
      <c r="M1207" s="278"/>
      <c r="N1207" s="278"/>
      <c r="O1207" s="278"/>
      <c r="P1207" s="278"/>
      <c r="Q1207" s="278"/>
      <c r="R1207" s="278"/>
      <c r="S1207" s="278"/>
      <c r="T1207" s="278"/>
      <c r="U1207" s="27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 thickBot="1" x14ac:dyDescent="0.35">
      <c r="A1208" s="88"/>
      <c r="B1208" s="74" t="s">
        <v>290</v>
      </c>
      <c r="C1208" s="67"/>
      <c r="D1208" s="102"/>
      <c r="E1208" s="32"/>
      <c r="F1208" s="32"/>
      <c r="G1208" s="75" t="s">
        <v>285</v>
      </c>
      <c r="H1208" s="69">
        <f t="shared" si="502"/>
        <v>0</v>
      </c>
      <c r="I1208" s="70">
        <f t="shared" si="503"/>
        <v>0</v>
      </c>
      <c r="J1208" s="73" t="str">
        <f t="shared" ref="J1208:J1230" si="504">IF(C1208="","--",IF(AND(C1208&lt;&gt;"FST",C1208&lt;&gt;"TCF",BA1207&lt;&gt;0),BA1207,"--"))</f>
        <v>--</v>
      </c>
      <c r="K1208" s="32"/>
      <c r="L1208" s="233"/>
      <c r="M1208" s="278"/>
      <c r="N1208" s="278"/>
      <c r="O1208" s="278"/>
      <c r="P1208" s="278"/>
      <c r="Q1208" s="278"/>
      <c r="R1208" s="278"/>
      <c r="S1208" s="278"/>
      <c r="T1208" s="278"/>
      <c r="U1208" s="27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 thickBot="1" x14ac:dyDescent="0.35">
      <c r="A1209" s="88"/>
      <c r="B1209" s="66" t="s">
        <v>292</v>
      </c>
      <c r="C1209" s="67"/>
      <c r="D1209" s="102"/>
      <c r="E1209" s="32"/>
      <c r="F1209" s="32"/>
      <c r="G1209" s="68" t="s">
        <v>285</v>
      </c>
      <c r="H1209" s="69">
        <f t="shared" si="502"/>
        <v>0</v>
      </c>
      <c r="I1209" s="70">
        <f t="shared" si="503"/>
        <v>0</v>
      </c>
      <c r="J1209" s="73" t="str">
        <f t="shared" si="504"/>
        <v>--</v>
      </c>
      <c r="K1209" s="32"/>
      <c r="L1209" s="233"/>
      <c r="M1209" s="278"/>
      <c r="N1209" s="278"/>
      <c r="O1209" s="278"/>
      <c r="P1209" s="278"/>
      <c r="Q1209" s="278"/>
      <c r="R1209" s="278"/>
      <c r="S1209" s="278"/>
      <c r="T1209" s="278"/>
      <c r="U1209" s="27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 thickBot="1" x14ac:dyDescent="0.35">
      <c r="A1210" s="88"/>
      <c r="B1210" s="66" t="s">
        <v>293</v>
      </c>
      <c r="C1210" s="67"/>
      <c r="D1210" s="102"/>
      <c r="E1210" s="32"/>
      <c r="F1210" s="32"/>
      <c r="G1210" s="68" t="s">
        <v>285</v>
      </c>
      <c r="H1210" s="69">
        <f t="shared" si="502"/>
        <v>0</v>
      </c>
      <c r="I1210" s="70">
        <f t="shared" si="503"/>
        <v>0</v>
      </c>
      <c r="J1210" s="73" t="str">
        <f t="shared" si="504"/>
        <v>--</v>
      </c>
      <c r="K1210" s="32"/>
      <c r="L1210" s="233"/>
      <c r="M1210" s="278"/>
      <c r="N1210" s="278"/>
      <c r="O1210" s="278"/>
      <c r="P1210" s="278"/>
      <c r="Q1210" s="278"/>
      <c r="R1210" s="278"/>
      <c r="S1210" s="278"/>
      <c r="T1210" s="278"/>
      <c r="U1210" s="27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 thickBot="1" x14ac:dyDescent="0.35">
      <c r="A1211" s="88"/>
      <c r="B1211" s="66" t="s">
        <v>294</v>
      </c>
      <c r="C1211" s="67"/>
      <c r="D1211" s="102"/>
      <c r="E1211" s="32"/>
      <c r="F1211" s="32"/>
      <c r="G1211" s="68" t="s">
        <v>285</v>
      </c>
      <c r="H1211" s="69">
        <f t="shared" si="502"/>
        <v>0</v>
      </c>
      <c r="I1211" s="70">
        <f t="shared" si="503"/>
        <v>0</v>
      </c>
      <c r="J1211" s="73" t="str">
        <f t="shared" si="504"/>
        <v>--</v>
      </c>
      <c r="K1211" s="32"/>
      <c r="L1211" s="233"/>
      <c r="M1211" s="278"/>
      <c r="N1211" s="278"/>
      <c r="O1211" s="278"/>
      <c r="P1211" s="278"/>
      <c r="Q1211" s="278"/>
      <c r="R1211" s="278"/>
      <c r="S1211" s="278"/>
      <c r="T1211" s="278"/>
      <c r="U1211" s="27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 thickBot="1" x14ac:dyDescent="0.35">
      <c r="A1212" s="88"/>
      <c r="B1212" s="66" t="s">
        <v>295</v>
      </c>
      <c r="C1212" s="67"/>
      <c r="D1212" s="102"/>
      <c r="E1212" s="32"/>
      <c r="F1212" s="32"/>
      <c r="G1212" s="68" t="s">
        <v>285</v>
      </c>
      <c r="H1212" s="69">
        <f t="shared" si="502"/>
        <v>0</v>
      </c>
      <c r="I1212" s="70">
        <f t="shared" si="503"/>
        <v>0</v>
      </c>
      <c r="J1212" s="73" t="str">
        <f t="shared" si="504"/>
        <v>--</v>
      </c>
      <c r="K1212" s="32"/>
      <c r="L1212" s="233"/>
      <c r="M1212" s="278"/>
      <c r="N1212" s="278"/>
      <c r="O1212" s="278"/>
      <c r="P1212" s="278"/>
      <c r="Q1212" s="278"/>
      <c r="R1212" s="278"/>
      <c r="S1212" s="278"/>
      <c r="T1212" s="278"/>
      <c r="U1212" s="27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 thickBot="1" x14ac:dyDescent="0.35">
      <c r="A1213" s="88"/>
      <c r="B1213" s="66" t="s">
        <v>296</v>
      </c>
      <c r="C1213" s="67"/>
      <c r="D1213" s="102"/>
      <c r="E1213" s="32"/>
      <c r="F1213" s="32"/>
      <c r="G1213" s="68" t="s">
        <v>285</v>
      </c>
      <c r="H1213" s="69">
        <f t="shared" si="502"/>
        <v>0</v>
      </c>
      <c r="I1213" s="70">
        <f t="shared" si="503"/>
        <v>0</v>
      </c>
      <c r="J1213" s="73" t="str">
        <f t="shared" si="504"/>
        <v>--</v>
      </c>
      <c r="K1213" s="32"/>
      <c r="L1213" s="233"/>
      <c r="M1213" s="278"/>
      <c r="N1213" s="278"/>
      <c r="O1213" s="278"/>
      <c r="P1213" s="278"/>
      <c r="Q1213" s="278"/>
      <c r="R1213" s="278"/>
      <c r="S1213" s="278"/>
      <c r="T1213" s="278"/>
      <c r="U1213" s="27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 thickBot="1" x14ac:dyDescent="0.35">
      <c r="A1214" s="88"/>
      <c r="B1214" s="66" t="s">
        <v>297</v>
      </c>
      <c r="C1214" s="67"/>
      <c r="D1214" s="102"/>
      <c r="E1214" s="32"/>
      <c r="F1214" s="32"/>
      <c r="G1214" s="68" t="s">
        <v>285</v>
      </c>
      <c r="H1214" s="69">
        <f t="shared" si="502"/>
        <v>0</v>
      </c>
      <c r="I1214" s="70">
        <f t="shared" si="503"/>
        <v>0</v>
      </c>
      <c r="J1214" s="73" t="str">
        <f t="shared" si="504"/>
        <v>--</v>
      </c>
      <c r="K1214" s="32"/>
      <c r="L1214" s="233"/>
      <c r="M1214" s="278"/>
      <c r="N1214" s="278"/>
      <c r="O1214" s="278"/>
      <c r="P1214" s="278"/>
      <c r="Q1214" s="278"/>
      <c r="R1214" s="278"/>
      <c r="S1214" s="278"/>
      <c r="T1214" s="278"/>
      <c r="U1214" s="27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 thickBot="1" x14ac:dyDescent="0.35">
      <c r="A1215" s="88"/>
      <c r="B1215" s="66" t="s">
        <v>298</v>
      </c>
      <c r="C1215" s="67"/>
      <c r="D1215" s="102"/>
      <c r="E1215" s="32"/>
      <c r="F1215" s="32"/>
      <c r="G1215" s="68" t="s">
        <v>285</v>
      </c>
      <c r="H1215" s="69">
        <f t="shared" si="502"/>
        <v>0</v>
      </c>
      <c r="I1215" s="70">
        <f t="shared" si="503"/>
        <v>0</v>
      </c>
      <c r="J1215" s="73" t="str">
        <f t="shared" si="504"/>
        <v>--</v>
      </c>
      <c r="K1215" s="32"/>
      <c r="L1215" s="233"/>
      <c r="M1215" s="278"/>
      <c r="N1215" s="278"/>
      <c r="O1215" s="278"/>
      <c r="P1215" s="278"/>
      <c r="Q1215" s="278"/>
      <c r="R1215" s="278"/>
      <c r="S1215" s="278"/>
      <c r="T1215" s="278"/>
      <c r="U1215" s="27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 thickBot="1" x14ac:dyDescent="0.35">
      <c r="A1216" s="88"/>
      <c r="B1216" s="66" t="s">
        <v>299</v>
      </c>
      <c r="C1216" s="67"/>
      <c r="D1216" s="102"/>
      <c r="E1216" s="32"/>
      <c r="F1216" s="32"/>
      <c r="G1216" s="68" t="s">
        <v>285</v>
      </c>
      <c r="H1216" s="69">
        <f t="shared" si="502"/>
        <v>0</v>
      </c>
      <c r="I1216" s="70">
        <f t="shared" si="503"/>
        <v>0</v>
      </c>
      <c r="J1216" s="73" t="str">
        <f t="shared" si="504"/>
        <v>--</v>
      </c>
      <c r="K1216" s="32"/>
      <c r="L1216" s="233"/>
      <c r="M1216" s="278"/>
      <c r="N1216" s="278"/>
      <c r="O1216" s="278"/>
      <c r="P1216" s="278"/>
      <c r="Q1216" s="278"/>
      <c r="R1216" s="278"/>
      <c r="S1216" s="278"/>
      <c r="T1216" s="278"/>
      <c r="U1216" s="27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 thickBot="1" x14ac:dyDescent="0.35">
      <c r="A1217" s="88"/>
      <c r="B1217" s="66" t="s">
        <v>300</v>
      </c>
      <c r="C1217" s="67"/>
      <c r="D1217" s="102"/>
      <c r="E1217" s="32"/>
      <c r="F1217" s="32"/>
      <c r="G1217" s="68" t="s">
        <v>285</v>
      </c>
      <c r="H1217" s="69">
        <f t="shared" si="502"/>
        <v>0</v>
      </c>
      <c r="I1217" s="70">
        <f t="shared" si="503"/>
        <v>0</v>
      </c>
      <c r="J1217" s="73" t="str">
        <f t="shared" si="504"/>
        <v>--</v>
      </c>
      <c r="K1217" s="32"/>
      <c r="L1217" s="233"/>
      <c r="M1217" s="278"/>
      <c r="N1217" s="278"/>
      <c r="O1217" s="278"/>
      <c r="P1217" s="278"/>
      <c r="Q1217" s="278"/>
      <c r="R1217" s="278"/>
      <c r="S1217" s="278"/>
      <c r="T1217" s="278"/>
      <c r="U1217" s="27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 thickBot="1" x14ac:dyDescent="0.35">
      <c r="A1218" s="88"/>
      <c r="B1218" s="66" t="s">
        <v>301</v>
      </c>
      <c r="C1218" s="67"/>
      <c r="D1218" s="102"/>
      <c r="E1218" s="32"/>
      <c r="F1218" s="32"/>
      <c r="G1218" s="68" t="s">
        <v>285</v>
      </c>
      <c r="H1218" s="69">
        <f t="shared" si="502"/>
        <v>0</v>
      </c>
      <c r="I1218" s="70">
        <f t="shared" si="503"/>
        <v>0</v>
      </c>
      <c r="J1218" s="73" t="str">
        <f t="shared" si="504"/>
        <v>--</v>
      </c>
      <c r="K1218" s="32"/>
      <c r="L1218" s="233"/>
      <c r="M1218" s="278"/>
      <c r="N1218" s="278"/>
      <c r="O1218" s="278"/>
      <c r="P1218" s="278"/>
      <c r="Q1218" s="278"/>
      <c r="R1218" s="278"/>
      <c r="S1218" s="278"/>
      <c r="T1218" s="278"/>
      <c r="U1218" s="27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 thickBot="1" x14ac:dyDescent="0.35">
      <c r="A1219" s="88"/>
      <c r="B1219" s="66" t="s">
        <v>302</v>
      </c>
      <c r="C1219" s="67"/>
      <c r="D1219" s="102"/>
      <c r="E1219" s="32"/>
      <c r="F1219" s="32"/>
      <c r="G1219" s="68" t="s">
        <v>285</v>
      </c>
      <c r="H1219" s="69">
        <f t="shared" si="502"/>
        <v>0</v>
      </c>
      <c r="I1219" s="70">
        <f t="shared" si="503"/>
        <v>0</v>
      </c>
      <c r="J1219" s="73" t="str">
        <f t="shared" si="504"/>
        <v>--</v>
      </c>
      <c r="K1219" s="32"/>
      <c r="L1219" s="233"/>
      <c r="M1219" s="278"/>
      <c r="N1219" s="278"/>
      <c r="O1219" s="278"/>
      <c r="P1219" s="278"/>
      <c r="Q1219" s="278"/>
      <c r="R1219" s="278"/>
      <c r="S1219" s="278"/>
      <c r="T1219" s="278"/>
      <c r="U1219" s="27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 thickBot="1" x14ac:dyDescent="0.35">
      <c r="A1220" s="88"/>
      <c r="B1220" s="66" t="s">
        <v>303</v>
      </c>
      <c r="C1220" s="67"/>
      <c r="D1220" s="102"/>
      <c r="E1220" s="32"/>
      <c r="F1220" s="32"/>
      <c r="G1220" s="68" t="s">
        <v>285</v>
      </c>
      <c r="H1220" s="69">
        <f t="shared" si="502"/>
        <v>0</v>
      </c>
      <c r="I1220" s="70">
        <f t="shared" si="503"/>
        <v>0</v>
      </c>
      <c r="J1220" s="73" t="str">
        <f t="shared" si="504"/>
        <v>--</v>
      </c>
      <c r="K1220" s="32"/>
      <c r="L1220" s="233"/>
      <c r="M1220" s="278"/>
      <c r="N1220" s="278"/>
      <c r="O1220" s="278"/>
      <c r="P1220" s="278"/>
      <c r="Q1220" s="278"/>
      <c r="R1220" s="278"/>
      <c r="S1220" s="278"/>
      <c r="T1220" s="278"/>
      <c r="U1220" s="27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 thickBot="1" x14ac:dyDescent="0.35">
      <c r="A1221" s="88"/>
      <c r="B1221" s="66" t="s">
        <v>304</v>
      </c>
      <c r="C1221" s="67"/>
      <c r="D1221" s="102"/>
      <c r="E1221" s="32"/>
      <c r="F1221" s="32"/>
      <c r="G1221" s="68" t="s">
        <v>285</v>
      </c>
      <c r="H1221" s="69">
        <f t="shared" si="502"/>
        <v>0</v>
      </c>
      <c r="I1221" s="70">
        <f t="shared" si="503"/>
        <v>0</v>
      </c>
      <c r="J1221" s="73" t="str">
        <f t="shared" si="504"/>
        <v>--</v>
      </c>
      <c r="K1221" s="32"/>
      <c r="L1221" s="233"/>
      <c r="M1221" s="278"/>
      <c r="N1221" s="278"/>
      <c r="O1221" s="278"/>
      <c r="P1221" s="278"/>
      <c r="Q1221" s="278"/>
      <c r="R1221" s="278"/>
      <c r="S1221" s="278"/>
      <c r="T1221" s="278"/>
      <c r="U1221" s="27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 thickBot="1" x14ac:dyDescent="0.35">
      <c r="A1222" s="88"/>
      <c r="B1222" s="66" t="s">
        <v>305</v>
      </c>
      <c r="C1222" s="67"/>
      <c r="D1222" s="102"/>
      <c r="E1222" s="32"/>
      <c r="F1222" s="32"/>
      <c r="G1222" s="68" t="s">
        <v>285</v>
      </c>
      <c r="H1222" s="69">
        <f t="shared" si="502"/>
        <v>0</v>
      </c>
      <c r="I1222" s="70">
        <f t="shared" si="503"/>
        <v>0</v>
      </c>
      <c r="J1222" s="73" t="str">
        <f t="shared" si="504"/>
        <v>--</v>
      </c>
      <c r="K1222" s="32"/>
      <c r="L1222" s="233"/>
      <c r="M1222" s="278"/>
      <c r="N1222" s="278"/>
      <c r="O1222" s="278"/>
      <c r="P1222" s="278"/>
      <c r="Q1222" s="278"/>
      <c r="R1222" s="278"/>
      <c r="S1222" s="278"/>
      <c r="T1222" s="278"/>
      <c r="U1222" s="27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 thickBot="1" x14ac:dyDescent="0.35">
      <c r="A1223" s="88"/>
      <c r="B1223" s="66" t="s">
        <v>306</v>
      </c>
      <c r="C1223" s="67"/>
      <c r="D1223" s="102"/>
      <c r="E1223" s="32"/>
      <c r="F1223" s="32"/>
      <c r="G1223" s="68" t="s">
        <v>285</v>
      </c>
      <c r="H1223" s="69">
        <f t="shared" si="502"/>
        <v>0</v>
      </c>
      <c r="I1223" s="70">
        <f t="shared" si="503"/>
        <v>0</v>
      </c>
      <c r="J1223" s="73" t="str">
        <f t="shared" si="504"/>
        <v>--</v>
      </c>
      <c r="K1223" s="32"/>
      <c r="L1223" s="233"/>
      <c r="M1223" s="278"/>
      <c r="N1223" s="278"/>
      <c r="O1223" s="278"/>
      <c r="P1223" s="278"/>
      <c r="Q1223" s="278"/>
      <c r="R1223" s="278"/>
      <c r="S1223" s="278"/>
      <c r="T1223" s="278"/>
      <c r="U1223" s="27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 thickBot="1" x14ac:dyDescent="0.35">
      <c r="A1224" s="88"/>
      <c r="B1224" s="66" t="s">
        <v>307</v>
      </c>
      <c r="C1224" s="67"/>
      <c r="D1224" s="102"/>
      <c r="E1224" s="32"/>
      <c r="F1224" s="32"/>
      <c r="G1224" s="68" t="s">
        <v>285</v>
      </c>
      <c r="H1224" s="69">
        <f t="shared" si="502"/>
        <v>0</v>
      </c>
      <c r="I1224" s="70">
        <f t="shared" si="503"/>
        <v>0</v>
      </c>
      <c r="J1224" s="73" t="str">
        <f t="shared" si="504"/>
        <v>--</v>
      </c>
      <c r="K1224" s="32"/>
      <c r="L1224" s="233"/>
      <c r="M1224" s="278"/>
      <c r="N1224" s="278"/>
      <c r="O1224" s="278"/>
      <c r="P1224" s="278"/>
      <c r="Q1224" s="278"/>
      <c r="R1224" s="278"/>
      <c r="S1224" s="278"/>
      <c r="T1224" s="278"/>
      <c r="U1224" s="27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 thickBot="1" x14ac:dyDescent="0.35">
      <c r="A1225" s="88"/>
      <c r="B1225" s="66" t="s">
        <v>308</v>
      </c>
      <c r="C1225" s="67"/>
      <c r="D1225" s="102"/>
      <c r="E1225" s="32"/>
      <c r="F1225" s="32"/>
      <c r="G1225" s="68" t="s">
        <v>285</v>
      </c>
      <c r="H1225" s="69">
        <f t="shared" si="502"/>
        <v>0</v>
      </c>
      <c r="I1225" s="70">
        <f t="shared" si="503"/>
        <v>0</v>
      </c>
      <c r="J1225" s="73" t="str">
        <f t="shared" si="504"/>
        <v>--</v>
      </c>
      <c r="K1225" s="32"/>
      <c r="L1225" s="233"/>
      <c r="M1225" s="278"/>
      <c r="N1225" s="278"/>
      <c r="O1225" s="278"/>
      <c r="P1225" s="278"/>
      <c r="Q1225" s="278"/>
      <c r="R1225" s="278"/>
      <c r="S1225" s="278"/>
      <c r="T1225" s="278"/>
      <c r="U1225" s="27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 thickBot="1" x14ac:dyDescent="0.35">
      <c r="A1226" s="88"/>
      <c r="B1226" s="66" t="s">
        <v>309</v>
      </c>
      <c r="C1226" s="67"/>
      <c r="D1226" s="102"/>
      <c r="E1226" s="32"/>
      <c r="F1226" s="32"/>
      <c r="G1226" s="68" t="s">
        <v>285</v>
      </c>
      <c r="H1226" s="69">
        <f t="shared" si="502"/>
        <v>0</v>
      </c>
      <c r="I1226" s="70">
        <f t="shared" si="503"/>
        <v>0</v>
      </c>
      <c r="J1226" s="73" t="str">
        <f t="shared" si="504"/>
        <v>--</v>
      </c>
      <c r="K1226" s="32"/>
      <c r="L1226" s="233"/>
      <c r="M1226" s="278"/>
      <c r="N1226" s="278"/>
      <c r="O1226" s="278"/>
      <c r="P1226" s="278"/>
      <c r="Q1226" s="278"/>
      <c r="R1226" s="278"/>
      <c r="S1226" s="278"/>
      <c r="T1226" s="278"/>
      <c r="U1226" s="27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 thickBot="1" x14ac:dyDescent="0.35">
      <c r="A1227" s="88"/>
      <c r="B1227" s="66" t="s">
        <v>310</v>
      </c>
      <c r="C1227" s="67"/>
      <c r="D1227" s="102"/>
      <c r="E1227" s="32"/>
      <c r="F1227" s="32"/>
      <c r="G1227" s="68" t="s">
        <v>285</v>
      </c>
      <c r="H1227" s="69">
        <f t="shared" si="502"/>
        <v>0</v>
      </c>
      <c r="I1227" s="70">
        <f t="shared" si="503"/>
        <v>0</v>
      </c>
      <c r="J1227" s="73" t="str">
        <f t="shared" si="504"/>
        <v>--</v>
      </c>
      <c r="K1227" s="32"/>
      <c r="L1227" s="233"/>
      <c r="M1227" s="278"/>
      <c r="N1227" s="278"/>
      <c r="O1227" s="278"/>
      <c r="P1227" s="278"/>
      <c r="Q1227" s="278"/>
      <c r="R1227" s="278"/>
      <c r="S1227" s="278"/>
      <c r="T1227" s="278"/>
      <c r="U1227" s="27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 thickBot="1" x14ac:dyDescent="0.35">
      <c r="A1228" s="88"/>
      <c r="B1228" s="66" t="s">
        <v>311</v>
      </c>
      <c r="C1228" s="67"/>
      <c r="D1228" s="102"/>
      <c r="E1228" s="32"/>
      <c r="F1228" s="32"/>
      <c r="G1228" s="68" t="s">
        <v>285</v>
      </c>
      <c r="H1228" s="69">
        <f t="shared" si="502"/>
        <v>0</v>
      </c>
      <c r="I1228" s="70">
        <f t="shared" si="503"/>
        <v>0</v>
      </c>
      <c r="J1228" s="73" t="str">
        <f t="shared" si="504"/>
        <v>--</v>
      </c>
      <c r="K1228" s="32"/>
      <c r="L1228" s="233"/>
      <c r="M1228" s="278"/>
      <c r="N1228" s="278"/>
      <c r="O1228" s="278"/>
      <c r="P1228" s="278"/>
      <c r="Q1228" s="278"/>
      <c r="R1228" s="278"/>
      <c r="S1228" s="278"/>
      <c r="T1228" s="278"/>
      <c r="U1228" s="27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 thickBot="1" x14ac:dyDescent="0.35">
      <c r="A1229" s="88"/>
      <c r="B1229" s="66" t="s">
        <v>312</v>
      </c>
      <c r="C1229" s="67"/>
      <c r="D1229" s="102"/>
      <c r="E1229" s="32"/>
      <c r="F1229" s="32"/>
      <c r="G1229" s="68" t="s">
        <v>285</v>
      </c>
      <c r="H1229" s="69">
        <f t="shared" si="502"/>
        <v>0</v>
      </c>
      <c r="I1229" s="70">
        <f t="shared" si="503"/>
        <v>0</v>
      </c>
      <c r="J1229" s="73" t="str">
        <f t="shared" si="504"/>
        <v>--</v>
      </c>
      <c r="K1229" s="32"/>
      <c r="L1229" s="233"/>
      <c r="M1229" s="278"/>
      <c r="N1229" s="278"/>
      <c r="O1229" s="278"/>
      <c r="P1229" s="278"/>
      <c r="Q1229" s="278"/>
      <c r="R1229" s="278"/>
      <c r="S1229" s="278"/>
      <c r="T1229" s="278"/>
      <c r="U1229" s="27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 thickBot="1" x14ac:dyDescent="0.35">
      <c r="A1230" s="88"/>
      <c r="B1230" s="66" t="s">
        <v>313</v>
      </c>
      <c r="C1230" s="67"/>
      <c r="D1230" s="102"/>
      <c r="E1230" s="32"/>
      <c r="F1230" s="32"/>
      <c r="G1230" s="68" t="s">
        <v>285</v>
      </c>
      <c r="H1230" s="69">
        <f t="shared" si="502"/>
        <v>0</v>
      </c>
      <c r="I1230" s="70">
        <f t="shared" si="503"/>
        <v>0</v>
      </c>
      <c r="J1230" s="73" t="str">
        <f t="shared" si="504"/>
        <v>--</v>
      </c>
      <c r="K1230" s="32"/>
      <c r="L1230" s="234"/>
      <c r="M1230" s="278"/>
      <c r="N1230" s="278"/>
      <c r="O1230" s="278"/>
      <c r="P1230" s="278"/>
      <c r="Q1230" s="278"/>
      <c r="R1230" s="278"/>
      <c r="S1230" s="278"/>
      <c r="T1230" s="278"/>
      <c r="U1230" s="27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2" thickBot="1" x14ac:dyDescent="0.35">
      <c r="A1231" s="88"/>
      <c r="B1231" s="319" t="s">
        <v>434</v>
      </c>
      <c r="C1231" s="320"/>
      <c r="D1231" s="79"/>
      <c r="E1231" s="80"/>
      <c r="F1231" s="80"/>
      <c r="G1231" s="81"/>
      <c r="H1231" s="192"/>
      <c r="I1231" s="192"/>
      <c r="J1231" s="192"/>
      <c r="K1231" s="82"/>
      <c r="L1231" s="319" t="s">
        <v>319</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2" thickBot="1" x14ac:dyDescent="0.35">
      <c r="A1232" s="88"/>
      <c r="B1232" s="319" t="s">
        <v>320</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3">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 thickBot="1" x14ac:dyDescent="0.35">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5">
      <c r="A1235" s="88"/>
      <c r="B1235" s="85" t="s">
        <v>435</v>
      </c>
      <c r="C1235" s="25"/>
      <c r="D1235" s="25"/>
      <c r="E1235" s="25"/>
      <c r="F1235" s="88"/>
      <c r="G1235" s="25"/>
      <c r="H1235" s="25"/>
      <c r="I1235" s="87"/>
      <c r="J1235" s="26"/>
      <c r="K1235" s="25"/>
      <c r="L1235" s="25"/>
      <c r="M1235" s="196" t="s">
        <v>217</v>
      </c>
      <c r="N1235" s="196" t="s">
        <v>218</v>
      </c>
      <c r="O1235" s="196" t="s">
        <v>219</v>
      </c>
      <c r="P1235" s="196" t="s">
        <v>220</v>
      </c>
      <c r="Q1235" s="196" t="s">
        <v>221</v>
      </c>
      <c r="R1235" s="196" t="s">
        <v>222</v>
      </c>
      <c r="S1235" s="196" t="s">
        <v>223</v>
      </c>
      <c r="T1235" s="196" t="s">
        <v>224</v>
      </c>
      <c r="U1235" s="196" t="s">
        <v>225</v>
      </c>
      <c r="V1235" s="196" t="s">
        <v>226</v>
      </c>
      <c r="W1235" s="113" t="s">
        <v>227</v>
      </c>
      <c r="X1235" s="196" t="s">
        <v>228</v>
      </c>
      <c r="Y1235" s="25"/>
      <c r="Z1235" s="25"/>
      <c r="AA1235" s="25"/>
      <c r="AB1235" s="25"/>
      <c r="AC1235" s="25"/>
      <c r="AD1235" s="25"/>
      <c r="BA1235" s="226"/>
    </row>
    <row r="1236" spans="1:53" ht="15.6" thickTop="1" thickBot="1" x14ac:dyDescent="0.35">
      <c r="A1236" s="88"/>
      <c r="B1236" s="312" t="s">
        <v>229</v>
      </c>
      <c r="C1236" s="313"/>
      <c r="D1236" s="314" t="s">
        <v>230</v>
      </c>
      <c r="E1236" s="305"/>
      <c r="F1236" s="88"/>
      <c r="G1236" s="315" t="s">
        <v>231</v>
      </c>
      <c r="H1236" s="316"/>
      <c r="I1236" s="28">
        <f>SUM(E1247:E1271)</f>
        <v>0</v>
      </c>
      <c r="J1236" s="317" t="s">
        <v>232</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233</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234</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5">
      <c r="A1237" s="88"/>
      <c r="B1237" s="29" t="s">
        <v>235</v>
      </c>
      <c r="C1237" s="30">
        <v>0</v>
      </c>
      <c r="D1237" s="31" t="s">
        <v>236</v>
      </c>
      <c r="E1237" s="66" t="str">
        <f>TEXT(IF('Cable Calculator'!EX7="","",'Cable Calculator'!EX7),)</f>
        <v/>
      </c>
      <c r="F1237" s="88"/>
      <c r="G1237" s="304" t="s">
        <v>237</v>
      </c>
      <c r="H1237" s="305"/>
      <c r="I1237" s="33">
        <f>E1238-I1236</f>
        <v>0</v>
      </c>
      <c r="J1237" s="289" t="s">
        <v>238</v>
      </c>
      <c r="K1237" s="290"/>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239</v>
      </c>
      <c r="AA1237" s="300" t="s">
        <v>240</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241</v>
      </c>
      <c r="AU1237" s="109">
        <f>COUNTIFS($E1237,"SS",$AS1237,"Y")</f>
        <v>0</v>
      </c>
      <c r="AV1237" s="111">
        <f>COUNTIFS($E1237,"RPX",$AS1237,"Y")</f>
        <v>0</v>
      </c>
      <c r="AW1237" s="111">
        <f>COUNTIFS($E1237,"EUC",$AS1237,"Y")</f>
        <v>0</v>
      </c>
      <c r="AX1237" s="109">
        <f>COUNTIFS($E1237,"RPX-T",$AS1237,"Y")</f>
        <v>0</v>
      </c>
      <c r="BA1237" s="227"/>
    </row>
    <row r="1238" spans="1:53" ht="15.6" thickTop="1" thickBot="1" x14ac:dyDescent="0.35">
      <c r="A1238" s="88"/>
      <c r="B1238" s="36" t="s">
        <v>242</v>
      </c>
      <c r="C1238" s="37">
        <v>0</v>
      </c>
      <c r="D1238" s="38" t="s">
        <v>243</v>
      </c>
      <c r="E1238" s="32"/>
      <c r="F1238" s="88"/>
      <c r="G1238" s="291" t="s">
        <v>244</v>
      </c>
      <c r="H1238" s="292"/>
      <c r="I1238" s="35">
        <f>IF(E1238=0,0,12-(MOD(I1236,12)))</f>
        <v>0</v>
      </c>
      <c r="J1238" s="289" t="s">
        <v>245</v>
      </c>
      <c r="K1238" s="290"/>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246</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5">
      <c r="A1239" s="88"/>
      <c r="B1239" s="40" t="s">
        <v>247</v>
      </c>
      <c r="C1239" s="30">
        <v>0</v>
      </c>
      <c r="D1239" s="41" t="s">
        <v>248</v>
      </c>
      <c r="E1239" s="42"/>
      <c r="F1239" s="88"/>
      <c r="G1239" s="321" t="s">
        <v>249</v>
      </c>
      <c r="H1239" s="43" t="s">
        <v>250</v>
      </c>
      <c r="I1239" s="35">
        <f>IF(E1239&lt;&gt;0,1,0)</f>
        <v>0</v>
      </c>
      <c r="J1239" s="291" t="s">
        <v>251</v>
      </c>
      <c r="K1239" s="29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252</v>
      </c>
      <c r="AU1239" s="109">
        <f>COUNTIFS($E1237,"SS",$AS1239,"Y")</f>
        <v>0</v>
      </c>
      <c r="AV1239" s="108">
        <f>COUNTIFS($E1237,"RPX",$AS1239,"Y")</f>
        <v>0</v>
      </c>
      <c r="AW1239" s="108">
        <f>COUNTIFS($E1237,"EUC",$AS1239,"Y")</f>
        <v>0</v>
      </c>
      <c r="AX1239" s="109">
        <f>COUNTIFS($E1237,"RPX-T",$AS1239,"Y")</f>
        <v>0</v>
      </c>
      <c r="BA1239" s="227"/>
    </row>
    <row r="1240" spans="1:53" ht="15.6" thickTop="1" thickBot="1" x14ac:dyDescent="0.35">
      <c r="A1240" s="88"/>
      <c r="B1240" s="29" t="s">
        <v>253</v>
      </c>
      <c r="C1240" s="37">
        <v>0</v>
      </c>
      <c r="D1240" s="41" t="s">
        <v>254</v>
      </c>
      <c r="E1240" s="42"/>
      <c r="F1240" s="88"/>
      <c r="G1240" s="322"/>
      <c r="H1240" s="47" t="s">
        <v>255</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5">
      <c r="A1241" s="88"/>
      <c r="B1241" s="36" t="s">
        <v>256</v>
      </c>
      <c r="C1241" s="30">
        <v>0</v>
      </c>
      <c r="D1241" s="49" t="s">
        <v>257</v>
      </c>
      <c r="E1241" s="50">
        <f>E1238/12</f>
        <v>0</v>
      </c>
      <c r="F1241" s="88"/>
      <c r="G1241" s="321" t="s">
        <v>258</v>
      </c>
      <c r="H1241" s="51" t="s">
        <v>259</v>
      </c>
      <c r="I1241" s="112">
        <f>E1240</f>
        <v>0</v>
      </c>
      <c r="J1241" s="323" t="s">
        <v>260</v>
      </c>
      <c r="K1241" s="324"/>
      <c r="L1241" s="325"/>
      <c r="M1241" s="52" t="s">
        <v>261</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5.6" thickTop="1" thickBot="1" x14ac:dyDescent="0.35">
      <c r="A1242" s="88"/>
      <c r="B1242" s="36" t="s">
        <v>262</v>
      </c>
      <c r="C1242" s="30">
        <v>0</v>
      </c>
      <c r="D1242" s="31" t="s">
        <v>263</v>
      </c>
      <c r="E1242" s="101" t="str">
        <f>IF('Cable Calculator'!EX5="","",'Cable Calculator'!EX5)</f>
        <v/>
      </c>
      <c r="F1242" s="88"/>
      <c r="G1242" s="322"/>
      <c r="H1242" s="47" t="s">
        <v>264</v>
      </c>
      <c r="I1242" s="35" t="str">
        <f>IF(E1240="","0",IF(AND(E1237="EUC",E1238=432), I1241+(203-E1239),IF(E1240=0,0,(E1240+(E1238-E1239)-1))))</f>
        <v>0</v>
      </c>
      <c r="J1242" s="286" t="str">
        <f>IFERROR(IF(OR(E1237="EUC",E1237="SS"),"---",IF(OR(P1236,S1236),"NO 2F Tethers for RPX!",IF(OR(P1238,S1238),"NO 6F Tethers for RPX!","---"))),"---")</f>
        <v>---</v>
      </c>
      <c r="K1242" s="287"/>
      <c r="L1242" s="288"/>
      <c r="M1242" s="286" t="str">
        <f>IF(E1239&gt;60,"Dead Count &gt;60: Consider Downsize","---")</f>
        <v>---</v>
      </c>
      <c r="N1242" s="287"/>
      <c r="O1242" s="287"/>
      <c r="P1242" s="287"/>
      <c r="Q1242" s="287"/>
      <c r="R1242" s="287"/>
      <c r="S1242" s="287"/>
      <c r="T1242" s="287"/>
      <c r="U1242" s="288"/>
      <c r="V1242" s="100"/>
      <c r="W1242" s="54">
        <f>SUM(P1242:U1242)</f>
        <v>0</v>
      </c>
      <c r="X1242" s="54"/>
      <c r="Y1242" s="25"/>
      <c r="Z1242" s="45">
        <v>4</v>
      </c>
      <c r="AA1242" s="46">
        <v>37</v>
      </c>
      <c r="AB1242" s="46">
        <v>48</v>
      </c>
      <c r="AC1242" s="25"/>
      <c r="AD1242" s="25"/>
      <c r="BA1242" s="227"/>
    </row>
    <row r="1243" spans="1:53" ht="15.6" thickTop="1" thickBot="1" x14ac:dyDescent="0.35">
      <c r="A1243" s="88"/>
      <c r="B1243" s="55" t="s">
        <v>265</v>
      </c>
      <c r="C1243" s="56">
        <f>SUM(C1237:C1242)+I1236</f>
        <v>0</v>
      </c>
      <c r="D1243" s="31" t="s">
        <v>266</v>
      </c>
      <c r="E1243" s="101" t="str">
        <f>IF(AS1237="Y","DBL",IF(AS1238="Y","TRPL",IF(AS1239="Y","QUAD","")))</f>
        <v/>
      </c>
      <c r="F1243" s="88"/>
      <c r="G1243" s="192"/>
      <c r="H1243" s="57"/>
      <c r="I1243" s="192"/>
      <c r="J1243" s="286"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7"/>
      <c r="L1243" s="288"/>
      <c r="M1243" s="286" t="str">
        <f>IF(AND(OR(E1237="SS",E1237="RPX",E1237="EUC",E1237="RPX-T"),(OR(C1247="",C1247="Field SPL"))),"Cannot have FlexNap cables without tethers","---")</f>
        <v>---</v>
      </c>
      <c r="N1243" s="287"/>
      <c r="O1243" s="287"/>
      <c r="P1243" s="287"/>
      <c r="Q1243" s="287"/>
      <c r="R1243" s="287"/>
      <c r="S1243" s="287"/>
      <c r="T1243" s="287"/>
      <c r="U1243" s="288"/>
      <c r="V1243" s="25"/>
      <c r="W1243" s="58"/>
      <c r="X1243" s="58"/>
      <c r="Y1243" s="25"/>
      <c r="Z1243" s="45">
        <v>5</v>
      </c>
      <c r="AA1243" s="46">
        <v>49</v>
      </c>
      <c r="AB1243" s="46">
        <v>60</v>
      </c>
      <c r="AC1243" s="25"/>
      <c r="AD1243" s="25"/>
      <c r="BA1243" s="227"/>
    </row>
    <row r="1244" spans="1:53" ht="15.6" thickTop="1" thickBot="1" x14ac:dyDescent="0.35">
      <c r="A1244" s="88"/>
      <c r="B1244" s="59"/>
      <c r="C1244" s="60"/>
      <c r="D1244" s="61"/>
      <c r="E1244" s="62"/>
      <c r="F1244" s="88"/>
      <c r="G1244" s="63"/>
      <c r="H1244" s="64"/>
      <c r="I1244" s="63"/>
      <c r="J1244" s="286" t="str">
        <f>IF(AND(OR(E1237="RPX", E1237="RPX-T", E1237="SS"),E1238=216),"NO 216 For RPX, RPX-T, OR SS CABLE","---")</f>
        <v>---</v>
      </c>
      <c r="K1244" s="287"/>
      <c r="L1244" s="288"/>
      <c r="M1244" s="286" t="str" cm="1">
        <f t="array" ref="M1244">IF(AND(E1237="",OR(C1247:C1271="FST",C1247:C1271="REV T",C1247:C1271="DBL REV",C1247:C1271="TPL REV", C1247:C1271="QD REV")),"Non-FlexNap cables cannot have tethers","---")</f>
        <v>---</v>
      </c>
      <c r="N1244" s="287"/>
      <c r="O1244" s="287"/>
      <c r="P1244" s="287"/>
      <c r="Q1244" s="287"/>
      <c r="R1244" s="287"/>
      <c r="S1244" s="287"/>
      <c r="T1244" s="287"/>
      <c r="U1244" s="288"/>
      <c r="V1244" s="25"/>
      <c r="W1244" s="58"/>
      <c r="X1244" s="58"/>
      <c r="Y1244" s="25"/>
      <c r="Z1244" s="45">
        <v>6</v>
      </c>
      <c r="AA1244" s="65">
        <v>61</v>
      </c>
      <c r="AB1244" s="65">
        <v>72</v>
      </c>
      <c r="AC1244" s="25"/>
      <c r="AD1244" s="25"/>
      <c r="BA1244" s="226"/>
    </row>
    <row r="1245" spans="1:53" ht="15.75" customHeight="1" thickBot="1" x14ac:dyDescent="0.35">
      <c r="A1245" s="88"/>
      <c r="B1245" s="321" t="s">
        <v>267</v>
      </c>
      <c r="C1245" s="293" t="s">
        <v>268</v>
      </c>
      <c r="D1245" s="293" t="s">
        <v>269</v>
      </c>
      <c r="E1245" s="306" t="s">
        <v>270</v>
      </c>
      <c r="F1245" s="293" t="s">
        <v>271</v>
      </c>
      <c r="G1245" s="308" t="s">
        <v>272</v>
      </c>
      <c r="H1245" s="308" t="s">
        <v>273</v>
      </c>
      <c r="I1245" s="308" t="s">
        <v>274</v>
      </c>
      <c r="J1245" s="310" t="s">
        <v>275</v>
      </c>
      <c r="K1245" s="293" t="s">
        <v>276</v>
      </c>
      <c r="L1245" s="280" t="s">
        <v>277</v>
      </c>
      <c r="M1245" s="282" t="s">
        <v>278</v>
      </c>
      <c r="N1245" s="282"/>
      <c r="O1245" s="282"/>
      <c r="P1245" s="282"/>
      <c r="Q1245" s="282"/>
      <c r="R1245" s="282"/>
      <c r="S1245" s="282"/>
      <c r="T1245" s="282"/>
      <c r="U1245" s="283"/>
      <c r="V1245" s="107"/>
      <c r="W1245" s="72"/>
      <c r="X1245" s="72"/>
      <c r="Y1245" s="72"/>
      <c r="Z1245" s="45">
        <v>7</v>
      </c>
      <c r="AA1245" s="65">
        <v>73</v>
      </c>
      <c r="AB1245" s="65">
        <v>84</v>
      </c>
      <c r="AC1245" s="25"/>
      <c r="AD1245" s="25"/>
      <c r="BA1245" s="228"/>
    </row>
    <row r="1246" spans="1:53" ht="15" thickBot="1" x14ac:dyDescent="0.35">
      <c r="A1246" s="88"/>
      <c r="B1246" s="322"/>
      <c r="C1246" s="294"/>
      <c r="D1246" s="294"/>
      <c r="E1246" s="307"/>
      <c r="F1246" s="294"/>
      <c r="G1246" s="309"/>
      <c r="H1246" s="309"/>
      <c r="I1246" s="309"/>
      <c r="J1246" s="311"/>
      <c r="K1246" s="294"/>
      <c r="L1246" s="281"/>
      <c r="M1246" s="284"/>
      <c r="N1246" s="284"/>
      <c r="O1246" s="284"/>
      <c r="P1246" s="284"/>
      <c r="Q1246" s="284"/>
      <c r="R1246" s="284"/>
      <c r="S1246" s="284"/>
      <c r="T1246" s="284"/>
      <c r="U1246" s="285"/>
      <c r="V1246" s="107"/>
      <c r="W1246" s="72"/>
      <c r="X1246" s="72"/>
      <c r="Y1246" s="72"/>
      <c r="Z1246" s="45">
        <v>8</v>
      </c>
      <c r="AA1246" s="46">
        <v>85</v>
      </c>
      <c r="AB1246" s="46">
        <v>96</v>
      </c>
      <c r="AC1246" s="25"/>
      <c r="AD1246" s="25"/>
      <c r="AI1246" s="109" t="s">
        <v>279</v>
      </c>
      <c r="AJ1246" s="109" t="s">
        <v>280</v>
      </c>
      <c r="AK1246" s="109" t="s">
        <v>281</v>
      </c>
      <c r="AL1246" s="109" t="s">
        <v>282</v>
      </c>
      <c r="BA1246" s="228"/>
    </row>
    <row r="1247" spans="1:53" ht="15" thickBot="1" x14ac:dyDescent="0.35">
      <c r="A1247" s="88"/>
      <c r="B1247" s="66" t="s">
        <v>283</v>
      </c>
      <c r="C1247" s="67"/>
      <c r="D1247" s="102"/>
      <c r="E1247" s="32"/>
      <c r="F1247" s="32"/>
      <c r="G1247" s="68" t="s">
        <v>285</v>
      </c>
      <c r="H1247" s="69">
        <f>IF(I1247=0,0,I1247-(E1247-1))</f>
        <v>0</v>
      </c>
      <c r="I1247" s="70">
        <f>IF(E1247=0,0,I1242)</f>
        <v>0</v>
      </c>
      <c r="J1247" s="71" t="s">
        <v>286</v>
      </c>
      <c r="K1247" s="32"/>
      <c r="L1247" s="233"/>
      <c r="M1247" s="278"/>
      <c r="N1247" s="278"/>
      <c r="O1247" s="278"/>
      <c r="P1247" s="278"/>
      <c r="Q1247" s="278"/>
      <c r="R1247" s="278"/>
      <c r="S1247" s="278"/>
      <c r="T1247" s="278"/>
      <c r="U1247" s="27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 thickBot="1" x14ac:dyDescent="0.35">
      <c r="A1248" s="88"/>
      <c r="B1248" s="66" t="s">
        <v>288</v>
      </c>
      <c r="C1248" s="67"/>
      <c r="D1248" s="102"/>
      <c r="E1248" s="32"/>
      <c r="F1248" s="32"/>
      <c r="G1248" s="68" t="s">
        <v>285</v>
      </c>
      <c r="H1248" s="69">
        <f t="shared" ref="H1248:H1271" si="519">IF(E1248=0,0,I1248-(E1248-1))</f>
        <v>0</v>
      </c>
      <c r="I1248" s="70">
        <f t="shared" ref="I1248:I1271" si="520">IF(E1248=0,0,H1247-1)</f>
        <v>0</v>
      </c>
      <c r="J1248" s="73" t="str">
        <f>IF(C1248="","--",IF(AND(C1248&lt;&gt;"FST",C1248&lt;&gt;"TCF",BA1247&lt;&gt;0),BA1247,"--"))</f>
        <v>--</v>
      </c>
      <c r="K1248" s="32"/>
      <c r="L1248" s="233"/>
      <c r="M1248" s="278"/>
      <c r="N1248" s="278"/>
      <c r="O1248" s="278"/>
      <c r="P1248" s="278"/>
      <c r="Q1248" s="278"/>
      <c r="R1248" s="278"/>
      <c r="S1248" s="278"/>
      <c r="T1248" s="278"/>
      <c r="U1248" s="27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 thickBot="1" x14ac:dyDescent="0.35">
      <c r="A1249" s="88"/>
      <c r="B1249" s="74" t="s">
        <v>290</v>
      </c>
      <c r="C1249" s="67"/>
      <c r="D1249" s="102"/>
      <c r="E1249" s="32"/>
      <c r="F1249" s="32"/>
      <c r="G1249" s="75" t="s">
        <v>285</v>
      </c>
      <c r="H1249" s="69">
        <f t="shared" si="519"/>
        <v>0</v>
      </c>
      <c r="I1249" s="70">
        <f t="shared" si="520"/>
        <v>0</v>
      </c>
      <c r="J1249" s="73" t="str">
        <f t="shared" ref="J1249:J1271" si="521">IF(C1249="","--",IF(AND(C1249&lt;&gt;"FST",C1249&lt;&gt;"TCF",BA1248&lt;&gt;0),BA1248,"--"))</f>
        <v>--</v>
      </c>
      <c r="K1249" s="32"/>
      <c r="L1249" s="233"/>
      <c r="M1249" s="278"/>
      <c r="N1249" s="278"/>
      <c r="O1249" s="278"/>
      <c r="P1249" s="278"/>
      <c r="Q1249" s="278"/>
      <c r="R1249" s="278"/>
      <c r="S1249" s="278"/>
      <c r="T1249" s="278"/>
      <c r="U1249" s="27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 thickBot="1" x14ac:dyDescent="0.35">
      <c r="A1250" s="88"/>
      <c r="B1250" s="66" t="s">
        <v>292</v>
      </c>
      <c r="C1250" s="67"/>
      <c r="D1250" s="102"/>
      <c r="E1250" s="32"/>
      <c r="F1250" s="32"/>
      <c r="G1250" s="68" t="s">
        <v>285</v>
      </c>
      <c r="H1250" s="69">
        <f t="shared" si="519"/>
        <v>0</v>
      </c>
      <c r="I1250" s="70">
        <f t="shared" si="520"/>
        <v>0</v>
      </c>
      <c r="J1250" s="73" t="str">
        <f t="shared" si="521"/>
        <v>--</v>
      </c>
      <c r="K1250" s="32"/>
      <c r="L1250" s="233"/>
      <c r="M1250" s="278"/>
      <c r="N1250" s="278"/>
      <c r="O1250" s="278"/>
      <c r="P1250" s="278"/>
      <c r="Q1250" s="278"/>
      <c r="R1250" s="278"/>
      <c r="S1250" s="278"/>
      <c r="T1250" s="278"/>
      <c r="U1250" s="27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 thickBot="1" x14ac:dyDescent="0.35">
      <c r="A1251" s="88"/>
      <c r="B1251" s="66" t="s">
        <v>293</v>
      </c>
      <c r="C1251" s="67"/>
      <c r="D1251" s="102"/>
      <c r="E1251" s="32"/>
      <c r="F1251" s="32"/>
      <c r="G1251" s="68" t="s">
        <v>285</v>
      </c>
      <c r="H1251" s="69">
        <f t="shared" si="519"/>
        <v>0</v>
      </c>
      <c r="I1251" s="70">
        <f t="shared" si="520"/>
        <v>0</v>
      </c>
      <c r="J1251" s="73" t="str">
        <f t="shared" si="521"/>
        <v>--</v>
      </c>
      <c r="K1251" s="32"/>
      <c r="L1251" s="233"/>
      <c r="M1251" s="278"/>
      <c r="N1251" s="278"/>
      <c r="O1251" s="278"/>
      <c r="P1251" s="278"/>
      <c r="Q1251" s="278"/>
      <c r="R1251" s="278"/>
      <c r="S1251" s="278"/>
      <c r="T1251" s="278"/>
      <c r="U1251" s="27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 thickBot="1" x14ac:dyDescent="0.35">
      <c r="A1252" s="88"/>
      <c r="B1252" s="66" t="s">
        <v>294</v>
      </c>
      <c r="C1252" s="67"/>
      <c r="D1252" s="102"/>
      <c r="E1252" s="32"/>
      <c r="F1252" s="32"/>
      <c r="G1252" s="68" t="s">
        <v>285</v>
      </c>
      <c r="H1252" s="69">
        <f t="shared" si="519"/>
        <v>0</v>
      </c>
      <c r="I1252" s="70">
        <f t="shared" si="520"/>
        <v>0</v>
      </c>
      <c r="J1252" s="73" t="str">
        <f t="shared" si="521"/>
        <v>--</v>
      </c>
      <c r="K1252" s="32"/>
      <c r="L1252" s="233"/>
      <c r="M1252" s="278"/>
      <c r="N1252" s="278"/>
      <c r="O1252" s="278"/>
      <c r="P1252" s="278"/>
      <c r="Q1252" s="278"/>
      <c r="R1252" s="278"/>
      <c r="S1252" s="278"/>
      <c r="T1252" s="278"/>
      <c r="U1252" s="27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 thickBot="1" x14ac:dyDescent="0.35">
      <c r="A1253" s="88"/>
      <c r="B1253" s="66" t="s">
        <v>295</v>
      </c>
      <c r="C1253" s="67"/>
      <c r="D1253" s="102"/>
      <c r="E1253" s="32"/>
      <c r="F1253" s="32"/>
      <c r="G1253" s="68" t="s">
        <v>285</v>
      </c>
      <c r="H1253" s="69">
        <f t="shared" si="519"/>
        <v>0</v>
      </c>
      <c r="I1253" s="70">
        <f t="shared" si="520"/>
        <v>0</v>
      </c>
      <c r="J1253" s="73" t="str">
        <f t="shared" si="521"/>
        <v>--</v>
      </c>
      <c r="K1253" s="32"/>
      <c r="L1253" s="233"/>
      <c r="M1253" s="278"/>
      <c r="N1253" s="278"/>
      <c r="O1253" s="278"/>
      <c r="P1253" s="278"/>
      <c r="Q1253" s="278"/>
      <c r="R1253" s="278"/>
      <c r="S1253" s="278"/>
      <c r="T1253" s="278"/>
      <c r="U1253" s="27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 thickBot="1" x14ac:dyDescent="0.35">
      <c r="A1254" s="88"/>
      <c r="B1254" s="66" t="s">
        <v>296</v>
      </c>
      <c r="C1254" s="67"/>
      <c r="D1254" s="102"/>
      <c r="E1254" s="32"/>
      <c r="F1254" s="32"/>
      <c r="G1254" s="68" t="s">
        <v>285</v>
      </c>
      <c r="H1254" s="69">
        <f t="shared" si="519"/>
        <v>0</v>
      </c>
      <c r="I1254" s="70">
        <f t="shared" si="520"/>
        <v>0</v>
      </c>
      <c r="J1254" s="73" t="str">
        <f t="shared" si="521"/>
        <v>--</v>
      </c>
      <c r="K1254" s="32"/>
      <c r="L1254" s="233"/>
      <c r="M1254" s="278"/>
      <c r="N1254" s="278"/>
      <c r="O1254" s="278"/>
      <c r="P1254" s="278"/>
      <c r="Q1254" s="278"/>
      <c r="R1254" s="278"/>
      <c r="S1254" s="278"/>
      <c r="T1254" s="278"/>
      <c r="U1254" s="27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 thickBot="1" x14ac:dyDescent="0.35">
      <c r="A1255" s="88"/>
      <c r="B1255" s="66" t="s">
        <v>297</v>
      </c>
      <c r="C1255" s="67"/>
      <c r="D1255" s="102"/>
      <c r="E1255" s="32"/>
      <c r="F1255" s="32"/>
      <c r="G1255" s="68" t="s">
        <v>285</v>
      </c>
      <c r="H1255" s="69">
        <f t="shared" si="519"/>
        <v>0</v>
      </c>
      <c r="I1255" s="70">
        <f t="shared" si="520"/>
        <v>0</v>
      </c>
      <c r="J1255" s="73" t="str">
        <f t="shared" si="521"/>
        <v>--</v>
      </c>
      <c r="K1255" s="32"/>
      <c r="L1255" s="233"/>
      <c r="M1255" s="278"/>
      <c r="N1255" s="278"/>
      <c r="O1255" s="278"/>
      <c r="P1255" s="278"/>
      <c r="Q1255" s="278"/>
      <c r="R1255" s="278"/>
      <c r="S1255" s="278"/>
      <c r="T1255" s="278"/>
      <c r="U1255" s="27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 thickBot="1" x14ac:dyDescent="0.35">
      <c r="A1256" s="88"/>
      <c r="B1256" s="66" t="s">
        <v>298</v>
      </c>
      <c r="C1256" s="67"/>
      <c r="D1256" s="102"/>
      <c r="E1256" s="32"/>
      <c r="F1256" s="32"/>
      <c r="G1256" s="68" t="s">
        <v>285</v>
      </c>
      <c r="H1256" s="69">
        <f t="shared" si="519"/>
        <v>0</v>
      </c>
      <c r="I1256" s="70">
        <f t="shared" si="520"/>
        <v>0</v>
      </c>
      <c r="J1256" s="73" t="str">
        <f t="shared" si="521"/>
        <v>--</v>
      </c>
      <c r="K1256" s="32"/>
      <c r="L1256" s="233"/>
      <c r="M1256" s="278"/>
      <c r="N1256" s="278"/>
      <c r="O1256" s="278"/>
      <c r="P1256" s="278"/>
      <c r="Q1256" s="278"/>
      <c r="R1256" s="278"/>
      <c r="S1256" s="278"/>
      <c r="T1256" s="278"/>
      <c r="U1256" s="27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 thickBot="1" x14ac:dyDescent="0.35">
      <c r="A1257" s="88"/>
      <c r="B1257" s="66" t="s">
        <v>299</v>
      </c>
      <c r="C1257" s="67"/>
      <c r="D1257" s="102"/>
      <c r="E1257" s="32"/>
      <c r="F1257" s="32"/>
      <c r="G1257" s="68" t="s">
        <v>285</v>
      </c>
      <c r="H1257" s="69">
        <f t="shared" si="519"/>
        <v>0</v>
      </c>
      <c r="I1257" s="70">
        <f t="shared" si="520"/>
        <v>0</v>
      </c>
      <c r="J1257" s="73" t="str">
        <f t="shared" si="521"/>
        <v>--</v>
      </c>
      <c r="K1257" s="32"/>
      <c r="L1257" s="233"/>
      <c r="M1257" s="278"/>
      <c r="N1257" s="278"/>
      <c r="O1257" s="278"/>
      <c r="P1257" s="278"/>
      <c r="Q1257" s="278"/>
      <c r="R1257" s="278"/>
      <c r="S1257" s="278"/>
      <c r="T1257" s="278"/>
      <c r="U1257" s="27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 thickBot="1" x14ac:dyDescent="0.35">
      <c r="A1258" s="88"/>
      <c r="B1258" s="66" t="s">
        <v>300</v>
      </c>
      <c r="C1258" s="67"/>
      <c r="D1258" s="102"/>
      <c r="E1258" s="32"/>
      <c r="F1258" s="32"/>
      <c r="G1258" s="68" t="s">
        <v>285</v>
      </c>
      <c r="H1258" s="69">
        <f t="shared" si="519"/>
        <v>0</v>
      </c>
      <c r="I1258" s="70">
        <f t="shared" si="520"/>
        <v>0</v>
      </c>
      <c r="J1258" s="73" t="str">
        <f t="shared" si="521"/>
        <v>--</v>
      </c>
      <c r="K1258" s="32"/>
      <c r="L1258" s="233"/>
      <c r="M1258" s="278"/>
      <c r="N1258" s="278"/>
      <c r="O1258" s="278"/>
      <c r="P1258" s="278"/>
      <c r="Q1258" s="278"/>
      <c r="R1258" s="278"/>
      <c r="S1258" s="278"/>
      <c r="T1258" s="278"/>
      <c r="U1258" s="27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 thickBot="1" x14ac:dyDescent="0.35">
      <c r="A1259" s="88"/>
      <c r="B1259" s="66" t="s">
        <v>301</v>
      </c>
      <c r="C1259" s="67"/>
      <c r="D1259" s="102"/>
      <c r="E1259" s="32"/>
      <c r="F1259" s="32"/>
      <c r="G1259" s="68" t="s">
        <v>285</v>
      </c>
      <c r="H1259" s="69">
        <f t="shared" si="519"/>
        <v>0</v>
      </c>
      <c r="I1259" s="70">
        <f t="shared" si="520"/>
        <v>0</v>
      </c>
      <c r="J1259" s="73" t="str">
        <f t="shared" si="521"/>
        <v>--</v>
      </c>
      <c r="K1259" s="32"/>
      <c r="L1259" s="233"/>
      <c r="M1259" s="278"/>
      <c r="N1259" s="278"/>
      <c r="O1259" s="278"/>
      <c r="P1259" s="278"/>
      <c r="Q1259" s="278"/>
      <c r="R1259" s="278"/>
      <c r="S1259" s="278"/>
      <c r="T1259" s="278"/>
      <c r="U1259" s="27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 thickBot="1" x14ac:dyDescent="0.35">
      <c r="A1260" s="88"/>
      <c r="B1260" s="66" t="s">
        <v>302</v>
      </c>
      <c r="C1260" s="67"/>
      <c r="D1260" s="102"/>
      <c r="E1260" s="32"/>
      <c r="F1260" s="32"/>
      <c r="G1260" s="68" t="s">
        <v>285</v>
      </c>
      <c r="H1260" s="69">
        <f t="shared" si="519"/>
        <v>0</v>
      </c>
      <c r="I1260" s="70">
        <f t="shared" si="520"/>
        <v>0</v>
      </c>
      <c r="J1260" s="73" t="str">
        <f t="shared" si="521"/>
        <v>--</v>
      </c>
      <c r="K1260" s="32"/>
      <c r="L1260" s="233"/>
      <c r="M1260" s="278"/>
      <c r="N1260" s="278"/>
      <c r="O1260" s="278"/>
      <c r="P1260" s="278"/>
      <c r="Q1260" s="278"/>
      <c r="R1260" s="278"/>
      <c r="S1260" s="278"/>
      <c r="T1260" s="278"/>
      <c r="U1260" s="27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 thickBot="1" x14ac:dyDescent="0.35">
      <c r="A1261" s="88"/>
      <c r="B1261" s="66" t="s">
        <v>303</v>
      </c>
      <c r="C1261" s="67"/>
      <c r="D1261" s="102"/>
      <c r="E1261" s="32"/>
      <c r="F1261" s="32"/>
      <c r="G1261" s="68" t="s">
        <v>285</v>
      </c>
      <c r="H1261" s="69">
        <f t="shared" si="519"/>
        <v>0</v>
      </c>
      <c r="I1261" s="70">
        <f t="shared" si="520"/>
        <v>0</v>
      </c>
      <c r="J1261" s="73" t="str">
        <f t="shared" si="521"/>
        <v>--</v>
      </c>
      <c r="K1261" s="32"/>
      <c r="L1261" s="233"/>
      <c r="M1261" s="278"/>
      <c r="N1261" s="278"/>
      <c r="O1261" s="278"/>
      <c r="P1261" s="278"/>
      <c r="Q1261" s="278"/>
      <c r="R1261" s="278"/>
      <c r="S1261" s="278"/>
      <c r="T1261" s="278"/>
      <c r="U1261" s="27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 thickBot="1" x14ac:dyDescent="0.35">
      <c r="A1262" s="88"/>
      <c r="B1262" s="66" t="s">
        <v>304</v>
      </c>
      <c r="C1262" s="67"/>
      <c r="D1262" s="102"/>
      <c r="E1262" s="32"/>
      <c r="F1262" s="32"/>
      <c r="G1262" s="68" t="s">
        <v>285</v>
      </c>
      <c r="H1262" s="69">
        <f t="shared" si="519"/>
        <v>0</v>
      </c>
      <c r="I1262" s="70">
        <f t="shared" si="520"/>
        <v>0</v>
      </c>
      <c r="J1262" s="73" t="str">
        <f t="shared" si="521"/>
        <v>--</v>
      </c>
      <c r="K1262" s="32"/>
      <c r="L1262" s="233"/>
      <c r="M1262" s="278"/>
      <c r="N1262" s="278"/>
      <c r="O1262" s="278"/>
      <c r="P1262" s="278"/>
      <c r="Q1262" s="278"/>
      <c r="R1262" s="278"/>
      <c r="S1262" s="278"/>
      <c r="T1262" s="278"/>
      <c r="U1262" s="27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 thickBot="1" x14ac:dyDescent="0.35">
      <c r="A1263" s="88"/>
      <c r="B1263" s="66" t="s">
        <v>305</v>
      </c>
      <c r="C1263" s="67"/>
      <c r="D1263" s="102"/>
      <c r="E1263" s="32"/>
      <c r="F1263" s="32"/>
      <c r="G1263" s="68" t="s">
        <v>285</v>
      </c>
      <c r="H1263" s="69">
        <f t="shared" si="519"/>
        <v>0</v>
      </c>
      <c r="I1263" s="70">
        <f t="shared" si="520"/>
        <v>0</v>
      </c>
      <c r="J1263" s="73" t="str">
        <f t="shared" si="521"/>
        <v>--</v>
      </c>
      <c r="K1263" s="32"/>
      <c r="L1263" s="233"/>
      <c r="M1263" s="278"/>
      <c r="N1263" s="278"/>
      <c r="O1263" s="278"/>
      <c r="P1263" s="278"/>
      <c r="Q1263" s="278"/>
      <c r="R1263" s="278"/>
      <c r="S1263" s="278"/>
      <c r="T1263" s="278"/>
      <c r="U1263" s="27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 thickBot="1" x14ac:dyDescent="0.35">
      <c r="A1264" s="88"/>
      <c r="B1264" s="66" t="s">
        <v>306</v>
      </c>
      <c r="C1264" s="67"/>
      <c r="D1264" s="102"/>
      <c r="E1264" s="32"/>
      <c r="F1264" s="32"/>
      <c r="G1264" s="68" t="s">
        <v>285</v>
      </c>
      <c r="H1264" s="69">
        <f t="shared" si="519"/>
        <v>0</v>
      </c>
      <c r="I1264" s="70">
        <f t="shared" si="520"/>
        <v>0</v>
      </c>
      <c r="J1264" s="73" t="str">
        <f t="shared" si="521"/>
        <v>--</v>
      </c>
      <c r="K1264" s="32"/>
      <c r="L1264" s="233"/>
      <c r="M1264" s="278"/>
      <c r="N1264" s="278"/>
      <c r="O1264" s="278"/>
      <c r="P1264" s="278"/>
      <c r="Q1264" s="278"/>
      <c r="R1264" s="278"/>
      <c r="S1264" s="278"/>
      <c r="T1264" s="278"/>
      <c r="U1264" s="27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 thickBot="1" x14ac:dyDescent="0.35">
      <c r="A1265" s="88"/>
      <c r="B1265" s="66" t="s">
        <v>307</v>
      </c>
      <c r="C1265" s="67"/>
      <c r="D1265" s="102"/>
      <c r="E1265" s="32"/>
      <c r="F1265" s="32"/>
      <c r="G1265" s="68" t="s">
        <v>285</v>
      </c>
      <c r="H1265" s="69">
        <f t="shared" si="519"/>
        <v>0</v>
      </c>
      <c r="I1265" s="70">
        <f t="shared" si="520"/>
        <v>0</v>
      </c>
      <c r="J1265" s="73" t="str">
        <f t="shared" si="521"/>
        <v>--</v>
      </c>
      <c r="K1265" s="32"/>
      <c r="L1265" s="233"/>
      <c r="M1265" s="278"/>
      <c r="N1265" s="278"/>
      <c r="O1265" s="278"/>
      <c r="P1265" s="278"/>
      <c r="Q1265" s="278"/>
      <c r="R1265" s="278"/>
      <c r="S1265" s="278"/>
      <c r="T1265" s="278"/>
      <c r="U1265" s="27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 thickBot="1" x14ac:dyDescent="0.35">
      <c r="A1266" s="88"/>
      <c r="B1266" s="66" t="s">
        <v>308</v>
      </c>
      <c r="C1266" s="67"/>
      <c r="D1266" s="102"/>
      <c r="E1266" s="32"/>
      <c r="F1266" s="32"/>
      <c r="G1266" s="68" t="s">
        <v>285</v>
      </c>
      <c r="H1266" s="69">
        <f t="shared" si="519"/>
        <v>0</v>
      </c>
      <c r="I1266" s="70">
        <f t="shared" si="520"/>
        <v>0</v>
      </c>
      <c r="J1266" s="73" t="str">
        <f t="shared" si="521"/>
        <v>--</v>
      </c>
      <c r="K1266" s="32"/>
      <c r="L1266" s="233"/>
      <c r="M1266" s="278"/>
      <c r="N1266" s="278"/>
      <c r="O1266" s="278"/>
      <c r="P1266" s="278"/>
      <c r="Q1266" s="278"/>
      <c r="R1266" s="278"/>
      <c r="S1266" s="278"/>
      <c r="T1266" s="278"/>
      <c r="U1266" s="27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 thickBot="1" x14ac:dyDescent="0.35">
      <c r="A1267" s="88"/>
      <c r="B1267" s="66" t="s">
        <v>309</v>
      </c>
      <c r="C1267" s="67"/>
      <c r="D1267" s="102"/>
      <c r="E1267" s="32"/>
      <c r="F1267" s="32"/>
      <c r="G1267" s="68" t="s">
        <v>285</v>
      </c>
      <c r="H1267" s="69">
        <f t="shared" si="519"/>
        <v>0</v>
      </c>
      <c r="I1267" s="70">
        <f t="shared" si="520"/>
        <v>0</v>
      </c>
      <c r="J1267" s="73" t="str">
        <f t="shared" si="521"/>
        <v>--</v>
      </c>
      <c r="K1267" s="32"/>
      <c r="L1267" s="233"/>
      <c r="M1267" s="278"/>
      <c r="N1267" s="278"/>
      <c r="O1267" s="278"/>
      <c r="P1267" s="278"/>
      <c r="Q1267" s="278"/>
      <c r="R1267" s="278"/>
      <c r="S1267" s="278"/>
      <c r="T1267" s="278"/>
      <c r="U1267" s="27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 thickBot="1" x14ac:dyDescent="0.35">
      <c r="A1268" s="88"/>
      <c r="B1268" s="66" t="s">
        <v>310</v>
      </c>
      <c r="C1268" s="67"/>
      <c r="D1268" s="102"/>
      <c r="E1268" s="32"/>
      <c r="F1268" s="32"/>
      <c r="G1268" s="68" t="s">
        <v>285</v>
      </c>
      <c r="H1268" s="69">
        <f t="shared" si="519"/>
        <v>0</v>
      </c>
      <c r="I1268" s="70">
        <f t="shared" si="520"/>
        <v>0</v>
      </c>
      <c r="J1268" s="73" t="str">
        <f t="shared" si="521"/>
        <v>--</v>
      </c>
      <c r="K1268" s="32"/>
      <c r="L1268" s="233"/>
      <c r="M1268" s="278"/>
      <c r="N1268" s="278"/>
      <c r="O1268" s="278"/>
      <c r="P1268" s="278"/>
      <c r="Q1268" s="278"/>
      <c r="R1268" s="278"/>
      <c r="S1268" s="278"/>
      <c r="T1268" s="278"/>
      <c r="U1268" s="27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 thickBot="1" x14ac:dyDescent="0.35">
      <c r="A1269" s="88"/>
      <c r="B1269" s="66" t="s">
        <v>311</v>
      </c>
      <c r="C1269" s="67"/>
      <c r="D1269" s="102"/>
      <c r="E1269" s="32"/>
      <c r="F1269" s="32"/>
      <c r="G1269" s="68" t="s">
        <v>285</v>
      </c>
      <c r="H1269" s="69">
        <f t="shared" si="519"/>
        <v>0</v>
      </c>
      <c r="I1269" s="70">
        <f t="shared" si="520"/>
        <v>0</v>
      </c>
      <c r="J1269" s="73" t="str">
        <f t="shared" si="521"/>
        <v>--</v>
      </c>
      <c r="K1269" s="32"/>
      <c r="L1269" s="233"/>
      <c r="M1269" s="278"/>
      <c r="N1269" s="278"/>
      <c r="O1269" s="278"/>
      <c r="P1269" s="278"/>
      <c r="Q1269" s="278"/>
      <c r="R1269" s="278"/>
      <c r="S1269" s="278"/>
      <c r="T1269" s="278"/>
      <c r="U1269" s="27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 thickBot="1" x14ac:dyDescent="0.35">
      <c r="A1270" s="88"/>
      <c r="B1270" s="66" t="s">
        <v>312</v>
      </c>
      <c r="C1270" s="67"/>
      <c r="D1270" s="102"/>
      <c r="E1270" s="32"/>
      <c r="F1270" s="32"/>
      <c r="G1270" s="68" t="s">
        <v>285</v>
      </c>
      <c r="H1270" s="69">
        <f t="shared" si="519"/>
        <v>0</v>
      </c>
      <c r="I1270" s="70">
        <f t="shared" si="520"/>
        <v>0</v>
      </c>
      <c r="J1270" s="73" t="str">
        <f t="shared" si="521"/>
        <v>--</v>
      </c>
      <c r="K1270" s="32"/>
      <c r="L1270" s="233"/>
      <c r="M1270" s="278"/>
      <c r="N1270" s="278"/>
      <c r="O1270" s="278"/>
      <c r="P1270" s="278"/>
      <c r="Q1270" s="278"/>
      <c r="R1270" s="278"/>
      <c r="S1270" s="278"/>
      <c r="T1270" s="278"/>
      <c r="U1270" s="27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 thickBot="1" x14ac:dyDescent="0.35">
      <c r="A1271" s="88"/>
      <c r="B1271" s="66" t="s">
        <v>313</v>
      </c>
      <c r="C1271" s="67"/>
      <c r="D1271" s="102"/>
      <c r="E1271" s="32"/>
      <c r="F1271" s="32"/>
      <c r="G1271" s="68" t="s">
        <v>285</v>
      </c>
      <c r="H1271" s="69">
        <f t="shared" si="519"/>
        <v>0</v>
      </c>
      <c r="I1271" s="70">
        <f t="shared" si="520"/>
        <v>0</v>
      </c>
      <c r="J1271" s="73" t="str">
        <f t="shared" si="521"/>
        <v>--</v>
      </c>
      <c r="K1271" s="32"/>
      <c r="L1271" s="234"/>
      <c r="M1271" s="278"/>
      <c r="N1271" s="278"/>
      <c r="O1271" s="278"/>
      <c r="P1271" s="278"/>
      <c r="Q1271" s="278"/>
      <c r="R1271" s="278"/>
      <c r="S1271" s="278"/>
      <c r="T1271" s="278"/>
      <c r="U1271" s="27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2" thickBot="1" x14ac:dyDescent="0.35">
      <c r="A1272" s="88"/>
      <c r="B1272" s="319" t="s">
        <v>436</v>
      </c>
      <c r="C1272" s="320"/>
      <c r="D1272" s="79"/>
      <c r="E1272" s="80"/>
      <c r="F1272" s="80"/>
      <c r="G1272" s="81"/>
      <c r="H1272" s="192"/>
      <c r="I1272" s="192"/>
      <c r="J1272" s="192"/>
      <c r="K1272" s="82"/>
      <c r="L1272" s="319" t="s">
        <v>319</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2" thickBot="1" x14ac:dyDescent="0.35">
      <c r="A1273" s="88"/>
      <c r="B1273" s="319" t="s">
        <v>320</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3">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 thickBot="1" x14ac:dyDescent="0.35">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5">
      <c r="A1276" s="88"/>
      <c r="B1276" s="85" t="s">
        <v>437</v>
      </c>
      <c r="C1276" s="25"/>
      <c r="D1276" s="25"/>
      <c r="E1276" s="25"/>
      <c r="F1276" s="88"/>
      <c r="G1276" s="25"/>
      <c r="H1276" s="25"/>
      <c r="I1276" s="87"/>
      <c r="J1276" s="26"/>
      <c r="K1276" s="25"/>
      <c r="L1276" s="25"/>
      <c r="M1276" s="196" t="s">
        <v>217</v>
      </c>
      <c r="N1276" s="196" t="s">
        <v>218</v>
      </c>
      <c r="O1276" s="196" t="s">
        <v>219</v>
      </c>
      <c r="P1276" s="196" t="s">
        <v>220</v>
      </c>
      <c r="Q1276" s="196" t="s">
        <v>221</v>
      </c>
      <c r="R1276" s="196" t="s">
        <v>222</v>
      </c>
      <c r="S1276" s="196" t="s">
        <v>223</v>
      </c>
      <c r="T1276" s="196" t="s">
        <v>224</v>
      </c>
      <c r="U1276" s="196" t="s">
        <v>225</v>
      </c>
      <c r="V1276" s="196" t="s">
        <v>226</v>
      </c>
      <c r="W1276" s="113" t="s">
        <v>227</v>
      </c>
      <c r="X1276" s="196" t="s">
        <v>228</v>
      </c>
      <c r="Y1276" s="25"/>
      <c r="Z1276" s="25"/>
      <c r="AA1276" s="25"/>
      <c r="AB1276" s="25"/>
      <c r="AC1276" s="25"/>
      <c r="AD1276" s="25"/>
      <c r="BA1276" s="226"/>
    </row>
    <row r="1277" spans="1:53" ht="15.6" thickTop="1" thickBot="1" x14ac:dyDescent="0.35">
      <c r="A1277" s="88"/>
      <c r="B1277" s="312" t="s">
        <v>229</v>
      </c>
      <c r="C1277" s="313"/>
      <c r="D1277" s="314" t="s">
        <v>230</v>
      </c>
      <c r="E1277" s="305"/>
      <c r="F1277" s="88"/>
      <c r="G1277" s="315" t="s">
        <v>231</v>
      </c>
      <c r="H1277" s="316"/>
      <c r="I1277" s="28">
        <f>SUM(E1288:E1312)</f>
        <v>0</v>
      </c>
      <c r="J1277" s="317" t="s">
        <v>232</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233</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234</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5">
      <c r="A1278" s="88"/>
      <c r="B1278" s="29" t="s">
        <v>235</v>
      </c>
      <c r="C1278" s="30">
        <v>0</v>
      </c>
      <c r="D1278" s="31" t="s">
        <v>236</v>
      </c>
      <c r="E1278" s="66" t="str">
        <f>TEXT(IF('Cable Calculator'!FC7="","",'Cable Calculator'!FC7),)</f>
        <v/>
      </c>
      <c r="F1278" s="88"/>
      <c r="G1278" s="304" t="s">
        <v>237</v>
      </c>
      <c r="H1278" s="305"/>
      <c r="I1278" s="33">
        <f>E1279-I1277</f>
        <v>0</v>
      </c>
      <c r="J1278" s="289" t="s">
        <v>238</v>
      </c>
      <c r="K1278" s="290"/>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239</v>
      </c>
      <c r="AA1278" s="300" t="s">
        <v>240</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241</v>
      </c>
      <c r="AU1278" s="109">
        <f>COUNTIFS($E1278,"SS",$AS1278,"Y")</f>
        <v>0</v>
      </c>
      <c r="AV1278" s="111">
        <f>COUNTIFS($E1278,"RPX",$AS1278,"Y")</f>
        <v>0</v>
      </c>
      <c r="AW1278" s="111">
        <f>COUNTIFS($E1278,"EUC",$AS1278,"Y")</f>
        <v>0</v>
      </c>
      <c r="AX1278" s="109">
        <f>COUNTIFS($E1278,"RPX-T",$AS1278,"Y")</f>
        <v>0</v>
      </c>
      <c r="BA1278" s="227"/>
    </row>
    <row r="1279" spans="1:53" ht="15.6" thickTop="1" thickBot="1" x14ac:dyDescent="0.35">
      <c r="A1279" s="88"/>
      <c r="B1279" s="36" t="s">
        <v>242</v>
      </c>
      <c r="C1279" s="37">
        <v>0</v>
      </c>
      <c r="D1279" s="38" t="s">
        <v>243</v>
      </c>
      <c r="E1279" s="32"/>
      <c r="F1279" s="88"/>
      <c r="G1279" s="291" t="s">
        <v>244</v>
      </c>
      <c r="H1279" s="292"/>
      <c r="I1279" s="35">
        <f>IF(E1279=0,0,12-(MOD(I1277,12)))</f>
        <v>0</v>
      </c>
      <c r="J1279" s="289" t="s">
        <v>245</v>
      </c>
      <c r="K1279" s="290"/>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246</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5">
      <c r="A1280" s="88"/>
      <c r="B1280" s="40" t="s">
        <v>247</v>
      </c>
      <c r="C1280" s="30">
        <v>0</v>
      </c>
      <c r="D1280" s="41" t="s">
        <v>248</v>
      </c>
      <c r="E1280" s="42"/>
      <c r="F1280" s="88"/>
      <c r="G1280" s="321" t="s">
        <v>249</v>
      </c>
      <c r="H1280" s="43" t="s">
        <v>250</v>
      </c>
      <c r="I1280" s="35">
        <f>IF(E1280&lt;&gt;0,1,0)</f>
        <v>0</v>
      </c>
      <c r="J1280" s="291" t="s">
        <v>251</v>
      </c>
      <c r="K1280" s="29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252</v>
      </c>
      <c r="AU1280" s="109">
        <f>COUNTIFS($E1278,"SS",$AS1280,"Y")</f>
        <v>0</v>
      </c>
      <c r="AV1280" s="108">
        <f>COUNTIFS($E1278,"RPX",$AS1280,"Y")</f>
        <v>0</v>
      </c>
      <c r="AW1280" s="108">
        <f>COUNTIFS($E1278,"EUC",$AS1280,"Y")</f>
        <v>0</v>
      </c>
      <c r="AX1280" s="109">
        <f>COUNTIFS($E1278,"RPX-T",$AS1280,"Y")</f>
        <v>0</v>
      </c>
      <c r="BA1280" s="227"/>
    </row>
    <row r="1281" spans="1:53" ht="15.6" thickTop="1" thickBot="1" x14ac:dyDescent="0.35">
      <c r="A1281" s="88"/>
      <c r="B1281" s="29" t="s">
        <v>253</v>
      </c>
      <c r="C1281" s="37">
        <v>0</v>
      </c>
      <c r="D1281" s="41" t="s">
        <v>254</v>
      </c>
      <c r="E1281" s="42"/>
      <c r="F1281" s="88"/>
      <c r="G1281" s="322"/>
      <c r="H1281" s="47" t="s">
        <v>255</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5">
      <c r="A1282" s="88"/>
      <c r="B1282" s="36" t="s">
        <v>256</v>
      </c>
      <c r="C1282" s="30">
        <v>0</v>
      </c>
      <c r="D1282" s="49" t="s">
        <v>257</v>
      </c>
      <c r="E1282" s="50">
        <f>E1279/12</f>
        <v>0</v>
      </c>
      <c r="F1282" s="88"/>
      <c r="G1282" s="321" t="s">
        <v>258</v>
      </c>
      <c r="H1282" s="51" t="s">
        <v>259</v>
      </c>
      <c r="I1282" s="112">
        <f>E1281</f>
        <v>0</v>
      </c>
      <c r="J1282" s="323" t="s">
        <v>260</v>
      </c>
      <c r="K1282" s="324"/>
      <c r="L1282" s="325"/>
      <c r="M1282" s="52" t="s">
        <v>261</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5.6" thickTop="1" thickBot="1" x14ac:dyDescent="0.35">
      <c r="A1283" s="88"/>
      <c r="B1283" s="36" t="s">
        <v>262</v>
      </c>
      <c r="C1283" s="30">
        <v>0</v>
      </c>
      <c r="D1283" s="31" t="s">
        <v>263</v>
      </c>
      <c r="E1283" s="101" t="str">
        <f>IF('Cable Calculator'!FC5="","",'Cable Calculator'!FC5)</f>
        <v/>
      </c>
      <c r="F1283" s="88"/>
      <c r="G1283" s="322"/>
      <c r="H1283" s="47" t="s">
        <v>264</v>
      </c>
      <c r="I1283" s="35" t="str">
        <f>IF(E1281="","0",IF(AND(E1278="EUC",E1279=432), I1282+(203-E1280),IF(E1281=0,0,(E1281+(E1279-E1280)-1))))</f>
        <v>0</v>
      </c>
      <c r="J1283" s="286" t="str">
        <f>IFERROR(IF(OR(E1278="EUC",E1278="SS"),"---",IF(OR(P1277,S1277),"NO 2F Tethers for RPX!",IF(OR(P1279,S1279),"NO 6F Tethers for RPX!","---"))),"---")</f>
        <v>---</v>
      </c>
      <c r="K1283" s="287"/>
      <c r="L1283" s="288"/>
      <c r="M1283" s="286" t="str">
        <f>IF(E1280&gt;60,"Dead Count &gt;60: Consider Downsize","---")</f>
        <v>---</v>
      </c>
      <c r="N1283" s="287"/>
      <c r="O1283" s="287"/>
      <c r="P1283" s="287"/>
      <c r="Q1283" s="287"/>
      <c r="R1283" s="287"/>
      <c r="S1283" s="287"/>
      <c r="T1283" s="287"/>
      <c r="U1283" s="288"/>
      <c r="V1283" s="100"/>
      <c r="W1283" s="54">
        <f>SUM(P1283:U1283)</f>
        <v>0</v>
      </c>
      <c r="X1283" s="54"/>
      <c r="Y1283" s="25"/>
      <c r="Z1283" s="45">
        <v>4</v>
      </c>
      <c r="AA1283" s="46">
        <v>37</v>
      </c>
      <c r="AB1283" s="46">
        <v>48</v>
      </c>
      <c r="AC1283" s="25"/>
      <c r="AD1283" s="25"/>
      <c r="BA1283" s="227"/>
    </row>
    <row r="1284" spans="1:53" ht="15.6" thickTop="1" thickBot="1" x14ac:dyDescent="0.35">
      <c r="A1284" s="88"/>
      <c r="B1284" s="55" t="s">
        <v>265</v>
      </c>
      <c r="C1284" s="56">
        <f>SUM(C1278:C1283)+I1277</f>
        <v>0</v>
      </c>
      <c r="D1284" s="31" t="s">
        <v>266</v>
      </c>
      <c r="E1284" s="101" t="str">
        <f>IF(AS1278="Y","DBL",IF(AS1279="Y","TRPL",IF(AS1280="Y","QUAD","")))</f>
        <v/>
      </c>
      <c r="F1284" s="88"/>
      <c r="G1284" s="192"/>
      <c r="H1284" s="57"/>
      <c r="I1284" s="192"/>
      <c r="J1284" s="286"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7"/>
      <c r="L1284" s="288"/>
      <c r="M1284" s="286" t="str">
        <f>IF(AND(OR(E1278="SS",E1278="RPX",E1278="EUC",E1278="RPX-T"),(OR(C1288="",C1288="Field SPL"))),"Cannot have FlexNap cables without tethers","---")</f>
        <v>---</v>
      </c>
      <c r="N1284" s="287"/>
      <c r="O1284" s="287"/>
      <c r="P1284" s="287"/>
      <c r="Q1284" s="287"/>
      <c r="R1284" s="287"/>
      <c r="S1284" s="287"/>
      <c r="T1284" s="287"/>
      <c r="U1284" s="288"/>
      <c r="V1284" s="25"/>
      <c r="W1284" s="58"/>
      <c r="X1284" s="58"/>
      <c r="Y1284" s="25"/>
      <c r="Z1284" s="45">
        <v>5</v>
      </c>
      <c r="AA1284" s="46">
        <v>49</v>
      </c>
      <c r="AB1284" s="46">
        <v>60</v>
      </c>
      <c r="AC1284" s="25"/>
      <c r="AD1284" s="25"/>
      <c r="BA1284" s="227"/>
    </row>
    <row r="1285" spans="1:53" ht="15.6" thickTop="1" thickBot="1" x14ac:dyDescent="0.35">
      <c r="A1285" s="88"/>
      <c r="B1285" s="59"/>
      <c r="C1285" s="60"/>
      <c r="D1285" s="61"/>
      <c r="E1285" s="62"/>
      <c r="F1285" s="88"/>
      <c r="G1285" s="63"/>
      <c r="H1285" s="64"/>
      <c r="I1285" s="63"/>
      <c r="J1285" s="286" t="str">
        <f>IF(AND(OR(E1278="RPX", E1278="RPX-T", E1278="SS"),E1279=216),"NO 216 For RPX, RPX-T, OR SS CABLE","---")</f>
        <v>---</v>
      </c>
      <c r="K1285" s="287"/>
      <c r="L1285" s="288"/>
      <c r="M1285" s="286" t="str" cm="1">
        <f t="array" ref="M1285">IF(AND(E1278="",OR(C1288:C1312="FST",C1288:C1312="REV T",C1288:C1312="DBL REV",C1288:C1312="TPL REV", C1288:C1312="QD REV")),"Non-FlexNap cables cannot have tethers","---")</f>
        <v>---</v>
      </c>
      <c r="N1285" s="287"/>
      <c r="O1285" s="287"/>
      <c r="P1285" s="287"/>
      <c r="Q1285" s="287"/>
      <c r="R1285" s="287"/>
      <c r="S1285" s="287"/>
      <c r="T1285" s="287"/>
      <c r="U1285" s="288"/>
      <c r="V1285" s="25"/>
      <c r="W1285" s="58"/>
      <c r="X1285" s="58"/>
      <c r="Y1285" s="25"/>
      <c r="Z1285" s="45">
        <v>6</v>
      </c>
      <c r="AA1285" s="65">
        <v>61</v>
      </c>
      <c r="AB1285" s="65">
        <v>72</v>
      </c>
      <c r="AC1285" s="25"/>
      <c r="AD1285" s="25"/>
      <c r="BA1285" s="226"/>
    </row>
    <row r="1286" spans="1:53" ht="15.75" customHeight="1" thickBot="1" x14ac:dyDescent="0.35">
      <c r="A1286" s="88"/>
      <c r="B1286" s="321" t="s">
        <v>267</v>
      </c>
      <c r="C1286" s="293" t="s">
        <v>268</v>
      </c>
      <c r="D1286" s="293" t="s">
        <v>269</v>
      </c>
      <c r="E1286" s="306" t="s">
        <v>270</v>
      </c>
      <c r="F1286" s="293" t="s">
        <v>271</v>
      </c>
      <c r="G1286" s="308" t="s">
        <v>272</v>
      </c>
      <c r="H1286" s="308" t="s">
        <v>273</v>
      </c>
      <c r="I1286" s="308" t="s">
        <v>274</v>
      </c>
      <c r="J1286" s="310" t="s">
        <v>275</v>
      </c>
      <c r="K1286" s="293" t="s">
        <v>276</v>
      </c>
      <c r="L1286" s="280" t="s">
        <v>277</v>
      </c>
      <c r="M1286" s="282" t="s">
        <v>278</v>
      </c>
      <c r="N1286" s="282"/>
      <c r="O1286" s="282"/>
      <c r="P1286" s="282"/>
      <c r="Q1286" s="282"/>
      <c r="R1286" s="282"/>
      <c r="S1286" s="282"/>
      <c r="T1286" s="282"/>
      <c r="U1286" s="283"/>
      <c r="V1286" s="107"/>
      <c r="W1286" s="72"/>
      <c r="X1286" s="72"/>
      <c r="Y1286" s="72"/>
      <c r="Z1286" s="45">
        <v>7</v>
      </c>
      <c r="AA1286" s="65">
        <v>73</v>
      </c>
      <c r="AB1286" s="65">
        <v>84</v>
      </c>
      <c r="AC1286" s="25"/>
      <c r="AD1286" s="25"/>
      <c r="BA1286" s="228"/>
    </row>
    <row r="1287" spans="1:53" ht="15" thickBot="1" x14ac:dyDescent="0.35">
      <c r="A1287" s="88"/>
      <c r="B1287" s="322"/>
      <c r="C1287" s="294"/>
      <c r="D1287" s="294"/>
      <c r="E1287" s="307"/>
      <c r="F1287" s="294"/>
      <c r="G1287" s="309"/>
      <c r="H1287" s="309"/>
      <c r="I1287" s="309"/>
      <c r="J1287" s="311"/>
      <c r="K1287" s="294"/>
      <c r="L1287" s="281"/>
      <c r="M1287" s="284"/>
      <c r="N1287" s="284"/>
      <c r="O1287" s="284"/>
      <c r="P1287" s="284"/>
      <c r="Q1287" s="284"/>
      <c r="R1287" s="284"/>
      <c r="S1287" s="284"/>
      <c r="T1287" s="284"/>
      <c r="U1287" s="285"/>
      <c r="V1287" s="107"/>
      <c r="W1287" s="72"/>
      <c r="X1287" s="72"/>
      <c r="Y1287" s="72"/>
      <c r="Z1287" s="45">
        <v>8</v>
      </c>
      <c r="AA1287" s="46">
        <v>85</v>
      </c>
      <c r="AB1287" s="46">
        <v>96</v>
      </c>
      <c r="AC1287" s="25"/>
      <c r="AD1287" s="25"/>
      <c r="AI1287" s="109" t="s">
        <v>279</v>
      </c>
      <c r="AJ1287" s="109" t="s">
        <v>280</v>
      </c>
      <c r="AK1287" s="109" t="s">
        <v>281</v>
      </c>
      <c r="AL1287" s="109" t="s">
        <v>282</v>
      </c>
      <c r="BA1287" s="228"/>
    </row>
    <row r="1288" spans="1:53" ht="15" thickBot="1" x14ac:dyDescent="0.35">
      <c r="A1288" s="88"/>
      <c r="B1288" s="66" t="s">
        <v>283</v>
      </c>
      <c r="C1288" s="67"/>
      <c r="D1288" s="102"/>
      <c r="E1288" s="32"/>
      <c r="F1288" s="32"/>
      <c r="G1288" s="68" t="s">
        <v>285</v>
      </c>
      <c r="H1288" s="69">
        <f>IF(I1288=0,0,I1288-(E1288-1))</f>
        <v>0</v>
      </c>
      <c r="I1288" s="70">
        <f>IF(E1288=0,0,I1283)</f>
        <v>0</v>
      </c>
      <c r="J1288" s="71" t="s">
        <v>286</v>
      </c>
      <c r="K1288" s="32"/>
      <c r="L1288" s="233"/>
      <c r="M1288" s="278"/>
      <c r="N1288" s="278"/>
      <c r="O1288" s="278"/>
      <c r="P1288" s="278"/>
      <c r="Q1288" s="278"/>
      <c r="R1288" s="278"/>
      <c r="S1288" s="278"/>
      <c r="T1288" s="278"/>
      <c r="U1288" s="27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 thickBot="1" x14ac:dyDescent="0.35">
      <c r="A1289" s="88"/>
      <c r="B1289" s="66" t="s">
        <v>288</v>
      </c>
      <c r="C1289" s="67"/>
      <c r="D1289" s="102"/>
      <c r="E1289" s="32"/>
      <c r="F1289" s="32"/>
      <c r="G1289" s="68" t="s">
        <v>285</v>
      </c>
      <c r="H1289" s="69">
        <f t="shared" ref="H1289:H1312" si="536">IF(E1289=0,0,I1289-(E1289-1))</f>
        <v>0</v>
      </c>
      <c r="I1289" s="70">
        <f t="shared" ref="I1289:I1312" si="537">IF(E1289=0,0,H1288-1)</f>
        <v>0</v>
      </c>
      <c r="J1289" s="73" t="str">
        <f>IF(C1289="","--",IF(AND(C1289&lt;&gt;"FST",C1289&lt;&gt;"TCF",BA1288&lt;&gt;0),BA1288,"--"))</f>
        <v>--</v>
      </c>
      <c r="K1289" s="32"/>
      <c r="L1289" s="233"/>
      <c r="M1289" s="278"/>
      <c r="N1289" s="278"/>
      <c r="O1289" s="278"/>
      <c r="P1289" s="278"/>
      <c r="Q1289" s="278"/>
      <c r="R1289" s="278"/>
      <c r="S1289" s="278"/>
      <c r="T1289" s="278"/>
      <c r="U1289" s="27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 thickBot="1" x14ac:dyDescent="0.35">
      <c r="A1290" s="88"/>
      <c r="B1290" s="74" t="s">
        <v>290</v>
      </c>
      <c r="C1290" s="67"/>
      <c r="D1290" s="102"/>
      <c r="E1290" s="32"/>
      <c r="F1290" s="32"/>
      <c r="G1290" s="75" t="s">
        <v>285</v>
      </c>
      <c r="H1290" s="69">
        <f t="shared" si="536"/>
        <v>0</v>
      </c>
      <c r="I1290" s="70">
        <f t="shared" si="537"/>
        <v>0</v>
      </c>
      <c r="J1290" s="73" t="str">
        <f t="shared" ref="J1290:J1312" si="538">IF(C1290="","--",IF(AND(C1290&lt;&gt;"FST",C1290&lt;&gt;"TCF",BA1289&lt;&gt;0),BA1289,"--"))</f>
        <v>--</v>
      </c>
      <c r="K1290" s="32"/>
      <c r="L1290" s="233"/>
      <c r="M1290" s="278"/>
      <c r="N1290" s="278"/>
      <c r="O1290" s="278"/>
      <c r="P1290" s="278"/>
      <c r="Q1290" s="278"/>
      <c r="R1290" s="278"/>
      <c r="S1290" s="278"/>
      <c r="T1290" s="278"/>
      <c r="U1290" s="27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 thickBot="1" x14ac:dyDescent="0.35">
      <c r="A1291" s="88"/>
      <c r="B1291" s="66" t="s">
        <v>292</v>
      </c>
      <c r="C1291" s="67"/>
      <c r="D1291" s="102"/>
      <c r="E1291" s="32"/>
      <c r="F1291" s="32"/>
      <c r="G1291" s="68" t="s">
        <v>285</v>
      </c>
      <c r="H1291" s="69">
        <f t="shared" si="536"/>
        <v>0</v>
      </c>
      <c r="I1291" s="70">
        <f t="shared" si="537"/>
        <v>0</v>
      </c>
      <c r="J1291" s="73" t="str">
        <f t="shared" si="538"/>
        <v>--</v>
      </c>
      <c r="K1291" s="32"/>
      <c r="L1291" s="233"/>
      <c r="M1291" s="278"/>
      <c r="N1291" s="278"/>
      <c r="O1291" s="278"/>
      <c r="P1291" s="278"/>
      <c r="Q1291" s="278"/>
      <c r="R1291" s="278"/>
      <c r="S1291" s="278"/>
      <c r="T1291" s="278"/>
      <c r="U1291" s="27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 thickBot="1" x14ac:dyDescent="0.35">
      <c r="A1292" s="88"/>
      <c r="B1292" s="66" t="s">
        <v>293</v>
      </c>
      <c r="C1292" s="67"/>
      <c r="D1292" s="102"/>
      <c r="E1292" s="32"/>
      <c r="F1292" s="32"/>
      <c r="G1292" s="68" t="s">
        <v>285</v>
      </c>
      <c r="H1292" s="69">
        <f t="shared" si="536"/>
        <v>0</v>
      </c>
      <c r="I1292" s="70">
        <f t="shared" si="537"/>
        <v>0</v>
      </c>
      <c r="J1292" s="73" t="str">
        <f t="shared" si="538"/>
        <v>--</v>
      </c>
      <c r="K1292" s="32"/>
      <c r="L1292" s="233"/>
      <c r="M1292" s="278"/>
      <c r="N1292" s="278"/>
      <c r="O1292" s="278"/>
      <c r="P1292" s="278"/>
      <c r="Q1292" s="278"/>
      <c r="R1292" s="278"/>
      <c r="S1292" s="278"/>
      <c r="T1292" s="278"/>
      <c r="U1292" s="27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 thickBot="1" x14ac:dyDescent="0.35">
      <c r="A1293" s="88"/>
      <c r="B1293" s="66" t="s">
        <v>294</v>
      </c>
      <c r="C1293" s="67"/>
      <c r="D1293" s="102"/>
      <c r="E1293" s="32"/>
      <c r="F1293" s="32"/>
      <c r="G1293" s="68" t="s">
        <v>285</v>
      </c>
      <c r="H1293" s="69">
        <f t="shared" si="536"/>
        <v>0</v>
      </c>
      <c r="I1293" s="70">
        <f t="shared" si="537"/>
        <v>0</v>
      </c>
      <c r="J1293" s="73" t="str">
        <f t="shared" si="538"/>
        <v>--</v>
      </c>
      <c r="K1293" s="32"/>
      <c r="L1293" s="233"/>
      <c r="M1293" s="278"/>
      <c r="N1293" s="278"/>
      <c r="O1293" s="278"/>
      <c r="P1293" s="278"/>
      <c r="Q1293" s="278"/>
      <c r="R1293" s="278"/>
      <c r="S1293" s="278"/>
      <c r="T1293" s="278"/>
      <c r="U1293" s="27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 thickBot="1" x14ac:dyDescent="0.35">
      <c r="A1294" s="88"/>
      <c r="B1294" s="66" t="s">
        <v>295</v>
      </c>
      <c r="C1294" s="67"/>
      <c r="D1294" s="102"/>
      <c r="E1294" s="32"/>
      <c r="F1294" s="32"/>
      <c r="G1294" s="68" t="s">
        <v>285</v>
      </c>
      <c r="H1294" s="69">
        <f t="shared" si="536"/>
        <v>0</v>
      </c>
      <c r="I1294" s="70">
        <f t="shared" si="537"/>
        <v>0</v>
      </c>
      <c r="J1294" s="73" t="str">
        <f t="shared" si="538"/>
        <v>--</v>
      </c>
      <c r="K1294" s="32"/>
      <c r="L1294" s="233"/>
      <c r="M1294" s="278"/>
      <c r="N1294" s="278"/>
      <c r="O1294" s="278"/>
      <c r="P1294" s="278"/>
      <c r="Q1294" s="278"/>
      <c r="R1294" s="278"/>
      <c r="S1294" s="278"/>
      <c r="T1294" s="278"/>
      <c r="U1294" s="27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 thickBot="1" x14ac:dyDescent="0.35">
      <c r="A1295" s="88"/>
      <c r="B1295" s="66" t="s">
        <v>296</v>
      </c>
      <c r="C1295" s="67"/>
      <c r="D1295" s="102"/>
      <c r="E1295" s="32"/>
      <c r="F1295" s="32"/>
      <c r="G1295" s="68" t="s">
        <v>285</v>
      </c>
      <c r="H1295" s="69">
        <f t="shared" si="536"/>
        <v>0</v>
      </c>
      <c r="I1295" s="70">
        <f t="shared" si="537"/>
        <v>0</v>
      </c>
      <c r="J1295" s="73" t="str">
        <f t="shared" si="538"/>
        <v>--</v>
      </c>
      <c r="K1295" s="32"/>
      <c r="L1295" s="233"/>
      <c r="M1295" s="278"/>
      <c r="N1295" s="278"/>
      <c r="O1295" s="278"/>
      <c r="P1295" s="278"/>
      <c r="Q1295" s="278"/>
      <c r="R1295" s="278"/>
      <c r="S1295" s="278"/>
      <c r="T1295" s="278"/>
      <c r="U1295" s="27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 thickBot="1" x14ac:dyDescent="0.35">
      <c r="A1296" s="88"/>
      <c r="B1296" s="66" t="s">
        <v>297</v>
      </c>
      <c r="C1296" s="67"/>
      <c r="D1296" s="102"/>
      <c r="E1296" s="32"/>
      <c r="F1296" s="32"/>
      <c r="G1296" s="68" t="s">
        <v>285</v>
      </c>
      <c r="H1296" s="69">
        <f t="shared" si="536"/>
        <v>0</v>
      </c>
      <c r="I1296" s="70">
        <f t="shared" si="537"/>
        <v>0</v>
      </c>
      <c r="J1296" s="73" t="str">
        <f t="shared" si="538"/>
        <v>--</v>
      </c>
      <c r="K1296" s="32"/>
      <c r="L1296" s="233"/>
      <c r="M1296" s="278"/>
      <c r="N1296" s="278"/>
      <c r="O1296" s="278"/>
      <c r="P1296" s="278"/>
      <c r="Q1296" s="278"/>
      <c r="R1296" s="278"/>
      <c r="S1296" s="278"/>
      <c r="T1296" s="278"/>
      <c r="U1296" s="27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 thickBot="1" x14ac:dyDescent="0.35">
      <c r="A1297" s="88"/>
      <c r="B1297" s="66" t="s">
        <v>298</v>
      </c>
      <c r="C1297" s="67"/>
      <c r="D1297" s="102"/>
      <c r="E1297" s="32"/>
      <c r="F1297" s="32"/>
      <c r="G1297" s="68" t="s">
        <v>285</v>
      </c>
      <c r="H1297" s="69">
        <f t="shared" si="536"/>
        <v>0</v>
      </c>
      <c r="I1297" s="70">
        <f t="shared" si="537"/>
        <v>0</v>
      </c>
      <c r="J1297" s="73" t="str">
        <f t="shared" si="538"/>
        <v>--</v>
      </c>
      <c r="K1297" s="32"/>
      <c r="L1297" s="233"/>
      <c r="M1297" s="278"/>
      <c r="N1297" s="278"/>
      <c r="O1297" s="278"/>
      <c r="P1297" s="278"/>
      <c r="Q1297" s="278"/>
      <c r="R1297" s="278"/>
      <c r="S1297" s="278"/>
      <c r="T1297" s="278"/>
      <c r="U1297" s="27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 thickBot="1" x14ac:dyDescent="0.35">
      <c r="A1298" s="88"/>
      <c r="B1298" s="66" t="s">
        <v>299</v>
      </c>
      <c r="C1298" s="67"/>
      <c r="D1298" s="102"/>
      <c r="E1298" s="32"/>
      <c r="F1298" s="32"/>
      <c r="G1298" s="68" t="s">
        <v>285</v>
      </c>
      <c r="H1298" s="69">
        <f t="shared" si="536"/>
        <v>0</v>
      </c>
      <c r="I1298" s="70">
        <f t="shared" si="537"/>
        <v>0</v>
      </c>
      <c r="J1298" s="73" t="str">
        <f t="shared" si="538"/>
        <v>--</v>
      </c>
      <c r="K1298" s="32"/>
      <c r="L1298" s="233"/>
      <c r="M1298" s="278"/>
      <c r="N1298" s="278"/>
      <c r="O1298" s="278"/>
      <c r="P1298" s="278"/>
      <c r="Q1298" s="278"/>
      <c r="R1298" s="278"/>
      <c r="S1298" s="278"/>
      <c r="T1298" s="278"/>
      <c r="U1298" s="27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 thickBot="1" x14ac:dyDescent="0.35">
      <c r="A1299" s="88"/>
      <c r="B1299" s="66" t="s">
        <v>300</v>
      </c>
      <c r="C1299" s="67"/>
      <c r="D1299" s="102"/>
      <c r="E1299" s="32"/>
      <c r="F1299" s="32"/>
      <c r="G1299" s="68" t="s">
        <v>285</v>
      </c>
      <c r="H1299" s="69">
        <f t="shared" si="536"/>
        <v>0</v>
      </c>
      <c r="I1299" s="70">
        <f t="shared" si="537"/>
        <v>0</v>
      </c>
      <c r="J1299" s="73" t="str">
        <f t="shared" si="538"/>
        <v>--</v>
      </c>
      <c r="K1299" s="32"/>
      <c r="L1299" s="233"/>
      <c r="M1299" s="278"/>
      <c r="N1299" s="278"/>
      <c r="O1299" s="278"/>
      <c r="P1299" s="278"/>
      <c r="Q1299" s="278"/>
      <c r="R1299" s="278"/>
      <c r="S1299" s="278"/>
      <c r="T1299" s="278"/>
      <c r="U1299" s="27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 thickBot="1" x14ac:dyDescent="0.35">
      <c r="A1300" s="88"/>
      <c r="B1300" s="66" t="s">
        <v>301</v>
      </c>
      <c r="C1300" s="67"/>
      <c r="D1300" s="102"/>
      <c r="E1300" s="32"/>
      <c r="F1300" s="32"/>
      <c r="G1300" s="68" t="s">
        <v>285</v>
      </c>
      <c r="H1300" s="69">
        <f t="shared" si="536"/>
        <v>0</v>
      </c>
      <c r="I1300" s="70">
        <f t="shared" si="537"/>
        <v>0</v>
      </c>
      <c r="J1300" s="73" t="str">
        <f t="shared" si="538"/>
        <v>--</v>
      </c>
      <c r="K1300" s="32"/>
      <c r="L1300" s="233"/>
      <c r="M1300" s="278"/>
      <c r="N1300" s="278"/>
      <c r="O1300" s="278"/>
      <c r="P1300" s="278"/>
      <c r="Q1300" s="278"/>
      <c r="R1300" s="278"/>
      <c r="S1300" s="278"/>
      <c r="T1300" s="278"/>
      <c r="U1300" s="27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 thickBot="1" x14ac:dyDescent="0.35">
      <c r="A1301" s="88"/>
      <c r="B1301" s="66" t="s">
        <v>302</v>
      </c>
      <c r="C1301" s="67"/>
      <c r="D1301" s="102"/>
      <c r="E1301" s="32"/>
      <c r="F1301" s="32"/>
      <c r="G1301" s="68" t="s">
        <v>285</v>
      </c>
      <c r="H1301" s="69">
        <f t="shared" si="536"/>
        <v>0</v>
      </c>
      <c r="I1301" s="70">
        <f t="shared" si="537"/>
        <v>0</v>
      </c>
      <c r="J1301" s="73" t="str">
        <f t="shared" si="538"/>
        <v>--</v>
      </c>
      <c r="K1301" s="32"/>
      <c r="L1301" s="233"/>
      <c r="M1301" s="278"/>
      <c r="N1301" s="278"/>
      <c r="O1301" s="278"/>
      <c r="P1301" s="278"/>
      <c r="Q1301" s="278"/>
      <c r="R1301" s="278"/>
      <c r="S1301" s="278"/>
      <c r="T1301" s="278"/>
      <c r="U1301" s="27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 thickBot="1" x14ac:dyDescent="0.35">
      <c r="A1302" s="88"/>
      <c r="B1302" s="66" t="s">
        <v>303</v>
      </c>
      <c r="C1302" s="67"/>
      <c r="D1302" s="102"/>
      <c r="E1302" s="32"/>
      <c r="F1302" s="32"/>
      <c r="G1302" s="68" t="s">
        <v>285</v>
      </c>
      <c r="H1302" s="69">
        <f t="shared" si="536"/>
        <v>0</v>
      </c>
      <c r="I1302" s="70">
        <f t="shared" si="537"/>
        <v>0</v>
      </c>
      <c r="J1302" s="73" t="str">
        <f t="shared" si="538"/>
        <v>--</v>
      </c>
      <c r="K1302" s="32"/>
      <c r="L1302" s="233"/>
      <c r="M1302" s="278"/>
      <c r="N1302" s="278"/>
      <c r="O1302" s="278"/>
      <c r="P1302" s="278"/>
      <c r="Q1302" s="278"/>
      <c r="R1302" s="278"/>
      <c r="S1302" s="278"/>
      <c r="T1302" s="278"/>
      <c r="U1302" s="27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 thickBot="1" x14ac:dyDescent="0.35">
      <c r="A1303" s="88"/>
      <c r="B1303" s="66" t="s">
        <v>304</v>
      </c>
      <c r="C1303" s="67"/>
      <c r="D1303" s="102"/>
      <c r="E1303" s="32"/>
      <c r="F1303" s="32"/>
      <c r="G1303" s="68" t="s">
        <v>285</v>
      </c>
      <c r="H1303" s="69">
        <f t="shared" si="536"/>
        <v>0</v>
      </c>
      <c r="I1303" s="70">
        <f t="shared" si="537"/>
        <v>0</v>
      </c>
      <c r="J1303" s="73" t="str">
        <f t="shared" si="538"/>
        <v>--</v>
      </c>
      <c r="K1303" s="32"/>
      <c r="L1303" s="233"/>
      <c r="M1303" s="278"/>
      <c r="N1303" s="278"/>
      <c r="O1303" s="278"/>
      <c r="P1303" s="278"/>
      <c r="Q1303" s="278"/>
      <c r="R1303" s="278"/>
      <c r="S1303" s="278"/>
      <c r="T1303" s="278"/>
      <c r="U1303" s="27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 thickBot="1" x14ac:dyDescent="0.35">
      <c r="A1304" s="88"/>
      <c r="B1304" s="66" t="s">
        <v>305</v>
      </c>
      <c r="C1304" s="67"/>
      <c r="D1304" s="102"/>
      <c r="E1304" s="32"/>
      <c r="F1304" s="32"/>
      <c r="G1304" s="68" t="s">
        <v>285</v>
      </c>
      <c r="H1304" s="69">
        <f t="shared" si="536"/>
        <v>0</v>
      </c>
      <c r="I1304" s="70">
        <f t="shared" si="537"/>
        <v>0</v>
      </c>
      <c r="J1304" s="73" t="str">
        <f t="shared" si="538"/>
        <v>--</v>
      </c>
      <c r="K1304" s="32"/>
      <c r="L1304" s="233"/>
      <c r="M1304" s="278"/>
      <c r="N1304" s="278"/>
      <c r="O1304" s="278"/>
      <c r="P1304" s="278"/>
      <c r="Q1304" s="278"/>
      <c r="R1304" s="278"/>
      <c r="S1304" s="278"/>
      <c r="T1304" s="278"/>
      <c r="U1304" s="27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 thickBot="1" x14ac:dyDescent="0.35">
      <c r="A1305" s="88"/>
      <c r="B1305" s="66" t="s">
        <v>306</v>
      </c>
      <c r="C1305" s="67"/>
      <c r="D1305" s="102"/>
      <c r="E1305" s="32"/>
      <c r="F1305" s="32"/>
      <c r="G1305" s="68" t="s">
        <v>285</v>
      </c>
      <c r="H1305" s="69">
        <f t="shared" si="536"/>
        <v>0</v>
      </c>
      <c r="I1305" s="70">
        <f t="shared" si="537"/>
        <v>0</v>
      </c>
      <c r="J1305" s="73" t="str">
        <f t="shared" si="538"/>
        <v>--</v>
      </c>
      <c r="K1305" s="32"/>
      <c r="L1305" s="233"/>
      <c r="M1305" s="278"/>
      <c r="N1305" s="278"/>
      <c r="O1305" s="278"/>
      <c r="P1305" s="278"/>
      <c r="Q1305" s="278"/>
      <c r="R1305" s="278"/>
      <c r="S1305" s="278"/>
      <c r="T1305" s="278"/>
      <c r="U1305" s="27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 thickBot="1" x14ac:dyDescent="0.35">
      <c r="A1306" s="88"/>
      <c r="B1306" s="66" t="s">
        <v>307</v>
      </c>
      <c r="C1306" s="67"/>
      <c r="D1306" s="102"/>
      <c r="E1306" s="32"/>
      <c r="F1306" s="32"/>
      <c r="G1306" s="68" t="s">
        <v>285</v>
      </c>
      <c r="H1306" s="69">
        <f t="shared" si="536"/>
        <v>0</v>
      </c>
      <c r="I1306" s="70">
        <f t="shared" si="537"/>
        <v>0</v>
      </c>
      <c r="J1306" s="73" t="str">
        <f t="shared" si="538"/>
        <v>--</v>
      </c>
      <c r="K1306" s="32"/>
      <c r="L1306" s="233"/>
      <c r="M1306" s="278"/>
      <c r="N1306" s="278"/>
      <c r="O1306" s="278"/>
      <c r="P1306" s="278"/>
      <c r="Q1306" s="278"/>
      <c r="R1306" s="278"/>
      <c r="S1306" s="278"/>
      <c r="T1306" s="278"/>
      <c r="U1306" s="27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 thickBot="1" x14ac:dyDescent="0.35">
      <c r="A1307" s="88"/>
      <c r="B1307" s="66" t="s">
        <v>308</v>
      </c>
      <c r="C1307" s="67"/>
      <c r="D1307" s="102"/>
      <c r="E1307" s="32"/>
      <c r="F1307" s="32"/>
      <c r="G1307" s="68" t="s">
        <v>285</v>
      </c>
      <c r="H1307" s="69">
        <f t="shared" si="536"/>
        <v>0</v>
      </c>
      <c r="I1307" s="70">
        <f t="shared" si="537"/>
        <v>0</v>
      </c>
      <c r="J1307" s="73" t="str">
        <f t="shared" si="538"/>
        <v>--</v>
      </c>
      <c r="K1307" s="32"/>
      <c r="L1307" s="233"/>
      <c r="M1307" s="278"/>
      <c r="N1307" s="278"/>
      <c r="O1307" s="278"/>
      <c r="P1307" s="278"/>
      <c r="Q1307" s="278"/>
      <c r="R1307" s="278"/>
      <c r="S1307" s="278"/>
      <c r="T1307" s="278"/>
      <c r="U1307" s="27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 thickBot="1" x14ac:dyDescent="0.35">
      <c r="A1308" s="88"/>
      <c r="B1308" s="66" t="s">
        <v>309</v>
      </c>
      <c r="C1308" s="67"/>
      <c r="D1308" s="102"/>
      <c r="E1308" s="32"/>
      <c r="F1308" s="32"/>
      <c r="G1308" s="68" t="s">
        <v>285</v>
      </c>
      <c r="H1308" s="69">
        <f t="shared" si="536"/>
        <v>0</v>
      </c>
      <c r="I1308" s="70">
        <f t="shared" si="537"/>
        <v>0</v>
      </c>
      <c r="J1308" s="73" t="str">
        <f t="shared" si="538"/>
        <v>--</v>
      </c>
      <c r="K1308" s="32"/>
      <c r="L1308" s="233"/>
      <c r="M1308" s="278"/>
      <c r="N1308" s="278"/>
      <c r="O1308" s="278"/>
      <c r="P1308" s="278"/>
      <c r="Q1308" s="278"/>
      <c r="R1308" s="278"/>
      <c r="S1308" s="278"/>
      <c r="T1308" s="278"/>
      <c r="U1308" s="27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 thickBot="1" x14ac:dyDescent="0.35">
      <c r="A1309" s="88"/>
      <c r="B1309" s="66" t="s">
        <v>310</v>
      </c>
      <c r="C1309" s="67"/>
      <c r="D1309" s="102"/>
      <c r="E1309" s="32"/>
      <c r="F1309" s="32"/>
      <c r="G1309" s="68" t="s">
        <v>285</v>
      </c>
      <c r="H1309" s="69">
        <f t="shared" si="536"/>
        <v>0</v>
      </c>
      <c r="I1309" s="70">
        <f t="shared" si="537"/>
        <v>0</v>
      </c>
      <c r="J1309" s="73" t="str">
        <f t="shared" si="538"/>
        <v>--</v>
      </c>
      <c r="K1309" s="32"/>
      <c r="L1309" s="233"/>
      <c r="M1309" s="278"/>
      <c r="N1309" s="278"/>
      <c r="O1309" s="278"/>
      <c r="P1309" s="278"/>
      <c r="Q1309" s="278"/>
      <c r="R1309" s="278"/>
      <c r="S1309" s="278"/>
      <c r="T1309" s="278"/>
      <c r="U1309" s="27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 thickBot="1" x14ac:dyDescent="0.35">
      <c r="A1310" s="88"/>
      <c r="B1310" s="66" t="s">
        <v>311</v>
      </c>
      <c r="C1310" s="67"/>
      <c r="D1310" s="102"/>
      <c r="E1310" s="32"/>
      <c r="F1310" s="32"/>
      <c r="G1310" s="68" t="s">
        <v>285</v>
      </c>
      <c r="H1310" s="69">
        <f t="shared" si="536"/>
        <v>0</v>
      </c>
      <c r="I1310" s="70">
        <f t="shared" si="537"/>
        <v>0</v>
      </c>
      <c r="J1310" s="73" t="str">
        <f t="shared" si="538"/>
        <v>--</v>
      </c>
      <c r="K1310" s="32"/>
      <c r="L1310" s="233"/>
      <c r="M1310" s="278"/>
      <c r="N1310" s="278"/>
      <c r="O1310" s="278"/>
      <c r="P1310" s="278"/>
      <c r="Q1310" s="278"/>
      <c r="R1310" s="278"/>
      <c r="S1310" s="278"/>
      <c r="T1310" s="278"/>
      <c r="U1310" s="27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 thickBot="1" x14ac:dyDescent="0.35">
      <c r="A1311" s="88"/>
      <c r="B1311" s="66" t="s">
        <v>312</v>
      </c>
      <c r="C1311" s="67"/>
      <c r="D1311" s="102"/>
      <c r="E1311" s="32"/>
      <c r="F1311" s="32"/>
      <c r="G1311" s="68" t="s">
        <v>285</v>
      </c>
      <c r="H1311" s="69">
        <f t="shared" si="536"/>
        <v>0</v>
      </c>
      <c r="I1311" s="70">
        <f t="shared" si="537"/>
        <v>0</v>
      </c>
      <c r="J1311" s="73" t="str">
        <f t="shared" si="538"/>
        <v>--</v>
      </c>
      <c r="K1311" s="32"/>
      <c r="L1311" s="233"/>
      <c r="M1311" s="278"/>
      <c r="N1311" s="278"/>
      <c r="O1311" s="278"/>
      <c r="P1311" s="278"/>
      <c r="Q1311" s="278"/>
      <c r="R1311" s="278"/>
      <c r="S1311" s="278"/>
      <c r="T1311" s="278"/>
      <c r="U1311" s="27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 thickBot="1" x14ac:dyDescent="0.35">
      <c r="A1312" s="88"/>
      <c r="B1312" s="66" t="s">
        <v>313</v>
      </c>
      <c r="C1312" s="67"/>
      <c r="D1312" s="102"/>
      <c r="E1312" s="32"/>
      <c r="F1312" s="32"/>
      <c r="G1312" s="68" t="s">
        <v>285</v>
      </c>
      <c r="H1312" s="69">
        <f t="shared" si="536"/>
        <v>0</v>
      </c>
      <c r="I1312" s="70">
        <f t="shared" si="537"/>
        <v>0</v>
      </c>
      <c r="J1312" s="73" t="str">
        <f t="shared" si="538"/>
        <v>--</v>
      </c>
      <c r="K1312" s="32"/>
      <c r="L1312" s="234"/>
      <c r="M1312" s="278"/>
      <c r="N1312" s="278"/>
      <c r="O1312" s="278"/>
      <c r="P1312" s="278"/>
      <c r="Q1312" s="278"/>
      <c r="R1312" s="278"/>
      <c r="S1312" s="278"/>
      <c r="T1312" s="278"/>
      <c r="U1312" s="27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2" thickBot="1" x14ac:dyDescent="0.35">
      <c r="A1313" s="88"/>
      <c r="B1313" s="319" t="s">
        <v>438</v>
      </c>
      <c r="C1313" s="320"/>
      <c r="D1313" s="79"/>
      <c r="E1313" s="80"/>
      <c r="F1313" s="80"/>
      <c r="G1313" s="81"/>
      <c r="H1313" s="192"/>
      <c r="I1313" s="192"/>
      <c r="J1313" s="192"/>
      <c r="K1313" s="82"/>
      <c r="L1313" s="319" t="s">
        <v>319</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2" thickBot="1" x14ac:dyDescent="0.35">
      <c r="A1314" s="88"/>
      <c r="B1314" s="319" t="s">
        <v>320</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3">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 thickBot="1" x14ac:dyDescent="0.35">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5">
      <c r="A1317" s="88"/>
      <c r="B1317" s="85" t="s">
        <v>439</v>
      </c>
      <c r="C1317" s="25"/>
      <c r="D1317" s="25"/>
      <c r="E1317" s="25"/>
      <c r="F1317" s="88"/>
      <c r="G1317" s="25"/>
      <c r="H1317" s="25"/>
      <c r="I1317" s="87"/>
      <c r="J1317" s="26"/>
      <c r="K1317" s="25"/>
      <c r="L1317" s="25"/>
      <c r="M1317" s="196" t="s">
        <v>217</v>
      </c>
      <c r="N1317" s="196" t="s">
        <v>218</v>
      </c>
      <c r="O1317" s="196" t="s">
        <v>219</v>
      </c>
      <c r="P1317" s="196" t="s">
        <v>220</v>
      </c>
      <c r="Q1317" s="196" t="s">
        <v>221</v>
      </c>
      <c r="R1317" s="196" t="s">
        <v>222</v>
      </c>
      <c r="S1317" s="196" t="s">
        <v>223</v>
      </c>
      <c r="T1317" s="196" t="s">
        <v>224</v>
      </c>
      <c r="U1317" s="196" t="s">
        <v>225</v>
      </c>
      <c r="V1317" s="196" t="s">
        <v>226</v>
      </c>
      <c r="W1317" s="113" t="s">
        <v>227</v>
      </c>
      <c r="X1317" s="196" t="s">
        <v>228</v>
      </c>
      <c r="Y1317" s="25"/>
      <c r="Z1317" s="25"/>
      <c r="AA1317" s="25"/>
      <c r="AB1317" s="25"/>
      <c r="AC1317" s="25"/>
      <c r="AD1317" s="25"/>
      <c r="BA1317" s="226"/>
    </row>
    <row r="1318" spans="1:53" ht="15.6" thickTop="1" thickBot="1" x14ac:dyDescent="0.35">
      <c r="A1318" s="88"/>
      <c r="B1318" s="312" t="s">
        <v>229</v>
      </c>
      <c r="C1318" s="313"/>
      <c r="D1318" s="314" t="s">
        <v>230</v>
      </c>
      <c r="E1318" s="305"/>
      <c r="F1318" s="88"/>
      <c r="G1318" s="315" t="s">
        <v>231</v>
      </c>
      <c r="H1318" s="316"/>
      <c r="I1318" s="28">
        <f>SUM(E1329:E1353)</f>
        <v>0</v>
      </c>
      <c r="J1318" s="317" t="s">
        <v>232</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233</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234</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5">
      <c r="A1319" s="88"/>
      <c r="B1319" s="29" t="s">
        <v>235</v>
      </c>
      <c r="C1319" s="30">
        <v>0</v>
      </c>
      <c r="D1319" s="31" t="s">
        <v>236</v>
      </c>
      <c r="E1319" s="66" t="str">
        <f>TEXT(IF('Cable Calculator'!FH7="","",'Cable Calculator'!FH7),)</f>
        <v/>
      </c>
      <c r="F1319" s="88"/>
      <c r="G1319" s="304" t="s">
        <v>237</v>
      </c>
      <c r="H1319" s="305"/>
      <c r="I1319" s="33">
        <f>E1320-I1318</f>
        <v>0</v>
      </c>
      <c r="J1319" s="289" t="s">
        <v>238</v>
      </c>
      <c r="K1319" s="290"/>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239</v>
      </c>
      <c r="AA1319" s="300" t="s">
        <v>240</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241</v>
      </c>
      <c r="AU1319" s="109">
        <f>COUNTIFS($E1319,"SS",$AS1319,"Y")</f>
        <v>0</v>
      </c>
      <c r="AV1319" s="111">
        <f>COUNTIFS($E1319,"RPX",$AS1319,"Y")</f>
        <v>0</v>
      </c>
      <c r="AW1319" s="111">
        <f>COUNTIFS($E1319,"EUC",$AS1319,"Y")</f>
        <v>0</v>
      </c>
      <c r="AX1319" s="109">
        <f>COUNTIFS($E1319,"RPX-T",$AS1319,"Y")</f>
        <v>0</v>
      </c>
      <c r="BA1319" s="227"/>
    </row>
    <row r="1320" spans="1:53" ht="15.6" thickTop="1" thickBot="1" x14ac:dyDescent="0.35">
      <c r="A1320" s="88"/>
      <c r="B1320" s="36" t="s">
        <v>242</v>
      </c>
      <c r="C1320" s="37">
        <v>0</v>
      </c>
      <c r="D1320" s="38" t="s">
        <v>243</v>
      </c>
      <c r="E1320" s="32"/>
      <c r="F1320" s="88"/>
      <c r="G1320" s="291" t="s">
        <v>244</v>
      </c>
      <c r="H1320" s="292"/>
      <c r="I1320" s="35">
        <f>IF(E1320=0,0,12-(MOD(I1318,12)))</f>
        <v>0</v>
      </c>
      <c r="J1320" s="289" t="s">
        <v>245</v>
      </c>
      <c r="K1320" s="290"/>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246</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5">
      <c r="A1321" s="88"/>
      <c r="B1321" s="40" t="s">
        <v>247</v>
      </c>
      <c r="C1321" s="30">
        <v>0</v>
      </c>
      <c r="D1321" s="41" t="s">
        <v>248</v>
      </c>
      <c r="E1321" s="42"/>
      <c r="F1321" s="88"/>
      <c r="G1321" s="321" t="s">
        <v>249</v>
      </c>
      <c r="H1321" s="43" t="s">
        <v>250</v>
      </c>
      <c r="I1321" s="35">
        <f>IF(E1321&lt;&gt;0,1,0)</f>
        <v>0</v>
      </c>
      <c r="J1321" s="291" t="s">
        <v>251</v>
      </c>
      <c r="K1321" s="29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252</v>
      </c>
      <c r="AU1321" s="109">
        <f>COUNTIFS($E1319,"SS",$AS1321,"Y")</f>
        <v>0</v>
      </c>
      <c r="AV1321" s="108">
        <f>COUNTIFS($E1319,"RPX",$AS1321,"Y")</f>
        <v>0</v>
      </c>
      <c r="AW1321" s="108">
        <f>COUNTIFS($E1319,"EUC",$AS1321,"Y")</f>
        <v>0</v>
      </c>
      <c r="AX1321" s="109">
        <f>COUNTIFS($E1319,"RPX-T",$AS1321,"Y")</f>
        <v>0</v>
      </c>
      <c r="BA1321" s="227"/>
    </row>
    <row r="1322" spans="1:53" ht="15.6" thickTop="1" thickBot="1" x14ac:dyDescent="0.35">
      <c r="A1322" s="88"/>
      <c r="B1322" s="29" t="s">
        <v>253</v>
      </c>
      <c r="C1322" s="37">
        <v>0</v>
      </c>
      <c r="D1322" s="41" t="s">
        <v>254</v>
      </c>
      <c r="E1322" s="42"/>
      <c r="F1322" s="88"/>
      <c r="G1322" s="322"/>
      <c r="H1322" s="47" t="s">
        <v>255</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5">
      <c r="A1323" s="88"/>
      <c r="B1323" s="36" t="s">
        <v>256</v>
      </c>
      <c r="C1323" s="30">
        <v>0</v>
      </c>
      <c r="D1323" s="49" t="s">
        <v>257</v>
      </c>
      <c r="E1323" s="50">
        <f>E1320/12</f>
        <v>0</v>
      </c>
      <c r="F1323" s="88"/>
      <c r="G1323" s="321" t="s">
        <v>258</v>
      </c>
      <c r="H1323" s="51" t="s">
        <v>259</v>
      </c>
      <c r="I1323" s="112">
        <f>E1322</f>
        <v>0</v>
      </c>
      <c r="J1323" s="323" t="s">
        <v>260</v>
      </c>
      <c r="K1323" s="324"/>
      <c r="L1323" s="325"/>
      <c r="M1323" s="52" t="s">
        <v>261</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5.6" thickTop="1" thickBot="1" x14ac:dyDescent="0.35">
      <c r="A1324" s="88"/>
      <c r="B1324" s="36" t="s">
        <v>262</v>
      </c>
      <c r="C1324" s="30">
        <v>0</v>
      </c>
      <c r="D1324" s="31" t="s">
        <v>263</v>
      </c>
      <c r="E1324" s="101" t="str">
        <f>IF('Cable Calculator'!FH5="","",'Cable Calculator'!FH5)</f>
        <v/>
      </c>
      <c r="F1324" s="88"/>
      <c r="G1324" s="322"/>
      <c r="H1324" s="47" t="s">
        <v>264</v>
      </c>
      <c r="I1324" s="35" t="str">
        <f>IF(E1322="","0",IF(AND(E1319="EUC",E1320=432), I1323+(203-E1321),IF(E1322=0,0,(E1322+(E1320-E1321)-1))))</f>
        <v>0</v>
      </c>
      <c r="J1324" s="286" t="str">
        <f>IFERROR(IF(OR(E1319="EUC",E1319="SS"),"---",IF(OR(P1318,S1318),"NO 2F Tethers for RPX!",IF(OR(P1320,S1320),"NO 6F Tethers for RPX!","---"))),"---")</f>
        <v>---</v>
      </c>
      <c r="K1324" s="287"/>
      <c r="L1324" s="288"/>
      <c r="M1324" s="286" t="str">
        <f>IF(E1321&gt;60,"Dead Count &gt;60: Consider Downsize","---")</f>
        <v>---</v>
      </c>
      <c r="N1324" s="287"/>
      <c r="O1324" s="287"/>
      <c r="P1324" s="287"/>
      <c r="Q1324" s="287"/>
      <c r="R1324" s="287"/>
      <c r="S1324" s="287"/>
      <c r="T1324" s="287"/>
      <c r="U1324" s="288"/>
      <c r="V1324" s="100"/>
      <c r="W1324" s="54">
        <f>SUM(P1324:U1324)</f>
        <v>0</v>
      </c>
      <c r="X1324" s="54"/>
      <c r="Y1324" s="25"/>
      <c r="Z1324" s="45">
        <v>4</v>
      </c>
      <c r="AA1324" s="46">
        <v>37</v>
      </c>
      <c r="AB1324" s="46">
        <v>48</v>
      </c>
      <c r="AC1324" s="25"/>
      <c r="AD1324" s="25"/>
      <c r="BA1324" s="227"/>
    </row>
    <row r="1325" spans="1:53" ht="15.6" thickTop="1" thickBot="1" x14ac:dyDescent="0.35">
      <c r="A1325" s="88"/>
      <c r="B1325" s="55" t="s">
        <v>265</v>
      </c>
      <c r="C1325" s="56">
        <f>SUM(C1319:C1324)+I1318</f>
        <v>0</v>
      </c>
      <c r="D1325" s="31" t="s">
        <v>266</v>
      </c>
      <c r="E1325" s="101" t="str">
        <f>IF(AS1319="Y","DBL",IF(AS1320="Y","TRPL",IF(AS1321="Y","QUAD","")))</f>
        <v/>
      </c>
      <c r="F1325" s="88"/>
      <c r="G1325" s="192"/>
      <c r="H1325" s="57"/>
      <c r="I1325" s="192"/>
      <c r="J1325" s="286"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7"/>
      <c r="L1325" s="288"/>
      <c r="M1325" s="286" t="str">
        <f>IF(AND(OR(E1319="SS",E1319="RPX",E1319="EUC",E1319="RPX-T"),(OR(C1329="",C1329="Field SPL"))),"Cannot have FlexNap cables without tethers","---")</f>
        <v>---</v>
      </c>
      <c r="N1325" s="287"/>
      <c r="O1325" s="287"/>
      <c r="P1325" s="287"/>
      <c r="Q1325" s="287"/>
      <c r="R1325" s="287"/>
      <c r="S1325" s="287"/>
      <c r="T1325" s="287"/>
      <c r="U1325" s="288"/>
      <c r="V1325" s="25"/>
      <c r="W1325" s="58"/>
      <c r="X1325" s="58"/>
      <c r="Y1325" s="25"/>
      <c r="Z1325" s="45">
        <v>5</v>
      </c>
      <c r="AA1325" s="46">
        <v>49</v>
      </c>
      <c r="AB1325" s="46">
        <v>60</v>
      </c>
      <c r="AC1325" s="25"/>
      <c r="AD1325" s="25"/>
      <c r="BA1325" s="227"/>
    </row>
    <row r="1326" spans="1:53" ht="15.6" thickTop="1" thickBot="1" x14ac:dyDescent="0.35">
      <c r="A1326" s="88"/>
      <c r="B1326" s="59"/>
      <c r="C1326" s="60"/>
      <c r="D1326" s="61"/>
      <c r="E1326" s="62"/>
      <c r="F1326" s="88"/>
      <c r="G1326" s="63"/>
      <c r="H1326" s="64"/>
      <c r="I1326" s="63"/>
      <c r="J1326" s="286" t="str">
        <f>IF(AND(OR(E1319="RPX", E1319="RPX-T", E1319="SS"),E1320=216),"NO 216 For RPX, RPX-T, OR SS CABLE","---")</f>
        <v>---</v>
      </c>
      <c r="K1326" s="287"/>
      <c r="L1326" s="288"/>
      <c r="M1326" s="286" t="str" cm="1">
        <f t="array" ref="M1326">IF(AND(E1319="",OR(C1329:C1353="FST",C1329:C1353="REV T",C1329:C1353="DBL REV",C1329:C1353="TPL REV", C1329:C1353="QD REV")),"Non-FlexNap cables cannot have tethers","---")</f>
        <v>---</v>
      </c>
      <c r="N1326" s="287"/>
      <c r="O1326" s="287"/>
      <c r="P1326" s="287"/>
      <c r="Q1326" s="287"/>
      <c r="R1326" s="287"/>
      <c r="S1326" s="287"/>
      <c r="T1326" s="287"/>
      <c r="U1326" s="288"/>
      <c r="V1326" s="25"/>
      <c r="W1326" s="58"/>
      <c r="X1326" s="58"/>
      <c r="Y1326" s="25"/>
      <c r="Z1326" s="45">
        <v>6</v>
      </c>
      <c r="AA1326" s="65">
        <v>61</v>
      </c>
      <c r="AB1326" s="65">
        <v>72</v>
      </c>
      <c r="AC1326" s="25"/>
      <c r="AD1326" s="25"/>
      <c r="BA1326" s="226"/>
    </row>
    <row r="1327" spans="1:53" ht="15.75" customHeight="1" thickBot="1" x14ac:dyDescent="0.35">
      <c r="A1327" s="88"/>
      <c r="B1327" s="321" t="s">
        <v>267</v>
      </c>
      <c r="C1327" s="293" t="s">
        <v>268</v>
      </c>
      <c r="D1327" s="293" t="s">
        <v>269</v>
      </c>
      <c r="E1327" s="306" t="s">
        <v>270</v>
      </c>
      <c r="F1327" s="293" t="s">
        <v>271</v>
      </c>
      <c r="G1327" s="308" t="s">
        <v>272</v>
      </c>
      <c r="H1327" s="308" t="s">
        <v>273</v>
      </c>
      <c r="I1327" s="308" t="s">
        <v>274</v>
      </c>
      <c r="J1327" s="310" t="s">
        <v>275</v>
      </c>
      <c r="K1327" s="293" t="s">
        <v>276</v>
      </c>
      <c r="L1327" s="280" t="s">
        <v>277</v>
      </c>
      <c r="M1327" s="282" t="s">
        <v>278</v>
      </c>
      <c r="N1327" s="282"/>
      <c r="O1327" s="282"/>
      <c r="P1327" s="282"/>
      <c r="Q1327" s="282"/>
      <c r="R1327" s="282"/>
      <c r="S1327" s="282"/>
      <c r="T1327" s="282"/>
      <c r="U1327" s="283"/>
      <c r="V1327" s="107"/>
      <c r="W1327" s="72"/>
      <c r="X1327" s="72"/>
      <c r="Y1327" s="72"/>
      <c r="Z1327" s="45">
        <v>7</v>
      </c>
      <c r="AA1327" s="65">
        <v>73</v>
      </c>
      <c r="AB1327" s="65">
        <v>84</v>
      </c>
      <c r="AC1327" s="25"/>
      <c r="AD1327" s="25"/>
      <c r="BA1327" s="228"/>
    </row>
    <row r="1328" spans="1:53" ht="15" thickBot="1" x14ac:dyDescent="0.35">
      <c r="A1328" s="88"/>
      <c r="B1328" s="322"/>
      <c r="C1328" s="294"/>
      <c r="D1328" s="294"/>
      <c r="E1328" s="307"/>
      <c r="F1328" s="294"/>
      <c r="G1328" s="309"/>
      <c r="H1328" s="309"/>
      <c r="I1328" s="309"/>
      <c r="J1328" s="311"/>
      <c r="K1328" s="294"/>
      <c r="L1328" s="281"/>
      <c r="M1328" s="284"/>
      <c r="N1328" s="284"/>
      <c r="O1328" s="284"/>
      <c r="P1328" s="284"/>
      <c r="Q1328" s="284"/>
      <c r="R1328" s="284"/>
      <c r="S1328" s="284"/>
      <c r="T1328" s="284"/>
      <c r="U1328" s="285"/>
      <c r="V1328" s="107"/>
      <c r="W1328" s="72"/>
      <c r="X1328" s="72"/>
      <c r="Y1328" s="72"/>
      <c r="Z1328" s="45">
        <v>8</v>
      </c>
      <c r="AA1328" s="46">
        <v>85</v>
      </c>
      <c r="AB1328" s="46">
        <v>96</v>
      </c>
      <c r="AC1328" s="25"/>
      <c r="AD1328" s="25"/>
      <c r="AI1328" s="109" t="s">
        <v>279</v>
      </c>
      <c r="AJ1328" s="109" t="s">
        <v>280</v>
      </c>
      <c r="AK1328" s="109" t="s">
        <v>281</v>
      </c>
      <c r="AL1328" s="109" t="s">
        <v>282</v>
      </c>
      <c r="BA1328" s="228"/>
    </row>
    <row r="1329" spans="1:53" ht="15" thickBot="1" x14ac:dyDescent="0.35">
      <c r="A1329" s="88"/>
      <c r="B1329" s="66" t="s">
        <v>283</v>
      </c>
      <c r="C1329" s="67"/>
      <c r="D1329" s="102"/>
      <c r="E1329" s="32"/>
      <c r="F1329" s="32"/>
      <c r="G1329" s="68" t="s">
        <v>285</v>
      </c>
      <c r="H1329" s="69">
        <f>IF(I1329=0,0,I1329-(E1329-1))</f>
        <v>0</v>
      </c>
      <c r="I1329" s="70">
        <f>IF(E1329=0,0,I1324)</f>
        <v>0</v>
      </c>
      <c r="J1329" s="71" t="s">
        <v>286</v>
      </c>
      <c r="K1329" s="32"/>
      <c r="L1329" s="233"/>
      <c r="M1329" s="278"/>
      <c r="N1329" s="278"/>
      <c r="O1329" s="278"/>
      <c r="P1329" s="278"/>
      <c r="Q1329" s="278"/>
      <c r="R1329" s="278"/>
      <c r="S1329" s="278"/>
      <c r="T1329" s="278"/>
      <c r="U1329" s="27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 thickBot="1" x14ac:dyDescent="0.35">
      <c r="A1330" s="88"/>
      <c r="B1330" s="66" t="s">
        <v>288</v>
      </c>
      <c r="C1330" s="67"/>
      <c r="D1330" s="102"/>
      <c r="E1330" s="32"/>
      <c r="F1330" s="32"/>
      <c r="G1330" s="68" t="s">
        <v>285</v>
      </c>
      <c r="H1330" s="69">
        <f t="shared" ref="H1330:H1353" si="553">IF(E1330=0,0,I1330-(E1330-1))</f>
        <v>0</v>
      </c>
      <c r="I1330" s="70">
        <f t="shared" ref="I1330:I1353" si="554">IF(E1330=0,0,H1329-1)</f>
        <v>0</v>
      </c>
      <c r="J1330" s="73" t="str">
        <f>IF(C1330="","--",IF(AND(C1330&lt;&gt;"FST",C1330&lt;&gt;"TCF",BA1329&lt;&gt;0),BA1329,"--"))</f>
        <v>--</v>
      </c>
      <c r="K1330" s="32"/>
      <c r="L1330" s="233"/>
      <c r="M1330" s="278"/>
      <c r="N1330" s="278"/>
      <c r="O1330" s="278"/>
      <c r="P1330" s="278"/>
      <c r="Q1330" s="278"/>
      <c r="R1330" s="278"/>
      <c r="S1330" s="278"/>
      <c r="T1330" s="278"/>
      <c r="U1330" s="27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 thickBot="1" x14ac:dyDescent="0.35">
      <c r="A1331" s="88"/>
      <c r="B1331" s="74" t="s">
        <v>290</v>
      </c>
      <c r="C1331" s="67"/>
      <c r="D1331" s="102"/>
      <c r="E1331" s="32"/>
      <c r="F1331" s="32"/>
      <c r="G1331" s="75" t="s">
        <v>285</v>
      </c>
      <c r="H1331" s="69">
        <f t="shared" si="553"/>
        <v>0</v>
      </c>
      <c r="I1331" s="70">
        <f t="shared" si="554"/>
        <v>0</v>
      </c>
      <c r="J1331" s="73" t="str">
        <f t="shared" ref="J1331:J1353" si="555">IF(C1331="","--",IF(AND(C1331&lt;&gt;"FST",C1331&lt;&gt;"TCF",BA1330&lt;&gt;0),BA1330,"--"))</f>
        <v>--</v>
      </c>
      <c r="K1331" s="32"/>
      <c r="L1331" s="233"/>
      <c r="M1331" s="278"/>
      <c r="N1331" s="278"/>
      <c r="O1331" s="278"/>
      <c r="P1331" s="278"/>
      <c r="Q1331" s="278"/>
      <c r="R1331" s="278"/>
      <c r="S1331" s="278"/>
      <c r="T1331" s="278"/>
      <c r="U1331" s="27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 thickBot="1" x14ac:dyDescent="0.35">
      <c r="A1332" s="88"/>
      <c r="B1332" s="66" t="s">
        <v>292</v>
      </c>
      <c r="C1332" s="67"/>
      <c r="D1332" s="102"/>
      <c r="E1332" s="32"/>
      <c r="F1332" s="32"/>
      <c r="G1332" s="68" t="s">
        <v>285</v>
      </c>
      <c r="H1332" s="69">
        <f t="shared" si="553"/>
        <v>0</v>
      </c>
      <c r="I1332" s="70">
        <f t="shared" si="554"/>
        <v>0</v>
      </c>
      <c r="J1332" s="73" t="str">
        <f t="shared" si="555"/>
        <v>--</v>
      </c>
      <c r="K1332" s="32"/>
      <c r="L1332" s="233"/>
      <c r="M1332" s="278"/>
      <c r="N1332" s="278"/>
      <c r="O1332" s="278"/>
      <c r="P1332" s="278"/>
      <c r="Q1332" s="278"/>
      <c r="R1332" s="278"/>
      <c r="S1332" s="278"/>
      <c r="T1332" s="278"/>
      <c r="U1332" s="27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 thickBot="1" x14ac:dyDescent="0.35">
      <c r="A1333" s="88"/>
      <c r="B1333" s="66" t="s">
        <v>293</v>
      </c>
      <c r="C1333" s="67"/>
      <c r="D1333" s="102"/>
      <c r="E1333" s="32"/>
      <c r="F1333" s="32"/>
      <c r="G1333" s="68" t="s">
        <v>285</v>
      </c>
      <c r="H1333" s="69">
        <f t="shared" si="553"/>
        <v>0</v>
      </c>
      <c r="I1333" s="70">
        <f t="shared" si="554"/>
        <v>0</v>
      </c>
      <c r="J1333" s="73" t="str">
        <f t="shared" si="555"/>
        <v>--</v>
      </c>
      <c r="K1333" s="32"/>
      <c r="L1333" s="233"/>
      <c r="M1333" s="278"/>
      <c r="N1333" s="278"/>
      <c r="O1333" s="278"/>
      <c r="P1333" s="278"/>
      <c r="Q1333" s="278"/>
      <c r="R1333" s="278"/>
      <c r="S1333" s="278"/>
      <c r="T1333" s="278"/>
      <c r="U1333" s="27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 thickBot="1" x14ac:dyDescent="0.35">
      <c r="A1334" s="88"/>
      <c r="B1334" s="66" t="s">
        <v>294</v>
      </c>
      <c r="C1334" s="67"/>
      <c r="D1334" s="102"/>
      <c r="E1334" s="32"/>
      <c r="F1334" s="32"/>
      <c r="G1334" s="68" t="s">
        <v>285</v>
      </c>
      <c r="H1334" s="69">
        <f t="shared" si="553"/>
        <v>0</v>
      </c>
      <c r="I1334" s="70">
        <f t="shared" si="554"/>
        <v>0</v>
      </c>
      <c r="J1334" s="73" t="str">
        <f t="shared" si="555"/>
        <v>--</v>
      </c>
      <c r="K1334" s="32"/>
      <c r="L1334" s="233"/>
      <c r="M1334" s="278"/>
      <c r="N1334" s="278"/>
      <c r="O1334" s="278"/>
      <c r="P1334" s="278"/>
      <c r="Q1334" s="278"/>
      <c r="R1334" s="278"/>
      <c r="S1334" s="278"/>
      <c r="T1334" s="278"/>
      <c r="U1334" s="27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 thickBot="1" x14ac:dyDescent="0.35">
      <c r="A1335" s="88"/>
      <c r="B1335" s="66" t="s">
        <v>295</v>
      </c>
      <c r="C1335" s="67"/>
      <c r="D1335" s="102"/>
      <c r="E1335" s="32"/>
      <c r="F1335" s="32"/>
      <c r="G1335" s="68" t="s">
        <v>285</v>
      </c>
      <c r="H1335" s="69">
        <f t="shared" si="553"/>
        <v>0</v>
      </c>
      <c r="I1335" s="70">
        <f t="shared" si="554"/>
        <v>0</v>
      </c>
      <c r="J1335" s="73" t="str">
        <f t="shared" si="555"/>
        <v>--</v>
      </c>
      <c r="K1335" s="32"/>
      <c r="L1335" s="233"/>
      <c r="M1335" s="278"/>
      <c r="N1335" s="278"/>
      <c r="O1335" s="278"/>
      <c r="P1335" s="278"/>
      <c r="Q1335" s="278"/>
      <c r="R1335" s="278"/>
      <c r="S1335" s="278"/>
      <c r="T1335" s="278"/>
      <c r="U1335" s="27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 thickBot="1" x14ac:dyDescent="0.35">
      <c r="A1336" s="88"/>
      <c r="B1336" s="66" t="s">
        <v>296</v>
      </c>
      <c r="C1336" s="67"/>
      <c r="D1336" s="102"/>
      <c r="E1336" s="32"/>
      <c r="F1336" s="32"/>
      <c r="G1336" s="68" t="s">
        <v>285</v>
      </c>
      <c r="H1336" s="69">
        <f t="shared" si="553"/>
        <v>0</v>
      </c>
      <c r="I1336" s="70">
        <f t="shared" si="554"/>
        <v>0</v>
      </c>
      <c r="J1336" s="73" t="str">
        <f t="shared" si="555"/>
        <v>--</v>
      </c>
      <c r="K1336" s="32"/>
      <c r="L1336" s="233"/>
      <c r="M1336" s="278"/>
      <c r="N1336" s="278"/>
      <c r="O1336" s="278"/>
      <c r="P1336" s="278"/>
      <c r="Q1336" s="278"/>
      <c r="R1336" s="278"/>
      <c r="S1336" s="278"/>
      <c r="T1336" s="278"/>
      <c r="U1336" s="27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 thickBot="1" x14ac:dyDescent="0.35">
      <c r="A1337" s="88"/>
      <c r="B1337" s="66" t="s">
        <v>297</v>
      </c>
      <c r="C1337" s="67"/>
      <c r="D1337" s="102"/>
      <c r="E1337" s="32"/>
      <c r="F1337" s="32"/>
      <c r="G1337" s="68" t="s">
        <v>285</v>
      </c>
      <c r="H1337" s="69">
        <f t="shared" si="553"/>
        <v>0</v>
      </c>
      <c r="I1337" s="70">
        <f t="shared" si="554"/>
        <v>0</v>
      </c>
      <c r="J1337" s="73" t="str">
        <f t="shared" si="555"/>
        <v>--</v>
      </c>
      <c r="K1337" s="32"/>
      <c r="L1337" s="233"/>
      <c r="M1337" s="278"/>
      <c r="N1337" s="278"/>
      <c r="O1337" s="278"/>
      <c r="P1337" s="278"/>
      <c r="Q1337" s="278"/>
      <c r="R1337" s="278"/>
      <c r="S1337" s="278"/>
      <c r="T1337" s="278"/>
      <c r="U1337" s="27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 thickBot="1" x14ac:dyDescent="0.35">
      <c r="A1338" s="88"/>
      <c r="B1338" s="66" t="s">
        <v>298</v>
      </c>
      <c r="C1338" s="67"/>
      <c r="D1338" s="102"/>
      <c r="E1338" s="32"/>
      <c r="F1338" s="32"/>
      <c r="G1338" s="68" t="s">
        <v>285</v>
      </c>
      <c r="H1338" s="69">
        <f t="shared" si="553"/>
        <v>0</v>
      </c>
      <c r="I1338" s="70">
        <f t="shared" si="554"/>
        <v>0</v>
      </c>
      <c r="J1338" s="73" t="str">
        <f t="shared" si="555"/>
        <v>--</v>
      </c>
      <c r="K1338" s="32"/>
      <c r="L1338" s="233"/>
      <c r="M1338" s="278"/>
      <c r="N1338" s="278"/>
      <c r="O1338" s="278"/>
      <c r="P1338" s="278"/>
      <c r="Q1338" s="278"/>
      <c r="R1338" s="278"/>
      <c r="S1338" s="278"/>
      <c r="T1338" s="278"/>
      <c r="U1338" s="27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 thickBot="1" x14ac:dyDescent="0.35">
      <c r="A1339" s="88"/>
      <c r="B1339" s="66" t="s">
        <v>299</v>
      </c>
      <c r="C1339" s="67"/>
      <c r="D1339" s="102"/>
      <c r="E1339" s="32"/>
      <c r="F1339" s="32"/>
      <c r="G1339" s="68" t="s">
        <v>285</v>
      </c>
      <c r="H1339" s="69">
        <f t="shared" si="553"/>
        <v>0</v>
      </c>
      <c r="I1339" s="70">
        <f t="shared" si="554"/>
        <v>0</v>
      </c>
      <c r="J1339" s="73" t="str">
        <f t="shared" si="555"/>
        <v>--</v>
      </c>
      <c r="K1339" s="32"/>
      <c r="L1339" s="233"/>
      <c r="M1339" s="278"/>
      <c r="N1339" s="278"/>
      <c r="O1339" s="278"/>
      <c r="P1339" s="278"/>
      <c r="Q1339" s="278"/>
      <c r="R1339" s="278"/>
      <c r="S1339" s="278"/>
      <c r="T1339" s="278"/>
      <c r="U1339" s="27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 thickBot="1" x14ac:dyDescent="0.35">
      <c r="A1340" s="88"/>
      <c r="B1340" s="66" t="s">
        <v>300</v>
      </c>
      <c r="C1340" s="67"/>
      <c r="D1340" s="102"/>
      <c r="E1340" s="32"/>
      <c r="F1340" s="32"/>
      <c r="G1340" s="68" t="s">
        <v>285</v>
      </c>
      <c r="H1340" s="69">
        <f t="shared" si="553"/>
        <v>0</v>
      </c>
      <c r="I1340" s="70">
        <f t="shared" si="554"/>
        <v>0</v>
      </c>
      <c r="J1340" s="73" t="str">
        <f t="shared" si="555"/>
        <v>--</v>
      </c>
      <c r="K1340" s="32"/>
      <c r="L1340" s="233"/>
      <c r="M1340" s="278"/>
      <c r="N1340" s="278"/>
      <c r="O1340" s="278"/>
      <c r="P1340" s="278"/>
      <c r="Q1340" s="278"/>
      <c r="R1340" s="278"/>
      <c r="S1340" s="278"/>
      <c r="T1340" s="278"/>
      <c r="U1340" s="27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 thickBot="1" x14ac:dyDescent="0.35">
      <c r="A1341" s="88"/>
      <c r="B1341" s="66" t="s">
        <v>301</v>
      </c>
      <c r="C1341" s="67"/>
      <c r="D1341" s="102"/>
      <c r="E1341" s="32"/>
      <c r="F1341" s="32"/>
      <c r="G1341" s="68" t="s">
        <v>285</v>
      </c>
      <c r="H1341" s="69">
        <f t="shared" si="553"/>
        <v>0</v>
      </c>
      <c r="I1341" s="70">
        <f t="shared" si="554"/>
        <v>0</v>
      </c>
      <c r="J1341" s="73" t="str">
        <f t="shared" si="555"/>
        <v>--</v>
      </c>
      <c r="K1341" s="32"/>
      <c r="L1341" s="233"/>
      <c r="M1341" s="278"/>
      <c r="N1341" s="278"/>
      <c r="O1341" s="278"/>
      <c r="P1341" s="278"/>
      <c r="Q1341" s="278"/>
      <c r="R1341" s="278"/>
      <c r="S1341" s="278"/>
      <c r="T1341" s="278"/>
      <c r="U1341" s="27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 thickBot="1" x14ac:dyDescent="0.35">
      <c r="A1342" s="88"/>
      <c r="B1342" s="66" t="s">
        <v>302</v>
      </c>
      <c r="C1342" s="67"/>
      <c r="D1342" s="102"/>
      <c r="E1342" s="32"/>
      <c r="F1342" s="32"/>
      <c r="G1342" s="68" t="s">
        <v>285</v>
      </c>
      <c r="H1342" s="69">
        <f t="shared" si="553"/>
        <v>0</v>
      </c>
      <c r="I1342" s="70">
        <f t="shared" si="554"/>
        <v>0</v>
      </c>
      <c r="J1342" s="73" t="str">
        <f t="shared" si="555"/>
        <v>--</v>
      </c>
      <c r="K1342" s="32"/>
      <c r="L1342" s="233"/>
      <c r="M1342" s="278"/>
      <c r="N1342" s="278"/>
      <c r="O1342" s="278"/>
      <c r="P1342" s="278"/>
      <c r="Q1342" s="278"/>
      <c r="R1342" s="278"/>
      <c r="S1342" s="278"/>
      <c r="T1342" s="278"/>
      <c r="U1342" s="27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 thickBot="1" x14ac:dyDescent="0.35">
      <c r="A1343" s="88"/>
      <c r="B1343" s="66" t="s">
        <v>303</v>
      </c>
      <c r="C1343" s="67"/>
      <c r="D1343" s="102"/>
      <c r="E1343" s="32"/>
      <c r="F1343" s="32"/>
      <c r="G1343" s="68" t="s">
        <v>285</v>
      </c>
      <c r="H1343" s="69">
        <f t="shared" si="553"/>
        <v>0</v>
      </c>
      <c r="I1343" s="70">
        <f t="shared" si="554"/>
        <v>0</v>
      </c>
      <c r="J1343" s="73" t="str">
        <f t="shared" si="555"/>
        <v>--</v>
      </c>
      <c r="K1343" s="32"/>
      <c r="L1343" s="233"/>
      <c r="M1343" s="278"/>
      <c r="N1343" s="278"/>
      <c r="O1343" s="278"/>
      <c r="P1343" s="278"/>
      <c r="Q1343" s="278"/>
      <c r="R1343" s="278"/>
      <c r="S1343" s="278"/>
      <c r="T1343" s="278"/>
      <c r="U1343" s="27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 thickBot="1" x14ac:dyDescent="0.35">
      <c r="A1344" s="88"/>
      <c r="B1344" s="66" t="s">
        <v>304</v>
      </c>
      <c r="C1344" s="67"/>
      <c r="D1344" s="102"/>
      <c r="E1344" s="32"/>
      <c r="F1344" s="32"/>
      <c r="G1344" s="68" t="s">
        <v>285</v>
      </c>
      <c r="H1344" s="69">
        <f t="shared" si="553"/>
        <v>0</v>
      </c>
      <c r="I1344" s="70">
        <f t="shared" si="554"/>
        <v>0</v>
      </c>
      <c r="J1344" s="73" t="str">
        <f t="shared" si="555"/>
        <v>--</v>
      </c>
      <c r="K1344" s="32"/>
      <c r="L1344" s="233"/>
      <c r="M1344" s="278"/>
      <c r="N1344" s="278"/>
      <c r="O1344" s="278"/>
      <c r="P1344" s="278"/>
      <c r="Q1344" s="278"/>
      <c r="R1344" s="278"/>
      <c r="S1344" s="278"/>
      <c r="T1344" s="278"/>
      <c r="U1344" s="27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 thickBot="1" x14ac:dyDescent="0.35">
      <c r="A1345" s="88"/>
      <c r="B1345" s="66" t="s">
        <v>305</v>
      </c>
      <c r="C1345" s="67"/>
      <c r="D1345" s="102"/>
      <c r="E1345" s="32"/>
      <c r="F1345" s="32"/>
      <c r="G1345" s="68" t="s">
        <v>285</v>
      </c>
      <c r="H1345" s="69">
        <f t="shared" si="553"/>
        <v>0</v>
      </c>
      <c r="I1345" s="70">
        <f t="shared" si="554"/>
        <v>0</v>
      </c>
      <c r="J1345" s="73" t="str">
        <f t="shared" si="555"/>
        <v>--</v>
      </c>
      <c r="K1345" s="32"/>
      <c r="L1345" s="233"/>
      <c r="M1345" s="278"/>
      <c r="N1345" s="278"/>
      <c r="O1345" s="278"/>
      <c r="P1345" s="278"/>
      <c r="Q1345" s="278"/>
      <c r="R1345" s="278"/>
      <c r="S1345" s="278"/>
      <c r="T1345" s="278"/>
      <c r="U1345" s="27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 thickBot="1" x14ac:dyDescent="0.35">
      <c r="A1346" s="88"/>
      <c r="B1346" s="66" t="s">
        <v>306</v>
      </c>
      <c r="C1346" s="67"/>
      <c r="D1346" s="102"/>
      <c r="E1346" s="32"/>
      <c r="F1346" s="32"/>
      <c r="G1346" s="68" t="s">
        <v>285</v>
      </c>
      <c r="H1346" s="69">
        <f t="shared" si="553"/>
        <v>0</v>
      </c>
      <c r="I1346" s="70">
        <f t="shared" si="554"/>
        <v>0</v>
      </c>
      <c r="J1346" s="73" t="str">
        <f t="shared" si="555"/>
        <v>--</v>
      </c>
      <c r="K1346" s="32"/>
      <c r="L1346" s="233"/>
      <c r="M1346" s="278"/>
      <c r="N1346" s="278"/>
      <c r="O1346" s="278"/>
      <c r="P1346" s="278"/>
      <c r="Q1346" s="278"/>
      <c r="R1346" s="278"/>
      <c r="S1346" s="278"/>
      <c r="T1346" s="278"/>
      <c r="U1346" s="27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 thickBot="1" x14ac:dyDescent="0.35">
      <c r="A1347" s="88"/>
      <c r="B1347" s="66" t="s">
        <v>307</v>
      </c>
      <c r="C1347" s="67"/>
      <c r="D1347" s="102"/>
      <c r="E1347" s="32"/>
      <c r="F1347" s="32"/>
      <c r="G1347" s="68" t="s">
        <v>285</v>
      </c>
      <c r="H1347" s="69">
        <f t="shared" si="553"/>
        <v>0</v>
      </c>
      <c r="I1347" s="70">
        <f t="shared" si="554"/>
        <v>0</v>
      </c>
      <c r="J1347" s="73" t="str">
        <f t="shared" si="555"/>
        <v>--</v>
      </c>
      <c r="K1347" s="32"/>
      <c r="L1347" s="233"/>
      <c r="M1347" s="278"/>
      <c r="N1347" s="278"/>
      <c r="O1347" s="278"/>
      <c r="P1347" s="278"/>
      <c r="Q1347" s="278"/>
      <c r="R1347" s="278"/>
      <c r="S1347" s="278"/>
      <c r="T1347" s="278"/>
      <c r="U1347" s="27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 thickBot="1" x14ac:dyDescent="0.35">
      <c r="A1348" s="88"/>
      <c r="B1348" s="66" t="s">
        <v>308</v>
      </c>
      <c r="C1348" s="67"/>
      <c r="D1348" s="102"/>
      <c r="E1348" s="32"/>
      <c r="F1348" s="32"/>
      <c r="G1348" s="68" t="s">
        <v>285</v>
      </c>
      <c r="H1348" s="69">
        <f t="shared" si="553"/>
        <v>0</v>
      </c>
      <c r="I1348" s="70">
        <f t="shared" si="554"/>
        <v>0</v>
      </c>
      <c r="J1348" s="73" t="str">
        <f t="shared" si="555"/>
        <v>--</v>
      </c>
      <c r="K1348" s="32"/>
      <c r="L1348" s="233"/>
      <c r="M1348" s="278"/>
      <c r="N1348" s="278"/>
      <c r="O1348" s="278"/>
      <c r="P1348" s="278"/>
      <c r="Q1348" s="278"/>
      <c r="R1348" s="278"/>
      <c r="S1348" s="278"/>
      <c r="T1348" s="278"/>
      <c r="U1348" s="27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 thickBot="1" x14ac:dyDescent="0.35">
      <c r="A1349" s="88"/>
      <c r="B1349" s="66" t="s">
        <v>309</v>
      </c>
      <c r="C1349" s="67"/>
      <c r="D1349" s="102"/>
      <c r="E1349" s="32"/>
      <c r="F1349" s="32"/>
      <c r="G1349" s="68" t="s">
        <v>285</v>
      </c>
      <c r="H1349" s="69">
        <f t="shared" si="553"/>
        <v>0</v>
      </c>
      <c r="I1349" s="70">
        <f t="shared" si="554"/>
        <v>0</v>
      </c>
      <c r="J1349" s="73" t="str">
        <f t="shared" si="555"/>
        <v>--</v>
      </c>
      <c r="K1349" s="32"/>
      <c r="L1349" s="233"/>
      <c r="M1349" s="278"/>
      <c r="N1349" s="278"/>
      <c r="O1349" s="278"/>
      <c r="P1349" s="278"/>
      <c r="Q1349" s="278"/>
      <c r="R1349" s="278"/>
      <c r="S1349" s="278"/>
      <c r="T1349" s="278"/>
      <c r="U1349" s="27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 thickBot="1" x14ac:dyDescent="0.35">
      <c r="A1350" s="88"/>
      <c r="B1350" s="66" t="s">
        <v>310</v>
      </c>
      <c r="C1350" s="67"/>
      <c r="D1350" s="102"/>
      <c r="E1350" s="32"/>
      <c r="F1350" s="32"/>
      <c r="G1350" s="68" t="s">
        <v>285</v>
      </c>
      <c r="H1350" s="69">
        <f t="shared" si="553"/>
        <v>0</v>
      </c>
      <c r="I1350" s="70">
        <f t="shared" si="554"/>
        <v>0</v>
      </c>
      <c r="J1350" s="73" t="str">
        <f t="shared" si="555"/>
        <v>--</v>
      </c>
      <c r="K1350" s="32"/>
      <c r="L1350" s="233"/>
      <c r="M1350" s="278"/>
      <c r="N1350" s="278"/>
      <c r="O1350" s="278"/>
      <c r="P1350" s="278"/>
      <c r="Q1350" s="278"/>
      <c r="R1350" s="278"/>
      <c r="S1350" s="278"/>
      <c r="T1350" s="278"/>
      <c r="U1350" s="27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 thickBot="1" x14ac:dyDescent="0.35">
      <c r="A1351" s="88"/>
      <c r="B1351" s="66" t="s">
        <v>311</v>
      </c>
      <c r="C1351" s="67"/>
      <c r="D1351" s="102"/>
      <c r="E1351" s="32"/>
      <c r="F1351" s="32"/>
      <c r="G1351" s="68" t="s">
        <v>285</v>
      </c>
      <c r="H1351" s="69">
        <f t="shared" si="553"/>
        <v>0</v>
      </c>
      <c r="I1351" s="70">
        <f t="shared" si="554"/>
        <v>0</v>
      </c>
      <c r="J1351" s="73" t="str">
        <f t="shared" si="555"/>
        <v>--</v>
      </c>
      <c r="K1351" s="32"/>
      <c r="L1351" s="233"/>
      <c r="M1351" s="278"/>
      <c r="N1351" s="278"/>
      <c r="O1351" s="278"/>
      <c r="P1351" s="278"/>
      <c r="Q1351" s="278"/>
      <c r="R1351" s="278"/>
      <c r="S1351" s="278"/>
      <c r="T1351" s="278"/>
      <c r="U1351" s="27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 thickBot="1" x14ac:dyDescent="0.35">
      <c r="A1352" s="88"/>
      <c r="B1352" s="66" t="s">
        <v>312</v>
      </c>
      <c r="C1352" s="67"/>
      <c r="D1352" s="102"/>
      <c r="E1352" s="32"/>
      <c r="F1352" s="32"/>
      <c r="G1352" s="68" t="s">
        <v>285</v>
      </c>
      <c r="H1352" s="69">
        <f t="shared" si="553"/>
        <v>0</v>
      </c>
      <c r="I1352" s="70">
        <f t="shared" si="554"/>
        <v>0</v>
      </c>
      <c r="J1352" s="73" t="str">
        <f t="shared" si="555"/>
        <v>--</v>
      </c>
      <c r="K1352" s="32"/>
      <c r="L1352" s="233"/>
      <c r="M1352" s="278"/>
      <c r="N1352" s="278"/>
      <c r="O1352" s="278"/>
      <c r="P1352" s="278"/>
      <c r="Q1352" s="278"/>
      <c r="R1352" s="278"/>
      <c r="S1352" s="278"/>
      <c r="T1352" s="278"/>
      <c r="U1352" s="27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 thickBot="1" x14ac:dyDescent="0.35">
      <c r="A1353" s="88"/>
      <c r="B1353" s="66" t="s">
        <v>313</v>
      </c>
      <c r="C1353" s="67"/>
      <c r="D1353" s="102"/>
      <c r="E1353" s="32"/>
      <c r="F1353" s="32"/>
      <c r="G1353" s="68" t="s">
        <v>285</v>
      </c>
      <c r="H1353" s="69">
        <f t="shared" si="553"/>
        <v>0</v>
      </c>
      <c r="I1353" s="70">
        <f t="shared" si="554"/>
        <v>0</v>
      </c>
      <c r="J1353" s="73" t="str">
        <f t="shared" si="555"/>
        <v>--</v>
      </c>
      <c r="K1353" s="32"/>
      <c r="L1353" s="234"/>
      <c r="M1353" s="278"/>
      <c r="N1353" s="278"/>
      <c r="O1353" s="278"/>
      <c r="P1353" s="278"/>
      <c r="Q1353" s="278"/>
      <c r="R1353" s="278"/>
      <c r="S1353" s="278"/>
      <c r="T1353" s="278"/>
      <c r="U1353" s="27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2" thickBot="1" x14ac:dyDescent="0.35">
      <c r="A1354" s="88"/>
      <c r="B1354" s="319" t="s">
        <v>440</v>
      </c>
      <c r="C1354" s="320"/>
      <c r="D1354" s="79"/>
      <c r="E1354" s="80"/>
      <c r="F1354" s="80"/>
      <c r="G1354" s="81"/>
      <c r="H1354" s="192"/>
      <c r="I1354" s="192"/>
      <c r="J1354" s="192"/>
      <c r="K1354" s="82"/>
      <c r="L1354" s="319" t="s">
        <v>319</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2" thickBot="1" x14ac:dyDescent="0.35">
      <c r="A1355" s="88"/>
      <c r="B1355" s="319" t="s">
        <v>320</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3">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 thickBot="1" x14ac:dyDescent="0.35">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5">
      <c r="A1358" s="88"/>
      <c r="B1358" s="85" t="s">
        <v>441</v>
      </c>
      <c r="C1358" s="25"/>
      <c r="D1358" s="25"/>
      <c r="E1358" s="25"/>
      <c r="F1358" s="88"/>
      <c r="G1358" s="25"/>
      <c r="H1358" s="25"/>
      <c r="I1358" s="87"/>
      <c r="J1358" s="26"/>
      <c r="K1358" s="25"/>
      <c r="L1358" s="25"/>
      <c r="M1358" s="196" t="s">
        <v>217</v>
      </c>
      <c r="N1358" s="196" t="s">
        <v>218</v>
      </c>
      <c r="O1358" s="196" t="s">
        <v>219</v>
      </c>
      <c r="P1358" s="196" t="s">
        <v>220</v>
      </c>
      <c r="Q1358" s="196" t="s">
        <v>221</v>
      </c>
      <c r="R1358" s="196" t="s">
        <v>222</v>
      </c>
      <c r="S1358" s="196" t="s">
        <v>223</v>
      </c>
      <c r="T1358" s="196" t="s">
        <v>224</v>
      </c>
      <c r="U1358" s="196" t="s">
        <v>225</v>
      </c>
      <c r="V1358" s="196" t="s">
        <v>226</v>
      </c>
      <c r="W1358" s="113" t="s">
        <v>227</v>
      </c>
      <c r="X1358" s="196" t="s">
        <v>228</v>
      </c>
      <c r="Y1358" s="25"/>
      <c r="Z1358" s="25"/>
      <c r="AA1358" s="25"/>
      <c r="AB1358" s="25"/>
      <c r="AC1358" s="25"/>
      <c r="AD1358" s="25"/>
      <c r="BA1358" s="226"/>
    </row>
    <row r="1359" spans="1:53" ht="15.6" thickTop="1" thickBot="1" x14ac:dyDescent="0.35">
      <c r="A1359" s="88"/>
      <c r="B1359" s="312" t="s">
        <v>229</v>
      </c>
      <c r="C1359" s="313"/>
      <c r="D1359" s="314" t="s">
        <v>230</v>
      </c>
      <c r="E1359" s="305"/>
      <c r="F1359" s="88"/>
      <c r="G1359" s="315" t="s">
        <v>231</v>
      </c>
      <c r="H1359" s="316"/>
      <c r="I1359" s="28">
        <f>SUM(E1370:E1394)</f>
        <v>0</v>
      </c>
      <c r="J1359" s="317" t="s">
        <v>232</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233</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234</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5">
      <c r="A1360" s="88"/>
      <c r="B1360" s="29" t="s">
        <v>235</v>
      </c>
      <c r="C1360" s="30">
        <v>0</v>
      </c>
      <c r="D1360" s="31" t="s">
        <v>236</v>
      </c>
      <c r="E1360" s="66" t="str">
        <f>TEXT(IF('Cable Calculator'!FM7="","",'Cable Calculator'!FM7),)</f>
        <v/>
      </c>
      <c r="F1360" s="88"/>
      <c r="G1360" s="304" t="s">
        <v>237</v>
      </c>
      <c r="H1360" s="305"/>
      <c r="I1360" s="33">
        <f>E1361-I1359</f>
        <v>0</v>
      </c>
      <c r="J1360" s="289" t="s">
        <v>238</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239</v>
      </c>
      <c r="AA1360" s="300" t="s">
        <v>240</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241</v>
      </c>
      <c r="AU1360" s="109">
        <f>COUNTIFS($E1360,"SS",$AS1360,"Y")</f>
        <v>0</v>
      </c>
      <c r="AV1360" s="111">
        <f>COUNTIFS($E1360,"RPX",$AS1360,"Y")</f>
        <v>0</v>
      </c>
      <c r="AW1360" s="111">
        <f>COUNTIFS($E1360,"EUC",$AS1360,"Y")</f>
        <v>0</v>
      </c>
      <c r="AX1360" s="109">
        <f>COUNTIFS($E1360,"RPX-T",$AS1360,"Y")</f>
        <v>0</v>
      </c>
      <c r="BA1360" s="227"/>
    </row>
    <row r="1361" spans="1:53" ht="15.6" thickTop="1" thickBot="1" x14ac:dyDescent="0.35">
      <c r="A1361" s="88"/>
      <c r="B1361" s="36" t="s">
        <v>242</v>
      </c>
      <c r="C1361" s="37">
        <v>0</v>
      </c>
      <c r="D1361" s="38" t="s">
        <v>243</v>
      </c>
      <c r="E1361" s="32"/>
      <c r="F1361" s="88"/>
      <c r="G1361" s="291" t="s">
        <v>244</v>
      </c>
      <c r="H1361" s="292"/>
      <c r="I1361" s="35">
        <f>IF(E1361=0,0,12-(MOD(I1359,12)))</f>
        <v>0</v>
      </c>
      <c r="J1361" s="289" t="s">
        <v>245</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246</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5">
      <c r="A1362" s="88"/>
      <c r="B1362" s="40" t="s">
        <v>247</v>
      </c>
      <c r="C1362" s="30">
        <v>0</v>
      </c>
      <c r="D1362" s="41" t="s">
        <v>248</v>
      </c>
      <c r="E1362" s="42"/>
      <c r="F1362" s="88"/>
      <c r="G1362" s="321" t="s">
        <v>249</v>
      </c>
      <c r="H1362" s="43" t="s">
        <v>250</v>
      </c>
      <c r="I1362" s="35">
        <f>IF(E1362&lt;&gt;0,1,0)</f>
        <v>0</v>
      </c>
      <c r="J1362" s="291" t="s">
        <v>251</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252</v>
      </c>
      <c r="AU1362" s="109">
        <f>COUNTIFS($E1360,"SS",$AS1362,"Y")</f>
        <v>0</v>
      </c>
      <c r="AV1362" s="108">
        <f>COUNTIFS($E1360,"RPX",$AS1362,"Y")</f>
        <v>0</v>
      </c>
      <c r="AW1362" s="108">
        <f>COUNTIFS($E1360,"EUC",$AS1362,"Y")</f>
        <v>0</v>
      </c>
      <c r="AX1362" s="109">
        <f>COUNTIFS($E1360,"RPX-T",$AS1362,"Y")</f>
        <v>0</v>
      </c>
      <c r="BA1362" s="227"/>
    </row>
    <row r="1363" spans="1:53" ht="15.6" thickTop="1" thickBot="1" x14ac:dyDescent="0.35">
      <c r="A1363" s="88"/>
      <c r="B1363" s="29" t="s">
        <v>253</v>
      </c>
      <c r="C1363" s="37">
        <v>0</v>
      </c>
      <c r="D1363" s="41" t="s">
        <v>254</v>
      </c>
      <c r="E1363" s="42"/>
      <c r="F1363" s="88"/>
      <c r="G1363" s="322"/>
      <c r="H1363" s="47" t="s">
        <v>255</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5">
      <c r="A1364" s="88"/>
      <c r="B1364" s="36" t="s">
        <v>256</v>
      </c>
      <c r="C1364" s="30">
        <v>0</v>
      </c>
      <c r="D1364" s="49" t="s">
        <v>257</v>
      </c>
      <c r="E1364" s="50">
        <f>E1361/12</f>
        <v>0</v>
      </c>
      <c r="F1364" s="88"/>
      <c r="G1364" s="321" t="s">
        <v>258</v>
      </c>
      <c r="H1364" s="51" t="s">
        <v>259</v>
      </c>
      <c r="I1364" s="112">
        <f>E1363</f>
        <v>0</v>
      </c>
      <c r="J1364" s="323" t="s">
        <v>260</v>
      </c>
      <c r="K1364" s="324"/>
      <c r="L1364" s="325"/>
      <c r="M1364" s="52" t="s">
        <v>261</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5.6" thickTop="1" thickBot="1" x14ac:dyDescent="0.35">
      <c r="A1365" s="88"/>
      <c r="B1365" s="36" t="s">
        <v>262</v>
      </c>
      <c r="C1365" s="30">
        <v>0</v>
      </c>
      <c r="D1365" s="31" t="s">
        <v>263</v>
      </c>
      <c r="E1365" s="101" t="str">
        <f>IF('Cable Calculator'!FM5="","",'Cable Calculator'!FM5)</f>
        <v/>
      </c>
      <c r="F1365" s="88"/>
      <c r="G1365" s="322"/>
      <c r="H1365" s="47" t="s">
        <v>264</v>
      </c>
      <c r="I1365" s="35" t="str">
        <f>IF(E1363="","0",IF(AND(E1360="EUC",E1361=432), I1364+(203-E1362),IF(E1363=0,0,(E1363+(E1361-E1362)-1))))</f>
        <v>0</v>
      </c>
      <c r="J1365" s="286" t="str">
        <f>IFERROR(IF(OR(E1360="EUC",E1360="SS"),"---",IF(OR(P1359,S1359),"NO 2F Tethers for RPX!",IF(OR(P1361,S1361),"NO 6F Tethers for RPX!","---"))),"---")</f>
        <v>---</v>
      </c>
      <c r="K1365" s="287"/>
      <c r="L1365" s="288"/>
      <c r="M1365" s="286" t="str">
        <f>IF(E1362&gt;60,"Dead Count &gt;60: Consider Downsize","---")</f>
        <v>---</v>
      </c>
      <c r="N1365" s="287"/>
      <c r="O1365" s="287"/>
      <c r="P1365" s="287"/>
      <c r="Q1365" s="287"/>
      <c r="R1365" s="287"/>
      <c r="S1365" s="287"/>
      <c r="T1365" s="287"/>
      <c r="U1365" s="288"/>
      <c r="V1365" s="100"/>
      <c r="W1365" s="54">
        <f>SUM(P1365:U1365)</f>
        <v>0</v>
      </c>
      <c r="X1365" s="54"/>
      <c r="Y1365" s="25"/>
      <c r="Z1365" s="45">
        <v>4</v>
      </c>
      <c r="AA1365" s="46">
        <v>37</v>
      </c>
      <c r="AB1365" s="46">
        <v>48</v>
      </c>
      <c r="AC1365" s="25"/>
      <c r="AD1365" s="25"/>
      <c r="BA1365" s="227"/>
    </row>
    <row r="1366" spans="1:53" ht="15.6" thickTop="1" thickBot="1" x14ac:dyDescent="0.35">
      <c r="A1366" s="88"/>
      <c r="B1366" s="55" t="s">
        <v>265</v>
      </c>
      <c r="C1366" s="56">
        <f>SUM(C1360:C1365)+I1359</f>
        <v>0</v>
      </c>
      <c r="D1366" s="31" t="s">
        <v>266</v>
      </c>
      <c r="E1366" s="101" t="str">
        <f>IF(AS1360="Y","DBL",IF(AS1361="Y","TRPL",IF(AS1362="Y","QUAD","")))</f>
        <v/>
      </c>
      <c r="F1366" s="88"/>
      <c r="G1366" s="192"/>
      <c r="H1366" s="57"/>
      <c r="I1366" s="192"/>
      <c r="J1366" s="286"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7"/>
      <c r="L1366" s="288"/>
      <c r="M1366" s="286" t="str">
        <f>IF(AND(OR(E1360="SS",E1360="RPX",E1360="EUC",E1360="RPX-T"),(OR(C1370="",C1370="Field SPL"))),"Cannot have FlexNap cables without tethers","---")</f>
        <v>---</v>
      </c>
      <c r="N1366" s="287"/>
      <c r="O1366" s="287"/>
      <c r="P1366" s="287"/>
      <c r="Q1366" s="287"/>
      <c r="R1366" s="287"/>
      <c r="S1366" s="287"/>
      <c r="T1366" s="287"/>
      <c r="U1366" s="288"/>
      <c r="V1366" s="25"/>
      <c r="W1366" s="58"/>
      <c r="X1366" s="58"/>
      <c r="Y1366" s="25"/>
      <c r="Z1366" s="45">
        <v>5</v>
      </c>
      <c r="AA1366" s="46">
        <v>49</v>
      </c>
      <c r="AB1366" s="46">
        <v>60</v>
      </c>
      <c r="AC1366" s="25"/>
      <c r="AD1366" s="25"/>
      <c r="BA1366" s="227"/>
    </row>
    <row r="1367" spans="1:53" ht="15.6" thickTop="1" thickBot="1" x14ac:dyDescent="0.35">
      <c r="A1367" s="88"/>
      <c r="B1367" s="59"/>
      <c r="C1367" s="60"/>
      <c r="D1367" s="61"/>
      <c r="E1367" s="62"/>
      <c r="F1367" s="88"/>
      <c r="G1367" s="63"/>
      <c r="H1367" s="64"/>
      <c r="I1367" s="63"/>
      <c r="J1367" s="286" t="str">
        <f>IF(AND(OR(E1360="RPX", E1360="RPX-T", E1360="SS"),E1361=216),"NO 216 For RPX, RPX-T, OR SS CABLE","---")</f>
        <v>---</v>
      </c>
      <c r="K1367" s="287"/>
      <c r="L1367" s="288"/>
      <c r="M1367" s="286" t="str" cm="1">
        <f t="array" ref="M1367">IF(AND(E1360="",OR(C1370:C1394="FST",C1370:C1394="REV T",C1370:C1394="DBL REV",C1370:C1394="TPL REV", C1370:C1394="QD REV")),"Non-FlexNap cables cannot have tethers","---")</f>
        <v>---</v>
      </c>
      <c r="N1367" s="287"/>
      <c r="O1367" s="287"/>
      <c r="P1367" s="287"/>
      <c r="Q1367" s="287"/>
      <c r="R1367" s="287"/>
      <c r="S1367" s="287"/>
      <c r="T1367" s="287"/>
      <c r="U1367" s="288"/>
      <c r="V1367" s="25"/>
      <c r="W1367" s="58"/>
      <c r="X1367" s="58"/>
      <c r="Y1367" s="25"/>
      <c r="Z1367" s="45">
        <v>6</v>
      </c>
      <c r="AA1367" s="65">
        <v>61</v>
      </c>
      <c r="AB1367" s="65">
        <v>72</v>
      </c>
      <c r="AC1367" s="25"/>
      <c r="AD1367" s="25"/>
      <c r="BA1367" s="226"/>
    </row>
    <row r="1368" spans="1:53" ht="15.75" customHeight="1" thickBot="1" x14ac:dyDescent="0.35">
      <c r="A1368" s="88"/>
      <c r="B1368" s="321" t="s">
        <v>267</v>
      </c>
      <c r="C1368" s="293" t="s">
        <v>268</v>
      </c>
      <c r="D1368" s="293" t="s">
        <v>269</v>
      </c>
      <c r="E1368" s="306" t="s">
        <v>270</v>
      </c>
      <c r="F1368" s="293" t="s">
        <v>271</v>
      </c>
      <c r="G1368" s="308" t="s">
        <v>272</v>
      </c>
      <c r="H1368" s="308" t="s">
        <v>273</v>
      </c>
      <c r="I1368" s="308" t="s">
        <v>274</v>
      </c>
      <c r="J1368" s="310" t="s">
        <v>275</v>
      </c>
      <c r="K1368" s="293" t="s">
        <v>276</v>
      </c>
      <c r="L1368" s="280" t="s">
        <v>277</v>
      </c>
      <c r="M1368" s="282" t="s">
        <v>278</v>
      </c>
      <c r="N1368" s="282"/>
      <c r="O1368" s="282"/>
      <c r="P1368" s="282"/>
      <c r="Q1368" s="282"/>
      <c r="R1368" s="282"/>
      <c r="S1368" s="282"/>
      <c r="T1368" s="282"/>
      <c r="U1368" s="283"/>
      <c r="V1368" s="107"/>
      <c r="W1368" s="72"/>
      <c r="X1368" s="72"/>
      <c r="Y1368" s="72"/>
      <c r="Z1368" s="45">
        <v>7</v>
      </c>
      <c r="AA1368" s="65">
        <v>73</v>
      </c>
      <c r="AB1368" s="65">
        <v>84</v>
      </c>
      <c r="AC1368" s="25"/>
      <c r="AD1368" s="25"/>
      <c r="BA1368" s="228"/>
    </row>
    <row r="1369" spans="1:53" ht="15" thickBot="1" x14ac:dyDescent="0.35">
      <c r="A1369" s="88"/>
      <c r="B1369" s="322"/>
      <c r="C1369" s="294"/>
      <c r="D1369" s="294"/>
      <c r="E1369" s="307"/>
      <c r="F1369" s="294"/>
      <c r="G1369" s="309"/>
      <c r="H1369" s="309"/>
      <c r="I1369" s="309"/>
      <c r="J1369" s="311"/>
      <c r="K1369" s="294"/>
      <c r="L1369" s="281"/>
      <c r="M1369" s="284"/>
      <c r="N1369" s="284"/>
      <c r="O1369" s="284"/>
      <c r="P1369" s="284"/>
      <c r="Q1369" s="284"/>
      <c r="R1369" s="284"/>
      <c r="S1369" s="284"/>
      <c r="T1369" s="284"/>
      <c r="U1369" s="285"/>
      <c r="V1369" s="107"/>
      <c r="W1369" s="72"/>
      <c r="X1369" s="72"/>
      <c r="Y1369" s="72"/>
      <c r="Z1369" s="45">
        <v>8</v>
      </c>
      <c r="AA1369" s="46">
        <v>85</v>
      </c>
      <c r="AB1369" s="46">
        <v>96</v>
      </c>
      <c r="AC1369" s="25"/>
      <c r="AD1369" s="25"/>
      <c r="AI1369" s="109" t="s">
        <v>279</v>
      </c>
      <c r="AJ1369" s="109" t="s">
        <v>280</v>
      </c>
      <c r="AK1369" s="109" t="s">
        <v>281</v>
      </c>
      <c r="AL1369" s="109" t="s">
        <v>282</v>
      </c>
      <c r="BA1369" s="228"/>
    </row>
    <row r="1370" spans="1:53" ht="15" thickBot="1" x14ac:dyDescent="0.35">
      <c r="A1370" s="88"/>
      <c r="B1370" s="66" t="s">
        <v>283</v>
      </c>
      <c r="C1370" s="67"/>
      <c r="D1370" s="102"/>
      <c r="E1370" s="32"/>
      <c r="F1370" s="32"/>
      <c r="G1370" s="68" t="s">
        <v>285</v>
      </c>
      <c r="H1370" s="69">
        <f>IF(I1370=0,0,I1370-(E1370-1))</f>
        <v>0</v>
      </c>
      <c r="I1370" s="70">
        <f>IF(E1370=0,0,I1365)</f>
        <v>0</v>
      </c>
      <c r="J1370" s="71" t="s">
        <v>286</v>
      </c>
      <c r="K1370" s="32"/>
      <c r="L1370" s="233"/>
      <c r="M1370" s="278"/>
      <c r="N1370" s="278"/>
      <c r="O1370" s="278"/>
      <c r="P1370" s="278"/>
      <c r="Q1370" s="278"/>
      <c r="R1370" s="278"/>
      <c r="S1370" s="278"/>
      <c r="T1370" s="278"/>
      <c r="U1370" s="27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 thickBot="1" x14ac:dyDescent="0.35">
      <c r="A1371" s="88"/>
      <c r="B1371" s="66" t="s">
        <v>288</v>
      </c>
      <c r="C1371" s="67"/>
      <c r="D1371" s="102"/>
      <c r="E1371" s="32"/>
      <c r="F1371" s="32"/>
      <c r="G1371" s="68" t="s">
        <v>285</v>
      </c>
      <c r="H1371" s="69">
        <f t="shared" ref="H1371:H1394" si="570">IF(E1371=0,0,I1371-(E1371-1))</f>
        <v>0</v>
      </c>
      <c r="I1371" s="70">
        <f t="shared" ref="I1371:I1394" si="571">IF(E1371=0,0,H1370-1)</f>
        <v>0</v>
      </c>
      <c r="J1371" s="73" t="str">
        <f>IF(C1371="","--",IF(AND(C1371&lt;&gt;"FST",C1371&lt;&gt;"TCF",BA1370&lt;&gt;0),BA1370,"--"))</f>
        <v>--</v>
      </c>
      <c r="K1371" s="32"/>
      <c r="L1371" s="233"/>
      <c r="M1371" s="278"/>
      <c r="N1371" s="278"/>
      <c r="O1371" s="278"/>
      <c r="P1371" s="278"/>
      <c r="Q1371" s="278"/>
      <c r="R1371" s="278"/>
      <c r="S1371" s="278"/>
      <c r="T1371" s="278"/>
      <c r="U1371" s="27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 thickBot="1" x14ac:dyDescent="0.35">
      <c r="A1372" s="88"/>
      <c r="B1372" s="74" t="s">
        <v>290</v>
      </c>
      <c r="C1372" s="67"/>
      <c r="D1372" s="102"/>
      <c r="E1372" s="32"/>
      <c r="F1372" s="32"/>
      <c r="G1372" s="75" t="s">
        <v>285</v>
      </c>
      <c r="H1372" s="69">
        <f t="shared" si="570"/>
        <v>0</v>
      </c>
      <c r="I1372" s="70">
        <f t="shared" si="571"/>
        <v>0</v>
      </c>
      <c r="J1372" s="73" t="str">
        <f t="shared" ref="J1372:J1394" si="572">IF(C1372="","--",IF(AND(C1372&lt;&gt;"FST",C1372&lt;&gt;"TCF",BA1371&lt;&gt;0),BA1371,"--"))</f>
        <v>--</v>
      </c>
      <c r="K1372" s="32"/>
      <c r="L1372" s="233"/>
      <c r="M1372" s="278"/>
      <c r="N1372" s="278"/>
      <c r="O1372" s="278"/>
      <c r="P1372" s="278"/>
      <c r="Q1372" s="278"/>
      <c r="R1372" s="278"/>
      <c r="S1372" s="278"/>
      <c r="T1372" s="278"/>
      <c r="U1372" s="27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 thickBot="1" x14ac:dyDescent="0.35">
      <c r="A1373" s="88"/>
      <c r="B1373" s="66" t="s">
        <v>292</v>
      </c>
      <c r="C1373" s="67"/>
      <c r="D1373" s="102"/>
      <c r="E1373" s="32"/>
      <c r="F1373" s="32"/>
      <c r="G1373" s="68" t="s">
        <v>285</v>
      </c>
      <c r="H1373" s="69">
        <f t="shared" si="570"/>
        <v>0</v>
      </c>
      <c r="I1373" s="70">
        <f t="shared" si="571"/>
        <v>0</v>
      </c>
      <c r="J1373" s="73" t="str">
        <f t="shared" si="572"/>
        <v>--</v>
      </c>
      <c r="K1373" s="32"/>
      <c r="L1373" s="233"/>
      <c r="M1373" s="278"/>
      <c r="N1373" s="278"/>
      <c r="O1373" s="278"/>
      <c r="P1373" s="278"/>
      <c r="Q1373" s="278"/>
      <c r="R1373" s="278"/>
      <c r="S1373" s="278"/>
      <c r="T1373" s="278"/>
      <c r="U1373" s="27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 thickBot="1" x14ac:dyDescent="0.35">
      <c r="A1374" s="88"/>
      <c r="B1374" s="66" t="s">
        <v>293</v>
      </c>
      <c r="C1374" s="67"/>
      <c r="D1374" s="102"/>
      <c r="E1374" s="32"/>
      <c r="F1374" s="32"/>
      <c r="G1374" s="68" t="s">
        <v>285</v>
      </c>
      <c r="H1374" s="69">
        <f t="shared" si="570"/>
        <v>0</v>
      </c>
      <c r="I1374" s="70">
        <f t="shared" si="571"/>
        <v>0</v>
      </c>
      <c r="J1374" s="73" t="str">
        <f t="shared" si="572"/>
        <v>--</v>
      </c>
      <c r="K1374" s="32"/>
      <c r="L1374" s="233"/>
      <c r="M1374" s="278"/>
      <c r="N1374" s="278"/>
      <c r="O1374" s="278"/>
      <c r="P1374" s="278"/>
      <c r="Q1374" s="278"/>
      <c r="R1374" s="278"/>
      <c r="S1374" s="278"/>
      <c r="T1374" s="278"/>
      <c r="U1374" s="27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 thickBot="1" x14ac:dyDescent="0.35">
      <c r="A1375" s="88"/>
      <c r="B1375" s="66" t="s">
        <v>294</v>
      </c>
      <c r="C1375" s="67"/>
      <c r="D1375" s="102"/>
      <c r="E1375" s="32"/>
      <c r="F1375" s="32"/>
      <c r="G1375" s="68" t="s">
        <v>285</v>
      </c>
      <c r="H1375" s="69">
        <f t="shared" si="570"/>
        <v>0</v>
      </c>
      <c r="I1375" s="70">
        <f t="shared" si="571"/>
        <v>0</v>
      </c>
      <c r="J1375" s="73" t="str">
        <f t="shared" si="572"/>
        <v>--</v>
      </c>
      <c r="K1375" s="32"/>
      <c r="L1375" s="233"/>
      <c r="M1375" s="278"/>
      <c r="N1375" s="278"/>
      <c r="O1375" s="278"/>
      <c r="P1375" s="278"/>
      <c r="Q1375" s="278"/>
      <c r="R1375" s="278"/>
      <c r="S1375" s="278"/>
      <c r="T1375" s="278"/>
      <c r="U1375" s="27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 thickBot="1" x14ac:dyDescent="0.35">
      <c r="A1376" s="88"/>
      <c r="B1376" s="66" t="s">
        <v>295</v>
      </c>
      <c r="C1376" s="67"/>
      <c r="D1376" s="102"/>
      <c r="E1376" s="32"/>
      <c r="F1376" s="32"/>
      <c r="G1376" s="68" t="s">
        <v>285</v>
      </c>
      <c r="H1376" s="69">
        <f t="shared" si="570"/>
        <v>0</v>
      </c>
      <c r="I1376" s="70">
        <f t="shared" si="571"/>
        <v>0</v>
      </c>
      <c r="J1376" s="73" t="str">
        <f t="shared" si="572"/>
        <v>--</v>
      </c>
      <c r="K1376" s="32"/>
      <c r="L1376" s="233"/>
      <c r="M1376" s="278"/>
      <c r="N1376" s="278"/>
      <c r="O1376" s="278"/>
      <c r="P1376" s="278"/>
      <c r="Q1376" s="278"/>
      <c r="R1376" s="278"/>
      <c r="S1376" s="278"/>
      <c r="T1376" s="278"/>
      <c r="U1376" s="27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 thickBot="1" x14ac:dyDescent="0.35">
      <c r="A1377" s="88"/>
      <c r="B1377" s="66" t="s">
        <v>296</v>
      </c>
      <c r="C1377" s="67"/>
      <c r="D1377" s="102"/>
      <c r="E1377" s="32"/>
      <c r="F1377" s="32"/>
      <c r="G1377" s="68" t="s">
        <v>285</v>
      </c>
      <c r="H1377" s="69">
        <f t="shared" si="570"/>
        <v>0</v>
      </c>
      <c r="I1377" s="70">
        <f t="shared" si="571"/>
        <v>0</v>
      </c>
      <c r="J1377" s="73" t="str">
        <f t="shared" si="572"/>
        <v>--</v>
      </c>
      <c r="K1377" s="32"/>
      <c r="L1377" s="233"/>
      <c r="M1377" s="278"/>
      <c r="N1377" s="278"/>
      <c r="O1377" s="278"/>
      <c r="P1377" s="278"/>
      <c r="Q1377" s="278"/>
      <c r="R1377" s="278"/>
      <c r="S1377" s="278"/>
      <c r="T1377" s="278"/>
      <c r="U1377" s="27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 thickBot="1" x14ac:dyDescent="0.35">
      <c r="A1378" s="88"/>
      <c r="B1378" s="66" t="s">
        <v>297</v>
      </c>
      <c r="C1378" s="67"/>
      <c r="D1378" s="102"/>
      <c r="E1378" s="32"/>
      <c r="F1378" s="32"/>
      <c r="G1378" s="68" t="s">
        <v>285</v>
      </c>
      <c r="H1378" s="69">
        <f t="shared" si="570"/>
        <v>0</v>
      </c>
      <c r="I1378" s="70">
        <f t="shared" si="571"/>
        <v>0</v>
      </c>
      <c r="J1378" s="73" t="str">
        <f t="shared" si="572"/>
        <v>--</v>
      </c>
      <c r="K1378" s="32"/>
      <c r="L1378" s="233"/>
      <c r="M1378" s="278"/>
      <c r="N1378" s="278"/>
      <c r="O1378" s="278"/>
      <c r="P1378" s="278"/>
      <c r="Q1378" s="278"/>
      <c r="R1378" s="278"/>
      <c r="S1378" s="278"/>
      <c r="T1378" s="278"/>
      <c r="U1378" s="27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 thickBot="1" x14ac:dyDescent="0.35">
      <c r="A1379" s="88"/>
      <c r="B1379" s="66" t="s">
        <v>298</v>
      </c>
      <c r="C1379" s="67"/>
      <c r="D1379" s="102"/>
      <c r="E1379" s="32"/>
      <c r="F1379" s="32"/>
      <c r="G1379" s="68" t="s">
        <v>285</v>
      </c>
      <c r="H1379" s="69">
        <f t="shared" si="570"/>
        <v>0</v>
      </c>
      <c r="I1379" s="70">
        <f t="shared" si="571"/>
        <v>0</v>
      </c>
      <c r="J1379" s="73" t="str">
        <f t="shared" si="572"/>
        <v>--</v>
      </c>
      <c r="K1379" s="32"/>
      <c r="L1379" s="233"/>
      <c r="M1379" s="278"/>
      <c r="N1379" s="278"/>
      <c r="O1379" s="278"/>
      <c r="P1379" s="278"/>
      <c r="Q1379" s="278"/>
      <c r="R1379" s="278"/>
      <c r="S1379" s="278"/>
      <c r="T1379" s="278"/>
      <c r="U1379" s="27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 thickBot="1" x14ac:dyDescent="0.35">
      <c r="A1380" s="88"/>
      <c r="B1380" s="66" t="s">
        <v>299</v>
      </c>
      <c r="C1380" s="67"/>
      <c r="D1380" s="102"/>
      <c r="E1380" s="32"/>
      <c r="F1380" s="32"/>
      <c r="G1380" s="68" t="s">
        <v>285</v>
      </c>
      <c r="H1380" s="69">
        <f t="shared" si="570"/>
        <v>0</v>
      </c>
      <c r="I1380" s="70">
        <f t="shared" si="571"/>
        <v>0</v>
      </c>
      <c r="J1380" s="73" t="str">
        <f t="shared" si="572"/>
        <v>--</v>
      </c>
      <c r="K1380" s="32"/>
      <c r="L1380" s="233"/>
      <c r="M1380" s="278"/>
      <c r="N1380" s="278"/>
      <c r="O1380" s="278"/>
      <c r="P1380" s="278"/>
      <c r="Q1380" s="278"/>
      <c r="R1380" s="278"/>
      <c r="S1380" s="278"/>
      <c r="T1380" s="278"/>
      <c r="U1380" s="27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 thickBot="1" x14ac:dyDescent="0.35">
      <c r="A1381" s="88"/>
      <c r="B1381" s="66" t="s">
        <v>300</v>
      </c>
      <c r="C1381" s="67"/>
      <c r="D1381" s="102"/>
      <c r="E1381" s="32"/>
      <c r="F1381" s="32"/>
      <c r="G1381" s="68" t="s">
        <v>285</v>
      </c>
      <c r="H1381" s="69">
        <f t="shared" si="570"/>
        <v>0</v>
      </c>
      <c r="I1381" s="70">
        <f t="shared" si="571"/>
        <v>0</v>
      </c>
      <c r="J1381" s="73" t="str">
        <f t="shared" si="572"/>
        <v>--</v>
      </c>
      <c r="K1381" s="32"/>
      <c r="L1381" s="233"/>
      <c r="M1381" s="278"/>
      <c r="N1381" s="278"/>
      <c r="O1381" s="278"/>
      <c r="P1381" s="278"/>
      <c r="Q1381" s="278"/>
      <c r="R1381" s="278"/>
      <c r="S1381" s="278"/>
      <c r="T1381" s="278"/>
      <c r="U1381" s="27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 thickBot="1" x14ac:dyDescent="0.35">
      <c r="A1382" s="88"/>
      <c r="B1382" s="66" t="s">
        <v>301</v>
      </c>
      <c r="C1382" s="67"/>
      <c r="D1382" s="102"/>
      <c r="E1382" s="32"/>
      <c r="F1382" s="32"/>
      <c r="G1382" s="68" t="s">
        <v>285</v>
      </c>
      <c r="H1382" s="69">
        <f t="shared" si="570"/>
        <v>0</v>
      </c>
      <c r="I1382" s="70">
        <f t="shared" si="571"/>
        <v>0</v>
      </c>
      <c r="J1382" s="73" t="str">
        <f t="shared" si="572"/>
        <v>--</v>
      </c>
      <c r="K1382" s="32"/>
      <c r="L1382" s="233"/>
      <c r="M1382" s="278"/>
      <c r="N1382" s="278"/>
      <c r="O1382" s="278"/>
      <c r="P1382" s="278"/>
      <c r="Q1382" s="278"/>
      <c r="R1382" s="278"/>
      <c r="S1382" s="278"/>
      <c r="T1382" s="278"/>
      <c r="U1382" s="27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 thickBot="1" x14ac:dyDescent="0.35">
      <c r="A1383" s="88"/>
      <c r="B1383" s="66" t="s">
        <v>302</v>
      </c>
      <c r="C1383" s="67"/>
      <c r="D1383" s="102"/>
      <c r="E1383" s="32"/>
      <c r="F1383" s="32"/>
      <c r="G1383" s="68" t="s">
        <v>285</v>
      </c>
      <c r="H1383" s="69">
        <f t="shared" si="570"/>
        <v>0</v>
      </c>
      <c r="I1383" s="70">
        <f t="shared" si="571"/>
        <v>0</v>
      </c>
      <c r="J1383" s="73" t="str">
        <f t="shared" si="572"/>
        <v>--</v>
      </c>
      <c r="K1383" s="32"/>
      <c r="L1383" s="233"/>
      <c r="M1383" s="278"/>
      <c r="N1383" s="278"/>
      <c r="O1383" s="278"/>
      <c r="P1383" s="278"/>
      <c r="Q1383" s="278"/>
      <c r="R1383" s="278"/>
      <c r="S1383" s="278"/>
      <c r="T1383" s="278"/>
      <c r="U1383" s="27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 thickBot="1" x14ac:dyDescent="0.35">
      <c r="A1384" s="88"/>
      <c r="B1384" s="66" t="s">
        <v>303</v>
      </c>
      <c r="C1384" s="67"/>
      <c r="D1384" s="102"/>
      <c r="E1384" s="32"/>
      <c r="F1384" s="32"/>
      <c r="G1384" s="68" t="s">
        <v>285</v>
      </c>
      <c r="H1384" s="69">
        <f t="shared" si="570"/>
        <v>0</v>
      </c>
      <c r="I1384" s="70">
        <f t="shared" si="571"/>
        <v>0</v>
      </c>
      <c r="J1384" s="73" t="str">
        <f t="shared" si="572"/>
        <v>--</v>
      </c>
      <c r="K1384" s="32"/>
      <c r="L1384" s="233"/>
      <c r="M1384" s="278"/>
      <c r="N1384" s="278"/>
      <c r="O1384" s="278"/>
      <c r="P1384" s="278"/>
      <c r="Q1384" s="278"/>
      <c r="R1384" s="278"/>
      <c r="S1384" s="278"/>
      <c r="T1384" s="278"/>
      <c r="U1384" s="27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 thickBot="1" x14ac:dyDescent="0.35">
      <c r="A1385" s="88"/>
      <c r="B1385" s="66" t="s">
        <v>304</v>
      </c>
      <c r="C1385" s="67"/>
      <c r="D1385" s="102"/>
      <c r="E1385" s="32"/>
      <c r="F1385" s="32"/>
      <c r="G1385" s="68" t="s">
        <v>285</v>
      </c>
      <c r="H1385" s="69">
        <f t="shared" si="570"/>
        <v>0</v>
      </c>
      <c r="I1385" s="70">
        <f t="shared" si="571"/>
        <v>0</v>
      </c>
      <c r="J1385" s="73" t="str">
        <f t="shared" si="572"/>
        <v>--</v>
      </c>
      <c r="K1385" s="32"/>
      <c r="L1385" s="233"/>
      <c r="M1385" s="278"/>
      <c r="N1385" s="278"/>
      <c r="O1385" s="278"/>
      <c r="P1385" s="278"/>
      <c r="Q1385" s="278"/>
      <c r="R1385" s="278"/>
      <c r="S1385" s="278"/>
      <c r="T1385" s="278"/>
      <c r="U1385" s="27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 thickBot="1" x14ac:dyDescent="0.35">
      <c r="A1386" s="88"/>
      <c r="B1386" s="66" t="s">
        <v>305</v>
      </c>
      <c r="C1386" s="67"/>
      <c r="D1386" s="102"/>
      <c r="E1386" s="32"/>
      <c r="F1386" s="32"/>
      <c r="G1386" s="68" t="s">
        <v>285</v>
      </c>
      <c r="H1386" s="69">
        <f t="shared" si="570"/>
        <v>0</v>
      </c>
      <c r="I1386" s="70">
        <f t="shared" si="571"/>
        <v>0</v>
      </c>
      <c r="J1386" s="73" t="str">
        <f t="shared" si="572"/>
        <v>--</v>
      </c>
      <c r="K1386" s="32"/>
      <c r="L1386" s="233"/>
      <c r="M1386" s="278"/>
      <c r="N1386" s="278"/>
      <c r="O1386" s="278"/>
      <c r="P1386" s="278"/>
      <c r="Q1386" s="278"/>
      <c r="R1386" s="278"/>
      <c r="S1386" s="278"/>
      <c r="T1386" s="278"/>
      <c r="U1386" s="27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 thickBot="1" x14ac:dyDescent="0.35">
      <c r="A1387" s="88"/>
      <c r="B1387" s="66" t="s">
        <v>306</v>
      </c>
      <c r="C1387" s="67"/>
      <c r="D1387" s="102"/>
      <c r="E1387" s="32"/>
      <c r="F1387" s="32"/>
      <c r="G1387" s="68" t="s">
        <v>285</v>
      </c>
      <c r="H1387" s="69">
        <f t="shared" si="570"/>
        <v>0</v>
      </c>
      <c r="I1387" s="70">
        <f t="shared" si="571"/>
        <v>0</v>
      </c>
      <c r="J1387" s="73" t="str">
        <f t="shared" si="572"/>
        <v>--</v>
      </c>
      <c r="K1387" s="32"/>
      <c r="L1387" s="233"/>
      <c r="M1387" s="278"/>
      <c r="N1387" s="278"/>
      <c r="O1387" s="278"/>
      <c r="P1387" s="278"/>
      <c r="Q1387" s="278"/>
      <c r="R1387" s="278"/>
      <c r="S1387" s="278"/>
      <c r="T1387" s="278"/>
      <c r="U1387" s="27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 thickBot="1" x14ac:dyDescent="0.35">
      <c r="A1388" s="88"/>
      <c r="B1388" s="66" t="s">
        <v>307</v>
      </c>
      <c r="C1388" s="67"/>
      <c r="D1388" s="102"/>
      <c r="E1388" s="32"/>
      <c r="F1388" s="32"/>
      <c r="G1388" s="68" t="s">
        <v>285</v>
      </c>
      <c r="H1388" s="69">
        <f t="shared" si="570"/>
        <v>0</v>
      </c>
      <c r="I1388" s="70">
        <f t="shared" si="571"/>
        <v>0</v>
      </c>
      <c r="J1388" s="73" t="str">
        <f t="shared" si="572"/>
        <v>--</v>
      </c>
      <c r="K1388" s="32"/>
      <c r="L1388" s="233"/>
      <c r="M1388" s="278"/>
      <c r="N1388" s="278"/>
      <c r="O1388" s="278"/>
      <c r="P1388" s="278"/>
      <c r="Q1388" s="278"/>
      <c r="R1388" s="278"/>
      <c r="S1388" s="278"/>
      <c r="T1388" s="278"/>
      <c r="U1388" s="27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 thickBot="1" x14ac:dyDescent="0.35">
      <c r="A1389" s="88"/>
      <c r="B1389" s="66" t="s">
        <v>308</v>
      </c>
      <c r="C1389" s="67"/>
      <c r="D1389" s="102"/>
      <c r="E1389" s="32"/>
      <c r="F1389" s="32"/>
      <c r="G1389" s="68" t="s">
        <v>285</v>
      </c>
      <c r="H1389" s="69">
        <f t="shared" si="570"/>
        <v>0</v>
      </c>
      <c r="I1389" s="70">
        <f t="shared" si="571"/>
        <v>0</v>
      </c>
      <c r="J1389" s="73" t="str">
        <f t="shared" si="572"/>
        <v>--</v>
      </c>
      <c r="K1389" s="32"/>
      <c r="L1389" s="233"/>
      <c r="M1389" s="278"/>
      <c r="N1389" s="278"/>
      <c r="O1389" s="278"/>
      <c r="P1389" s="278"/>
      <c r="Q1389" s="278"/>
      <c r="R1389" s="278"/>
      <c r="S1389" s="278"/>
      <c r="T1389" s="278"/>
      <c r="U1389" s="27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 thickBot="1" x14ac:dyDescent="0.35">
      <c r="A1390" s="88"/>
      <c r="B1390" s="66" t="s">
        <v>309</v>
      </c>
      <c r="C1390" s="67"/>
      <c r="D1390" s="102"/>
      <c r="E1390" s="32"/>
      <c r="F1390" s="32"/>
      <c r="G1390" s="68" t="s">
        <v>285</v>
      </c>
      <c r="H1390" s="69">
        <f t="shared" si="570"/>
        <v>0</v>
      </c>
      <c r="I1390" s="70">
        <f t="shared" si="571"/>
        <v>0</v>
      </c>
      <c r="J1390" s="73" t="str">
        <f t="shared" si="572"/>
        <v>--</v>
      </c>
      <c r="K1390" s="32"/>
      <c r="L1390" s="233"/>
      <c r="M1390" s="278"/>
      <c r="N1390" s="278"/>
      <c r="O1390" s="278"/>
      <c r="P1390" s="278"/>
      <c r="Q1390" s="278"/>
      <c r="R1390" s="278"/>
      <c r="S1390" s="278"/>
      <c r="T1390" s="278"/>
      <c r="U1390" s="27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 thickBot="1" x14ac:dyDescent="0.35">
      <c r="A1391" s="88"/>
      <c r="B1391" s="66" t="s">
        <v>310</v>
      </c>
      <c r="C1391" s="67"/>
      <c r="D1391" s="102"/>
      <c r="E1391" s="32"/>
      <c r="F1391" s="32"/>
      <c r="G1391" s="68" t="s">
        <v>285</v>
      </c>
      <c r="H1391" s="69">
        <f t="shared" si="570"/>
        <v>0</v>
      </c>
      <c r="I1391" s="70">
        <f t="shared" si="571"/>
        <v>0</v>
      </c>
      <c r="J1391" s="73" t="str">
        <f t="shared" si="572"/>
        <v>--</v>
      </c>
      <c r="K1391" s="32"/>
      <c r="L1391" s="233"/>
      <c r="M1391" s="278"/>
      <c r="N1391" s="278"/>
      <c r="O1391" s="278"/>
      <c r="P1391" s="278"/>
      <c r="Q1391" s="278"/>
      <c r="R1391" s="278"/>
      <c r="S1391" s="278"/>
      <c r="T1391" s="278"/>
      <c r="U1391" s="27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 thickBot="1" x14ac:dyDescent="0.35">
      <c r="A1392" s="88"/>
      <c r="B1392" s="66" t="s">
        <v>311</v>
      </c>
      <c r="C1392" s="67"/>
      <c r="D1392" s="102"/>
      <c r="E1392" s="32"/>
      <c r="F1392" s="32"/>
      <c r="G1392" s="68" t="s">
        <v>285</v>
      </c>
      <c r="H1392" s="69">
        <f t="shared" si="570"/>
        <v>0</v>
      </c>
      <c r="I1392" s="70">
        <f t="shared" si="571"/>
        <v>0</v>
      </c>
      <c r="J1392" s="73" t="str">
        <f t="shared" si="572"/>
        <v>--</v>
      </c>
      <c r="K1392" s="32"/>
      <c r="L1392" s="233"/>
      <c r="M1392" s="278"/>
      <c r="N1392" s="278"/>
      <c r="O1392" s="278"/>
      <c r="P1392" s="278"/>
      <c r="Q1392" s="278"/>
      <c r="R1392" s="278"/>
      <c r="S1392" s="278"/>
      <c r="T1392" s="278"/>
      <c r="U1392" s="27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 thickBot="1" x14ac:dyDescent="0.35">
      <c r="A1393" s="88"/>
      <c r="B1393" s="66" t="s">
        <v>312</v>
      </c>
      <c r="C1393" s="67"/>
      <c r="D1393" s="102"/>
      <c r="E1393" s="32"/>
      <c r="F1393" s="32"/>
      <c r="G1393" s="68" t="s">
        <v>285</v>
      </c>
      <c r="H1393" s="69">
        <f t="shared" si="570"/>
        <v>0</v>
      </c>
      <c r="I1393" s="70">
        <f t="shared" si="571"/>
        <v>0</v>
      </c>
      <c r="J1393" s="73" t="str">
        <f t="shared" si="572"/>
        <v>--</v>
      </c>
      <c r="K1393" s="32"/>
      <c r="L1393" s="233"/>
      <c r="M1393" s="278"/>
      <c r="N1393" s="278"/>
      <c r="O1393" s="278"/>
      <c r="P1393" s="278"/>
      <c r="Q1393" s="278"/>
      <c r="R1393" s="278"/>
      <c r="S1393" s="278"/>
      <c r="T1393" s="278"/>
      <c r="U1393" s="27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 thickBot="1" x14ac:dyDescent="0.35">
      <c r="A1394" s="88"/>
      <c r="B1394" s="66" t="s">
        <v>313</v>
      </c>
      <c r="C1394" s="67"/>
      <c r="D1394" s="102"/>
      <c r="E1394" s="32"/>
      <c r="F1394" s="32"/>
      <c r="G1394" s="68" t="s">
        <v>285</v>
      </c>
      <c r="H1394" s="69">
        <f t="shared" si="570"/>
        <v>0</v>
      </c>
      <c r="I1394" s="70">
        <f t="shared" si="571"/>
        <v>0</v>
      </c>
      <c r="J1394" s="73" t="str">
        <f t="shared" si="572"/>
        <v>--</v>
      </c>
      <c r="K1394" s="32"/>
      <c r="L1394" s="234"/>
      <c r="M1394" s="278"/>
      <c r="N1394" s="278"/>
      <c r="O1394" s="278"/>
      <c r="P1394" s="278"/>
      <c r="Q1394" s="278"/>
      <c r="R1394" s="278"/>
      <c r="S1394" s="278"/>
      <c r="T1394" s="278"/>
      <c r="U1394" s="27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2" thickBot="1" x14ac:dyDescent="0.35">
      <c r="A1395" s="88"/>
      <c r="B1395" s="319" t="s">
        <v>442</v>
      </c>
      <c r="C1395" s="320"/>
      <c r="D1395" s="79"/>
      <c r="E1395" s="80"/>
      <c r="F1395" s="80"/>
      <c r="G1395" s="81"/>
      <c r="H1395" s="192"/>
      <c r="I1395" s="192"/>
      <c r="J1395" s="192"/>
      <c r="K1395" s="82"/>
      <c r="L1395" s="319" t="s">
        <v>319</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2" thickBot="1" x14ac:dyDescent="0.35">
      <c r="A1396" s="88"/>
      <c r="B1396" s="319" t="s">
        <v>320</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3">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 thickBot="1" x14ac:dyDescent="0.35">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5">
      <c r="A1399" s="88"/>
      <c r="B1399" s="85" t="s">
        <v>443</v>
      </c>
      <c r="C1399" s="25"/>
      <c r="D1399" s="25"/>
      <c r="E1399" s="25"/>
      <c r="F1399" s="88"/>
      <c r="G1399" s="25"/>
      <c r="H1399" s="25"/>
      <c r="I1399" s="87"/>
      <c r="J1399" s="26"/>
      <c r="K1399" s="25"/>
      <c r="L1399" s="25"/>
      <c r="M1399" s="196" t="s">
        <v>217</v>
      </c>
      <c r="N1399" s="196" t="s">
        <v>218</v>
      </c>
      <c r="O1399" s="196" t="s">
        <v>219</v>
      </c>
      <c r="P1399" s="196" t="s">
        <v>220</v>
      </c>
      <c r="Q1399" s="196" t="s">
        <v>221</v>
      </c>
      <c r="R1399" s="196" t="s">
        <v>222</v>
      </c>
      <c r="S1399" s="196" t="s">
        <v>223</v>
      </c>
      <c r="T1399" s="196" t="s">
        <v>224</v>
      </c>
      <c r="U1399" s="196" t="s">
        <v>225</v>
      </c>
      <c r="V1399" s="196" t="s">
        <v>226</v>
      </c>
      <c r="W1399" s="113" t="s">
        <v>227</v>
      </c>
      <c r="X1399" s="196" t="s">
        <v>228</v>
      </c>
      <c r="Y1399" s="25"/>
      <c r="Z1399" s="25"/>
      <c r="AA1399" s="25"/>
      <c r="AB1399" s="25"/>
      <c r="AC1399" s="25"/>
      <c r="AD1399" s="25"/>
      <c r="BA1399" s="226"/>
    </row>
    <row r="1400" spans="1:53" ht="15.6" thickTop="1" thickBot="1" x14ac:dyDescent="0.35">
      <c r="A1400" s="88"/>
      <c r="B1400" s="312" t="s">
        <v>229</v>
      </c>
      <c r="C1400" s="313"/>
      <c r="D1400" s="314" t="s">
        <v>230</v>
      </c>
      <c r="E1400" s="305"/>
      <c r="F1400" s="88"/>
      <c r="G1400" s="315" t="s">
        <v>231</v>
      </c>
      <c r="H1400" s="316"/>
      <c r="I1400" s="28">
        <f>SUM(E1411:E1435)</f>
        <v>0</v>
      </c>
      <c r="J1400" s="317" t="s">
        <v>232</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233</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234</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5">
      <c r="A1401" s="88"/>
      <c r="B1401" s="29" t="s">
        <v>235</v>
      </c>
      <c r="C1401" s="30">
        <v>0</v>
      </c>
      <c r="D1401" s="31" t="s">
        <v>236</v>
      </c>
      <c r="E1401" s="66" t="str">
        <f>TEXT(IF('Cable Calculator'!FR7="","",'Cable Calculator'!FR7),)</f>
        <v/>
      </c>
      <c r="F1401" s="88"/>
      <c r="G1401" s="304" t="s">
        <v>237</v>
      </c>
      <c r="H1401" s="305"/>
      <c r="I1401" s="33">
        <f>E1402-I1400</f>
        <v>0</v>
      </c>
      <c r="J1401" s="289" t="s">
        <v>238</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239</v>
      </c>
      <c r="AA1401" s="300" t="s">
        <v>240</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241</v>
      </c>
      <c r="AU1401" s="109">
        <f>COUNTIFS($E1401,"SS",$AS1401,"Y")</f>
        <v>0</v>
      </c>
      <c r="AV1401" s="111">
        <f>COUNTIFS($E1401,"RPX",$AS1401,"Y")</f>
        <v>0</v>
      </c>
      <c r="AW1401" s="111">
        <f>COUNTIFS($E1401,"EUC",$AS1401,"Y")</f>
        <v>0</v>
      </c>
      <c r="AX1401" s="109">
        <f>COUNTIFS($E1401,"RPX-T",$AS1401,"Y")</f>
        <v>0</v>
      </c>
      <c r="BA1401" s="227"/>
    </row>
    <row r="1402" spans="1:53" ht="15.6" thickTop="1" thickBot="1" x14ac:dyDescent="0.35">
      <c r="A1402" s="88"/>
      <c r="B1402" s="36" t="s">
        <v>242</v>
      </c>
      <c r="C1402" s="37">
        <v>0</v>
      </c>
      <c r="D1402" s="38" t="s">
        <v>243</v>
      </c>
      <c r="E1402" s="32"/>
      <c r="F1402" s="88"/>
      <c r="G1402" s="291" t="s">
        <v>244</v>
      </c>
      <c r="H1402" s="292"/>
      <c r="I1402" s="35">
        <f>IF(E1402=0,0,12-(MOD(I1400,12)))</f>
        <v>0</v>
      </c>
      <c r="J1402" s="289" t="s">
        <v>245</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246</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5">
      <c r="A1403" s="88"/>
      <c r="B1403" s="40" t="s">
        <v>247</v>
      </c>
      <c r="C1403" s="30">
        <v>0</v>
      </c>
      <c r="D1403" s="41" t="s">
        <v>248</v>
      </c>
      <c r="E1403" s="42"/>
      <c r="F1403" s="88"/>
      <c r="G1403" s="321" t="s">
        <v>249</v>
      </c>
      <c r="H1403" s="43" t="s">
        <v>250</v>
      </c>
      <c r="I1403" s="35">
        <f>IF(E1403&lt;&gt;0,1,0)</f>
        <v>0</v>
      </c>
      <c r="J1403" s="291" t="s">
        <v>251</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252</v>
      </c>
      <c r="AU1403" s="109">
        <f>COUNTIFS($E1401,"SS",$AS1403,"Y")</f>
        <v>0</v>
      </c>
      <c r="AV1403" s="108">
        <f>COUNTIFS($E1401,"RPX",$AS1403,"Y")</f>
        <v>0</v>
      </c>
      <c r="AW1403" s="108">
        <f>COUNTIFS($E1401,"EUC",$AS1403,"Y")</f>
        <v>0</v>
      </c>
      <c r="AX1403" s="109">
        <f>COUNTIFS($E1401,"RPX-T",$AS1403,"Y")</f>
        <v>0</v>
      </c>
      <c r="BA1403" s="227"/>
    </row>
    <row r="1404" spans="1:53" ht="15.6" thickTop="1" thickBot="1" x14ac:dyDescent="0.35">
      <c r="A1404" s="88"/>
      <c r="B1404" s="29" t="s">
        <v>253</v>
      </c>
      <c r="C1404" s="37">
        <v>0</v>
      </c>
      <c r="D1404" s="41" t="s">
        <v>254</v>
      </c>
      <c r="E1404" s="42"/>
      <c r="F1404" s="88"/>
      <c r="G1404" s="322"/>
      <c r="H1404" s="47" t="s">
        <v>255</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5">
      <c r="A1405" s="88"/>
      <c r="B1405" s="36" t="s">
        <v>256</v>
      </c>
      <c r="C1405" s="30">
        <v>0</v>
      </c>
      <c r="D1405" s="49" t="s">
        <v>257</v>
      </c>
      <c r="E1405" s="50">
        <f>E1402/12</f>
        <v>0</v>
      </c>
      <c r="F1405" s="88"/>
      <c r="G1405" s="321" t="s">
        <v>258</v>
      </c>
      <c r="H1405" s="51" t="s">
        <v>259</v>
      </c>
      <c r="I1405" s="112">
        <f>E1404</f>
        <v>0</v>
      </c>
      <c r="J1405" s="323" t="s">
        <v>260</v>
      </c>
      <c r="K1405" s="324"/>
      <c r="L1405" s="325"/>
      <c r="M1405" s="52" t="s">
        <v>261</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5.6" thickTop="1" thickBot="1" x14ac:dyDescent="0.35">
      <c r="A1406" s="88"/>
      <c r="B1406" s="36" t="s">
        <v>262</v>
      </c>
      <c r="C1406" s="30">
        <v>0</v>
      </c>
      <c r="D1406" s="31" t="s">
        <v>263</v>
      </c>
      <c r="E1406" s="101" t="str">
        <f>IF('Cable Calculator'!FR5="","",'Cable Calculator'!FR5)</f>
        <v/>
      </c>
      <c r="F1406" s="88"/>
      <c r="G1406" s="322"/>
      <c r="H1406" s="47" t="s">
        <v>264</v>
      </c>
      <c r="I1406" s="35" t="str">
        <f>IF(E1404="","0",IF(AND(E1401="EUC",E1402=432), I1405+(203-E1403),IF(E1404=0,0,(E1404+(E1402-E1403)-1))))</f>
        <v>0</v>
      </c>
      <c r="J1406" s="286" t="str">
        <f>IFERROR(IF(OR(E1401="EUC",E1401="SS"),"---",IF(OR(P1400,S1400),"NO 2F Tethers for RPX!",IF(OR(P1402,S1402),"NO 6F Tethers for RPX!","---"))),"---")</f>
        <v>---</v>
      </c>
      <c r="K1406" s="287"/>
      <c r="L1406" s="288"/>
      <c r="M1406" s="286" t="str">
        <f>IF(E1403&gt;60,"Dead Count &gt;60: Consider Downsize","---")</f>
        <v>---</v>
      </c>
      <c r="N1406" s="287"/>
      <c r="O1406" s="287"/>
      <c r="P1406" s="287"/>
      <c r="Q1406" s="287"/>
      <c r="R1406" s="287"/>
      <c r="S1406" s="287"/>
      <c r="T1406" s="287"/>
      <c r="U1406" s="288"/>
      <c r="V1406" s="100"/>
      <c r="W1406" s="54">
        <f>SUM(P1406:U1406)</f>
        <v>0</v>
      </c>
      <c r="X1406" s="54"/>
      <c r="Y1406" s="25"/>
      <c r="Z1406" s="45">
        <v>4</v>
      </c>
      <c r="AA1406" s="46">
        <v>37</v>
      </c>
      <c r="AB1406" s="46">
        <v>48</v>
      </c>
      <c r="AC1406" s="25"/>
      <c r="AD1406" s="25"/>
      <c r="BA1406" s="227"/>
    </row>
    <row r="1407" spans="1:53" ht="15.6" thickTop="1" thickBot="1" x14ac:dyDescent="0.35">
      <c r="A1407" s="88"/>
      <c r="B1407" s="55" t="s">
        <v>265</v>
      </c>
      <c r="C1407" s="56">
        <f>SUM(C1401:C1406)+I1400</f>
        <v>0</v>
      </c>
      <c r="D1407" s="31" t="s">
        <v>266</v>
      </c>
      <c r="E1407" s="101" t="str">
        <f>IF(AS1401="Y","DBL",IF(AS1402="Y","TRPL",IF(AS1403="Y","QUAD","")))</f>
        <v/>
      </c>
      <c r="F1407" s="88"/>
      <c r="G1407" s="192"/>
      <c r="H1407" s="57"/>
      <c r="I1407" s="192"/>
      <c r="J1407" s="286"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7"/>
      <c r="L1407" s="288"/>
      <c r="M1407" s="286" t="str">
        <f>IF(AND(OR(E1401="SS",E1401="RPX",E1401="EUC",E1401="RPX-T"),(OR(C1411="",C1411="Field SPL"))),"Cannot have FlexNap cables without tethers","---")</f>
        <v>---</v>
      </c>
      <c r="N1407" s="287"/>
      <c r="O1407" s="287"/>
      <c r="P1407" s="287"/>
      <c r="Q1407" s="287"/>
      <c r="R1407" s="287"/>
      <c r="S1407" s="287"/>
      <c r="T1407" s="287"/>
      <c r="U1407" s="288"/>
      <c r="V1407" s="25"/>
      <c r="W1407" s="58"/>
      <c r="X1407" s="58"/>
      <c r="Y1407" s="25"/>
      <c r="Z1407" s="45">
        <v>5</v>
      </c>
      <c r="AA1407" s="46">
        <v>49</v>
      </c>
      <c r="AB1407" s="46">
        <v>60</v>
      </c>
      <c r="AC1407" s="25"/>
      <c r="AD1407" s="25"/>
      <c r="BA1407" s="227"/>
    </row>
    <row r="1408" spans="1:53" ht="15.6" thickTop="1" thickBot="1" x14ac:dyDescent="0.35">
      <c r="A1408" s="88"/>
      <c r="B1408" s="59"/>
      <c r="C1408" s="60"/>
      <c r="D1408" s="61"/>
      <c r="E1408" s="62"/>
      <c r="F1408" s="88"/>
      <c r="G1408" s="63"/>
      <c r="H1408" s="64"/>
      <c r="I1408" s="63"/>
      <c r="J1408" s="286" t="str">
        <f>IF(AND(OR(E1401="RPX", E1401="RPX-T", E1401="SS"),E1402=216),"NO 216 For RPX, RPX-T, OR SS CABLE","---")</f>
        <v>---</v>
      </c>
      <c r="K1408" s="287"/>
      <c r="L1408" s="288"/>
      <c r="M1408" s="286" t="str" cm="1">
        <f t="array" ref="M1408">IF(AND(E1401="",OR(C1411:C1435="FST",C1411:C1435="REV T",C1411:C1435="DBL REV",C1411:C1435="TPL REV", C1411:C1435="QD REV")),"Non-FlexNap cables cannot have tethers","---")</f>
        <v>---</v>
      </c>
      <c r="N1408" s="287"/>
      <c r="O1408" s="287"/>
      <c r="P1408" s="287"/>
      <c r="Q1408" s="287"/>
      <c r="R1408" s="287"/>
      <c r="S1408" s="287"/>
      <c r="T1408" s="287"/>
      <c r="U1408" s="288"/>
      <c r="V1408" s="25"/>
      <c r="W1408" s="58"/>
      <c r="X1408" s="58"/>
      <c r="Y1408" s="25"/>
      <c r="Z1408" s="45">
        <v>6</v>
      </c>
      <c r="AA1408" s="65">
        <v>61</v>
      </c>
      <c r="AB1408" s="65">
        <v>72</v>
      </c>
      <c r="AC1408" s="25"/>
      <c r="AD1408" s="25"/>
      <c r="BA1408" s="226"/>
    </row>
    <row r="1409" spans="1:53" ht="15.75" customHeight="1" thickBot="1" x14ac:dyDescent="0.35">
      <c r="A1409" s="88"/>
      <c r="B1409" s="321" t="s">
        <v>267</v>
      </c>
      <c r="C1409" s="293" t="s">
        <v>268</v>
      </c>
      <c r="D1409" s="293" t="s">
        <v>269</v>
      </c>
      <c r="E1409" s="306" t="s">
        <v>270</v>
      </c>
      <c r="F1409" s="293" t="s">
        <v>271</v>
      </c>
      <c r="G1409" s="308" t="s">
        <v>272</v>
      </c>
      <c r="H1409" s="308" t="s">
        <v>273</v>
      </c>
      <c r="I1409" s="308" t="s">
        <v>274</v>
      </c>
      <c r="J1409" s="310" t="s">
        <v>275</v>
      </c>
      <c r="K1409" s="293" t="s">
        <v>276</v>
      </c>
      <c r="L1409" s="280" t="s">
        <v>277</v>
      </c>
      <c r="M1409" s="282" t="s">
        <v>278</v>
      </c>
      <c r="N1409" s="282"/>
      <c r="O1409" s="282"/>
      <c r="P1409" s="282"/>
      <c r="Q1409" s="282"/>
      <c r="R1409" s="282"/>
      <c r="S1409" s="282"/>
      <c r="T1409" s="282"/>
      <c r="U1409" s="283"/>
      <c r="V1409" s="107"/>
      <c r="W1409" s="72"/>
      <c r="X1409" s="72"/>
      <c r="Y1409" s="72"/>
      <c r="Z1409" s="45">
        <v>7</v>
      </c>
      <c r="AA1409" s="65">
        <v>73</v>
      </c>
      <c r="AB1409" s="65">
        <v>84</v>
      </c>
      <c r="AC1409" s="25"/>
      <c r="AD1409" s="25"/>
      <c r="BA1409" s="228"/>
    </row>
    <row r="1410" spans="1:53" ht="15" thickBot="1" x14ac:dyDescent="0.35">
      <c r="A1410" s="88"/>
      <c r="B1410" s="322"/>
      <c r="C1410" s="294"/>
      <c r="D1410" s="294"/>
      <c r="E1410" s="307"/>
      <c r="F1410" s="294"/>
      <c r="G1410" s="309"/>
      <c r="H1410" s="309"/>
      <c r="I1410" s="309"/>
      <c r="J1410" s="311"/>
      <c r="K1410" s="294"/>
      <c r="L1410" s="281"/>
      <c r="M1410" s="284"/>
      <c r="N1410" s="284"/>
      <c r="O1410" s="284"/>
      <c r="P1410" s="284"/>
      <c r="Q1410" s="284"/>
      <c r="R1410" s="284"/>
      <c r="S1410" s="284"/>
      <c r="T1410" s="284"/>
      <c r="U1410" s="285"/>
      <c r="V1410" s="107"/>
      <c r="W1410" s="72"/>
      <c r="X1410" s="72"/>
      <c r="Y1410" s="72"/>
      <c r="Z1410" s="45">
        <v>8</v>
      </c>
      <c r="AA1410" s="46">
        <v>85</v>
      </c>
      <c r="AB1410" s="46">
        <v>96</v>
      </c>
      <c r="AC1410" s="25"/>
      <c r="AD1410" s="25"/>
      <c r="AI1410" s="109" t="s">
        <v>279</v>
      </c>
      <c r="AJ1410" s="109" t="s">
        <v>280</v>
      </c>
      <c r="AK1410" s="109" t="s">
        <v>281</v>
      </c>
      <c r="AL1410" s="109" t="s">
        <v>282</v>
      </c>
      <c r="BA1410" s="228"/>
    </row>
    <row r="1411" spans="1:53" ht="15" thickBot="1" x14ac:dyDescent="0.35">
      <c r="A1411" s="88"/>
      <c r="B1411" s="66" t="s">
        <v>283</v>
      </c>
      <c r="C1411" s="67"/>
      <c r="D1411" s="102"/>
      <c r="E1411" s="32"/>
      <c r="F1411" s="32"/>
      <c r="G1411" s="68" t="s">
        <v>285</v>
      </c>
      <c r="H1411" s="69">
        <f>IF(I1411=0,0,I1411-(E1411-1))</f>
        <v>0</v>
      </c>
      <c r="I1411" s="70">
        <f>IF(E1411=0,0,I1406)</f>
        <v>0</v>
      </c>
      <c r="J1411" s="71" t="s">
        <v>286</v>
      </c>
      <c r="K1411" s="32"/>
      <c r="L1411" s="233"/>
      <c r="M1411" s="278"/>
      <c r="N1411" s="278"/>
      <c r="O1411" s="278"/>
      <c r="P1411" s="278"/>
      <c r="Q1411" s="278"/>
      <c r="R1411" s="278"/>
      <c r="S1411" s="278"/>
      <c r="T1411" s="278"/>
      <c r="U1411" s="27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 thickBot="1" x14ac:dyDescent="0.35">
      <c r="A1412" s="88"/>
      <c r="B1412" s="66" t="s">
        <v>288</v>
      </c>
      <c r="C1412" s="67"/>
      <c r="D1412" s="102"/>
      <c r="E1412" s="32"/>
      <c r="F1412" s="32"/>
      <c r="G1412" s="68" t="s">
        <v>285</v>
      </c>
      <c r="H1412" s="69">
        <f t="shared" ref="H1412:H1435" si="587">IF(E1412=0,0,I1412-(E1412-1))</f>
        <v>0</v>
      </c>
      <c r="I1412" s="70">
        <f t="shared" ref="I1412:I1435" si="588">IF(E1412=0,0,H1411-1)</f>
        <v>0</v>
      </c>
      <c r="J1412" s="73" t="str">
        <f>IF(C1412="","--",IF(AND(C1412&lt;&gt;"FST",C1412&lt;&gt;"TCF",BA1411&lt;&gt;0),BA1411,"--"))</f>
        <v>--</v>
      </c>
      <c r="K1412" s="32"/>
      <c r="L1412" s="233"/>
      <c r="M1412" s="278"/>
      <c r="N1412" s="278"/>
      <c r="O1412" s="278"/>
      <c r="P1412" s="278"/>
      <c r="Q1412" s="278"/>
      <c r="R1412" s="278"/>
      <c r="S1412" s="278"/>
      <c r="T1412" s="278"/>
      <c r="U1412" s="27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 thickBot="1" x14ac:dyDescent="0.35">
      <c r="A1413" s="88"/>
      <c r="B1413" s="74" t="s">
        <v>290</v>
      </c>
      <c r="C1413" s="67"/>
      <c r="D1413" s="102"/>
      <c r="E1413" s="32"/>
      <c r="F1413" s="32"/>
      <c r="G1413" s="75" t="s">
        <v>285</v>
      </c>
      <c r="H1413" s="69">
        <f t="shared" si="587"/>
        <v>0</v>
      </c>
      <c r="I1413" s="70">
        <f t="shared" si="588"/>
        <v>0</v>
      </c>
      <c r="J1413" s="73" t="str">
        <f t="shared" ref="J1413:J1435" si="589">IF(C1413="","--",IF(AND(C1413&lt;&gt;"FST",C1413&lt;&gt;"TCF",BA1412&lt;&gt;0),BA1412,"--"))</f>
        <v>--</v>
      </c>
      <c r="K1413" s="32"/>
      <c r="L1413" s="233"/>
      <c r="M1413" s="278"/>
      <c r="N1413" s="278"/>
      <c r="O1413" s="278"/>
      <c r="P1413" s="278"/>
      <c r="Q1413" s="278"/>
      <c r="R1413" s="278"/>
      <c r="S1413" s="278"/>
      <c r="T1413" s="278"/>
      <c r="U1413" s="27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 thickBot="1" x14ac:dyDescent="0.35">
      <c r="A1414" s="88"/>
      <c r="B1414" s="66" t="s">
        <v>292</v>
      </c>
      <c r="C1414" s="67"/>
      <c r="D1414" s="102"/>
      <c r="E1414" s="32"/>
      <c r="F1414" s="32"/>
      <c r="G1414" s="68" t="s">
        <v>285</v>
      </c>
      <c r="H1414" s="69">
        <f t="shared" si="587"/>
        <v>0</v>
      </c>
      <c r="I1414" s="70">
        <f t="shared" si="588"/>
        <v>0</v>
      </c>
      <c r="J1414" s="73" t="str">
        <f t="shared" si="589"/>
        <v>--</v>
      </c>
      <c r="K1414" s="32"/>
      <c r="L1414" s="233"/>
      <c r="M1414" s="278"/>
      <c r="N1414" s="278"/>
      <c r="O1414" s="278"/>
      <c r="P1414" s="278"/>
      <c r="Q1414" s="278"/>
      <c r="R1414" s="278"/>
      <c r="S1414" s="278"/>
      <c r="T1414" s="278"/>
      <c r="U1414" s="27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 thickBot="1" x14ac:dyDescent="0.35">
      <c r="A1415" s="88"/>
      <c r="B1415" s="66" t="s">
        <v>293</v>
      </c>
      <c r="C1415" s="67"/>
      <c r="D1415" s="102"/>
      <c r="E1415" s="32"/>
      <c r="F1415" s="32"/>
      <c r="G1415" s="68" t="s">
        <v>285</v>
      </c>
      <c r="H1415" s="69">
        <f t="shared" si="587"/>
        <v>0</v>
      </c>
      <c r="I1415" s="70">
        <f t="shared" si="588"/>
        <v>0</v>
      </c>
      <c r="J1415" s="73" t="str">
        <f t="shared" si="589"/>
        <v>--</v>
      </c>
      <c r="K1415" s="32"/>
      <c r="L1415" s="233"/>
      <c r="M1415" s="278"/>
      <c r="N1415" s="278"/>
      <c r="O1415" s="278"/>
      <c r="P1415" s="278"/>
      <c r="Q1415" s="278"/>
      <c r="R1415" s="278"/>
      <c r="S1415" s="278"/>
      <c r="T1415" s="278"/>
      <c r="U1415" s="27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 thickBot="1" x14ac:dyDescent="0.35">
      <c r="A1416" s="88"/>
      <c r="B1416" s="66" t="s">
        <v>294</v>
      </c>
      <c r="C1416" s="67"/>
      <c r="D1416" s="102"/>
      <c r="E1416" s="32"/>
      <c r="F1416" s="32"/>
      <c r="G1416" s="68" t="s">
        <v>285</v>
      </c>
      <c r="H1416" s="69">
        <f t="shared" si="587"/>
        <v>0</v>
      </c>
      <c r="I1416" s="70">
        <f t="shared" si="588"/>
        <v>0</v>
      </c>
      <c r="J1416" s="73" t="str">
        <f t="shared" si="589"/>
        <v>--</v>
      </c>
      <c r="K1416" s="32"/>
      <c r="L1416" s="233"/>
      <c r="M1416" s="278"/>
      <c r="N1416" s="278"/>
      <c r="O1416" s="278"/>
      <c r="P1416" s="278"/>
      <c r="Q1416" s="278"/>
      <c r="R1416" s="278"/>
      <c r="S1416" s="278"/>
      <c r="T1416" s="278"/>
      <c r="U1416" s="27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 thickBot="1" x14ac:dyDescent="0.35">
      <c r="A1417" s="88"/>
      <c r="B1417" s="66" t="s">
        <v>295</v>
      </c>
      <c r="C1417" s="67"/>
      <c r="D1417" s="102"/>
      <c r="E1417" s="32"/>
      <c r="F1417" s="32"/>
      <c r="G1417" s="68" t="s">
        <v>285</v>
      </c>
      <c r="H1417" s="69">
        <f t="shared" si="587"/>
        <v>0</v>
      </c>
      <c r="I1417" s="70">
        <f t="shared" si="588"/>
        <v>0</v>
      </c>
      <c r="J1417" s="73" t="str">
        <f t="shared" si="589"/>
        <v>--</v>
      </c>
      <c r="K1417" s="32"/>
      <c r="L1417" s="233"/>
      <c r="M1417" s="278"/>
      <c r="N1417" s="278"/>
      <c r="O1417" s="278"/>
      <c r="P1417" s="278"/>
      <c r="Q1417" s="278"/>
      <c r="R1417" s="278"/>
      <c r="S1417" s="278"/>
      <c r="T1417" s="278"/>
      <c r="U1417" s="27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 thickBot="1" x14ac:dyDescent="0.35">
      <c r="A1418" s="88"/>
      <c r="B1418" s="66" t="s">
        <v>296</v>
      </c>
      <c r="C1418" s="67"/>
      <c r="D1418" s="102"/>
      <c r="E1418" s="32"/>
      <c r="F1418" s="32"/>
      <c r="G1418" s="68" t="s">
        <v>285</v>
      </c>
      <c r="H1418" s="69">
        <f t="shared" si="587"/>
        <v>0</v>
      </c>
      <c r="I1418" s="70">
        <f t="shared" si="588"/>
        <v>0</v>
      </c>
      <c r="J1418" s="73" t="str">
        <f t="shared" si="589"/>
        <v>--</v>
      </c>
      <c r="K1418" s="32"/>
      <c r="L1418" s="233"/>
      <c r="M1418" s="278"/>
      <c r="N1418" s="278"/>
      <c r="O1418" s="278"/>
      <c r="P1418" s="278"/>
      <c r="Q1418" s="278"/>
      <c r="R1418" s="278"/>
      <c r="S1418" s="278"/>
      <c r="T1418" s="278"/>
      <c r="U1418" s="27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 thickBot="1" x14ac:dyDescent="0.35">
      <c r="A1419" s="88"/>
      <c r="B1419" s="66" t="s">
        <v>297</v>
      </c>
      <c r="C1419" s="67"/>
      <c r="D1419" s="102"/>
      <c r="E1419" s="32"/>
      <c r="F1419" s="32"/>
      <c r="G1419" s="68" t="s">
        <v>285</v>
      </c>
      <c r="H1419" s="69">
        <f t="shared" si="587"/>
        <v>0</v>
      </c>
      <c r="I1419" s="70">
        <f t="shared" si="588"/>
        <v>0</v>
      </c>
      <c r="J1419" s="73" t="str">
        <f t="shared" si="589"/>
        <v>--</v>
      </c>
      <c r="K1419" s="32"/>
      <c r="L1419" s="233"/>
      <c r="M1419" s="278"/>
      <c r="N1419" s="278"/>
      <c r="O1419" s="278"/>
      <c r="P1419" s="278"/>
      <c r="Q1419" s="278"/>
      <c r="R1419" s="278"/>
      <c r="S1419" s="278"/>
      <c r="T1419" s="278"/>
      <c r="U1419" s="27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 thickBot="1" x14ac:dyDescent="0.35">
      <c r="A1420" s="88"/>
      <c r="B1420" s="66" t="s">
        <v>298</v>
      </c>
      <c r="C1420" s="67"/>
      <c r="D1420" s="102"/>
      <c r="E1420" s="32"/>
      <c r="F1420" s="32"/>
      <c r="G1420" s="68" t="s">
        <v>285</v>
      </c>
      <c r="H1420" s="69">
        <f t="shared" si="587"/>
        <v>0</v>
      </c>
      <c r="I1420" s="70">
        <f t="shared" si="588"/>
        <v>0</v>
      </c>
      <c r="J1420" s="73" t="str">
        <f t="shared" si="589"/>
        <v>--</v>
      </c>
      <c r="K1420" s="32"/>
      <c r="L1420" s="233"/>
      <c r="M1420" s="278"/>
      <c r="N1420" s="278"/>
      <c r="O1420" s="278"/>
      <c r="P1420" s="278"/>
      <c r="Q1420" s="278"/>
      <c r="R1420" s="278"/>
      <c r="S1420" s="278"/>
      <c r="T1420" s="278"/>
      <c r="U1420" s="27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 thickBot="1" x14ac:dyDescent="0.35">
      <c r="A1421" s="88"/>
      <c r="B1421" s="66" t="s">
        <v>299</v>
      </c>
      <c r="C1421" s="67"/>
      <c r="D1421" s="102"/>
      <c r="E1421" s="32"/>
      <c r="F1421" s="32"/>
      <c r="G1421" s="68" t="s">
        <v>285</v>
      </c>
      <c r="H1421" s="69">
        <f t="shared" si="587"/>
        <v>0</v>
      </c>
      <c r="I1421" s="70">
        <f t="shared" si="588"/>
        <v>0</v>
      </c>
      <c r="J1421" s="73" t="str">
        <f t="shared" si="589"/>
        <v>--</v>
      </c>
      <c r="K1421" s="32"/>
      <c r="L1421" s="233"/>
      <c r="M1421" s="278"/>
      <c r="N1421" s="278"/>
      <c r="O1421" s="278"/>
      <c r="P1421" s="278"/>
      <c r="Q1421" s="278"/>
      <c r="R1421" s="278"/>
      <c r="S1421" s="278"/>
      <c r="T1421" s="278"/>
      <c r="U1421" s="27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 thickBot="1" x14ac:dyDescent="0.35">
      <c r="A1422" s="88"/>
      <c r="B1422" s="66" t="s">
        <v>300</v>
      </c>
      <c r="C1422" s="67"/>
      <c r="D1422" s="102"/>
      <c r="E1422" s="32"/>
      <c r="F1422" s="32"/>
      <c r="G1422" s="68" t="s">
        <v>285</v>
      </c>
      <c r="H1422" s="69">
        <f t="shared" si="587"/>
        <v>0</v>
      </c>
      <c r="I1422" s="70">
        <f t="shared" si="588"/>
        <v>0</v>
      </c>
      <c r="J1422" s="73" t="str">
        <f t="shared" si="589"/>
        <v>--</v>
      </c>
      <c r="K1422" s="32"/>
      <c r="L1422" s="233"/>
      <c r="M1422" s="278"/>
      <c r="N1422" s="278"/>
      <c r="O1422" s="278"/>
      <c r="P1422" s="278"/>
      <c r="Q1422" s="278"/>
      <c r="R1422" s="278"/>
      <c r="S1422" s="278"/>
      <c r="T1422" s="278"/>
      <c r="U1422" s="27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 thickBot="1" x14ac:dyDescent="0.35">
      <c r="A1423" s="88"/>
      <c r="B1423" s="66" t="s">
        <v>301</v>
      </c>
      <c r="C1423" s="67"/>
      <c r="D1423" s="102"/>
      <c r="E1423" s="32"/>
      <c r="F1423" s="32"/>
      <c r="G1423" s="68" t="s">
        <v>285</v>
      </c>
      <c r="H1423" s="69">
        <f t="shared" si="587"/>
        <v>0</v>
      </c>
      <c r="I1423" s="70">
        <f t="shared" si="588"/>
        <v>0</v>
      </c>
      <c r="J1423" s="73" t="str">
        <f t="shared" si="589"/>
        <v>--</v>
      </c>
      <c r="K1423" s="32"/>
      <c r="L1423" s="233"/>
      <c r="M1423" s="278"/>
      <c r="N1423" s="278"/>
      <c r="O1423" s="278"/>
      <c r="P1423" s="278"/>
      <c r="Q1423" s="278"/>
      <c r="R1423" s="278"/>
      <c r="S1423" s="278"/>
      <c r="T1423" s="278"/>
      <c r="U1423" s="27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 thickBot="1" x14ac:dyDescent="0.35">
      <c r="A1424" s="88"/>
      <c r="B1424" s="66" t="s">
        <v>302</v>
      </c>
      <c r="C1424" s="67"/>
      <c r="D1424" s="102"/>
      <c r="E1424" s="32"/>
      <c r="F1424" s="32"/>
      <c r="G1424" s="68" t="s">
        <v>285</v>
      </c>
      <c r="H1424" s="69">
        <f t="shared" si="587"/>
        <v>0</v>
      </c>
      <c r="I1424" s="70">
        <f t="shared" si="588"/>
        <v>0</v>
      </c>
      <c r="J1424" s="73" t="str">
        <f t="shared" si="589"/>
        <v>--</v>
      </c>
      <c r="K1424" s="32"/>
      <c r="L1424" s="233"/>
      <c r="M1424" s="278"/>
      <c r="N1424" s="278"/>
      <c r="O1424" s="278"/>
      <c r="P1424" s="278"/>
      <c r="Q1424" s="278"/>
      <c r="R1424" s="278"/>
      <c r="S1424" s="278"/>
      <c r="T1424" s="278"/>
      <c r="U1424" s="27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 thickBot="1" x14ac:dyDescent="0.35">
      <c r="A1425" s="88"/>
      <c r="B1425" s="66" t="s">
        <v>303</v>
      </c>
      <c r="C1425" s="67"/>
      <c r="D1425" s="102"/>
      <c r="E1425" s="32"/>
      <c r="F1425" s="32"/>
      <c r="G1425" s="68" t="s">
        <v>285</v>
      </c>
      <c r="H1425" s="69">
        <f t="shared" si="587"/>
        <v>0</v>
      </c>
      <c r="I1425" s="70">
        <f t="shared" si="588"/>
        <v>0</v>
      </c>
      <c r="J1425" s="73" t="str">
        <f t="shared" si="589"/>
        <v>--</v>
      </c>
      <c r="K1425" s="32"/>
      <c r="L1425" s="233"/>
      <c r="M1425" s="278"/>
      <c r="N1425" s="278"/>
      <c r="O1425" s="278"/>
      <c r="P1425" s="278"/>
      <c r="Q1425" s="278"/>
      <c r="R1425" s="278"/>
      <c r="S1425" s="278"/>
      <c r="T1425" s="278"/>
      <c r="U1425" s="27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 thickBot="1" x14ac:dyDescent="0.35">
      <c r="A1426" s="88"/>
      <c r="B1426" s="66" t="s">
        <v>304</v>
      </c>
      <c r="C1426" s="67"/>
      <c r="D1426" s="102"/>
      <c r="E1426" s="32"/>
      <c r="F1426" s="32"/>
      <c r="G1426" s="68" t="s">
        <v>285</v>
      </c>
      <c r="H1426" s="69">
        <f t="shared" si="587"/>
        <v>0</v>
      </c>
      <c r="I1426" s="70">
        <f t="shared" si="588"/>
        <v>0</v>
      </c>
      <c r="J1426" s="73" t="str">
        <f t="shared" si="589"/>
        <v>--</v>
      </c>
      <c r="K1426" s="32"/>
      <c r="L1426" s="233"/>
      <c r="M1426" s="278"/>
      <c r="N1426" s="278"/>
      <c r="O1426" s="278"/>
      <c r="P1426" s="278"/>
      <c r="Q1426" s="278"/>
      <c r="R1426" s="278"/>
      <c r="S1426" s="278"/>
      <c r="T1426" s="278"/>
      <c r="U1426" s="27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 thickBot="1" x14ac:dyDescent="0.35">
      <c r="A1427" s="88"/>
      <c r="B1427" s="66" t="s">
        <v>305</v>
      </c>
      <c r="C1427" s="67"/>
      <c r="D1427" s="102"/>
      <c r="E1427" s="32"/>
      <c r="F1427" s="32"/>
      <c r="G1427" s="68" t="s">
        <v>285</v>
      </c>
      <c r="H1427" s="69">
        <f t="shared" si="587"/>
        <v>0</v>
      </c>
      <c r="I1427" s="70">
        <f t="shared" si="588"/>
        <v>0</v>
      </c>
      <c r="J1427" s="73" t="str">
        <f t="shared" si="589"/>
        <v>--</v>
      </c>
      <c r="K1427" s="32"/>
      <c r="L1427" s="233"/>
      <c r="M1427" s="278"/>
      <c r="N1427" s="278"/>
      <c r="O1427" s="278"/>
      <c r="P1427" s="278"/>
      <c r="Q1427" s="278"/>
      <c r="R1427" s="278"/>
      <c r="S1427" s="278"/>
      <c r="T1427" s="278"/>
      <c r="U1427" s="27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 thickBot="1" x14ac:dyDescent="0.35">
      <c r="A1428" s="88"/>
      <c r="B1428" s="66" t="s">
        <v>306</v>
      </c>
      <c r="C1428" s="67"/>
      <c r="D1428" s="102"/>
      <c r="E1428" s="32"/>
      <c r="F1428" s="32"/>
      <c r="G1428" s="68" t="s">
        <v>285</v>
      </c>
      <c r="H1428" s="69">
        <f t="shared" si="587"/>
        <v>0</v>
      </c>
      <c r="I1428" s="70">
        <f t="shared" si="588"/>
        <v>0</v>
      </c>
      <c r="J1428" s="73" t="str">
        <f t="shared" si="589"/>
        <v>--</v>
      </c>
      <c r="K1428" s="32"/>
      <c r="L1428" s="233"/>
      <c r="M1428" s="278"/>
      <c r="N1428" s="278"/>
      <c r="O1428" s="278"/>
      <c r="P1428" s="278"/>
      <c r="Q1428" s="278"/>
      <c r="R1428" s="278"/>
      <c r="S1428" s="278"/>
      <c r="T1428" s="278"/>
      <c r="U1428" s="27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 thickBot="1" x14ac:dyDescent="0.35">
      <c r="A1429" s="88"/>
      <c r="B1429" s="66" t="s">
        <v>307</v>
      </c>
      <c r="C1429" s="67"/>
      <c r="D1429" s="102"/>
      <c r="E1429" s="32"/>
      <c r="F1429" s="32"/>
      <c r="G1429" s="68" t="s">
        <v>285</v>
      </c>
      <c r="H1429" s="69">
        <f t="shared" si="587"/>
        <v>0</v>
      </c>
      <c r="I1429" s="70">
        <f t="shared" si="588"/>
        <v>0</v>
      </c>
      <c r="J1429" s="73" t="str">
        <f t="shared" si="589"/>
        <v>--</v>
      </c>
      <c r="K1429" s="32"/>
      <c r="L1429" s="233"/>
      <c r="M1429" s="278"/>
      <c r="N1429" s="278"/>
      <c r="O1429" s="278"/>
      <c r="P1429" s="278"/>
      <c r="Q1429" s="278"/>
      <c r="R1429" s="278"/>
      <c r="S1429" s="278"/>
      <c r="T1429" s="278"/>
      <c r="U1429" s="27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 thickBot="1" x14ac:dyDescent="0.35">
      <c r="A1430" s="88"/>
      <c r="B1430" s="66" t="s">
        <v>308</v>
      </c>
      <c r="C1430" s="67"/>
      <c r="D1430" s="102"/>
      <c r="E1430" s="32"/>
      <c r="F1430" s="32"/>
      <c r="G1430" s="68" t="s">
        <v>285</v>
      </c>
      <c r="H1430" s="69">
        <f t="shared" si="587"/>
        <v>0</v>
      </c>
      <c r="I1430" s="70">
        <f t="shared" si="588"/>
        <v>0</v>
      </c>
      <c r="J1430" s="73" t="str">
        <f t="shared" si="589"/>
        <v>--</v>
      </c>
      <c r="K1430" s="32"/>
      <c r="L1430" s="233"/>
      <c r="M1430" s="278"/>
      <c r="N1430" s="278"/>
      <c r="O1430" s="278"/>
      <c r="P1430" s="278"/>
      <c r="Q1430" s="278"/>
      <c r="R1430" s="278"/>
      <c r="S1430" s="278"/>
      <c r="T1430" s="278"/>
      <c r="U1430" s="27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 thickBot="1" x14ac:dyDescent="0.35">
      <c r="A1431" s="88"/>
      <c r="B1431" s="66" t="s">
        <v>309</v>
      </c>
      <c r="C1431" s="67"/>
      <c r="D1431" s="102"/>
      <c r="E1431" s="32"/>
      <c r="F1431" s="32"/>
      <c r="G1431" s="68" t="s">
        <v>285</v>
      </c>
      <c r="H1431" s="69">
        <f t="shared" si="587"/>
        <v>0</v>
      </c>
      <c r="I1431" s="70">
        <f t="shared" si="588"/>
        <v>0</v>
      </c>
      <c r="J1431" s="73" t="str">
        <f t="shared" si="589"/>
        <v>--</v>
      </c>
      <c r="K1431" s="32"/>
      <c r="L1431" s="233"/>
      <c r="M1431" s="278"/>
      <c r="N1431" s="278"/>
      <c r="O1431" s="278"/>
      <c r="P1431" s="278"/>
      <c r="Q1431" s="278"/>
      <c r="R1431" s="278"/>
      <c r="S1431" s="278"/>
      <c r="T1431" s="278"/>
      <c r="U1431" s="27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 thickBot="1" x14ac:dyDescent="0.35">
      <c r="A1432" s="88"/>
      <c r="B1432" s="66" t="s">
        <v>310</v>
      </c>
      <c r="C1432" s="67"/>
      <c r="D1432" s="102"/>
      <c r="E1432" s="32"/>
      <c r="F1432" s="32"/>
      <c r="G1432" s="68" t="s">
        <v>285</v>
      </c>
      <c r="H1432" s="69">
        <f t="shared" si="587"/>
        <v>0</v>
      </c>
      <c r="I1432" s="70">
        <f t="shared" si="588"/>
        <v>0</v>
      </c>
      <c r="J1432" s="73" t="str">
        <f t="shared" si="589"/>
        <v>--</v>
      </c>
      <c r="K1432" s="32"/>
      <c r="L1432" s="233"/>
      <c r="M1432" s="278"/>
      <c r="N1432" s="278"/>
      <c r="O1432" s="278"/>
      <c r="P1432" s="278"/>
      <c r="Q1432" s="278"/>
      <c r="R1432" s="278"/>
      <c r="S1432" s="278"/>
      <c r="T1432" s="278"/>
      <c r="U1432" s="27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 thickBot="1" x14ac:dyDescent="0.35">
      <c r="A1433" s="88"/>
      <c r="B1433" s="66" t="s">
        <v>311</v>
      </c>
      <c r="C1433" s="67"/>
      <c r="D1433" s="102"/>
      <c r="E1433" s="32"/>
      <c r="F1433" s="32"/>
      <c r="G1433" s="68" t="s">
        <v>285</v>
      </c>
      <c r="H1433" s="69">
        <f t="shared" si="587"/>
        <v>0</v>
      </c>
      <c r="I1433" s="70">
        <f t="shared" si="588"/>
        <v>0</v>
      </c>
      <c r="J1433" s="73" t="str">
        <f t="shared" si="589"/>
        <v>--</v>
      </c>
      <c r="K1433" s="32"/>
      <c r="L1433" s="233"/>
      <c r="M1433" s="278"/>
      <c r="N1433" s="278"/>
      <c r="O1433" s="278"/>
      <c r="P1433" s="278"/>
      <c r="Q1433" s="278"/>
      <c r="R1433" s="278"/>
      <c r="S1433" s="278"/>
      <c r="T1433" s="278"/>
      <c r="U1433" s="27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 thickBot="1" x14ac:dyDescent="0.35">
      <c r="A1434" s="88"/>
      <c r="B1434" s="66" t="s">
        <v>312</v>
      </c>
      <c r="C1434" s="67"/>
      <c r="D1434" s="102"/>
      <c r="E1434" s="32"/>
      <c r="F1434" s="32"/>
      <c r="G1434" s="68" t="s">
        <v>285</v>
      </c>
      <c r="H1434" s="69">
        <f t="shared" si="587"/>
        <v>0</v>
      </c>
      <c r="I1434" s="70">
        <f t="shared" si="588"/>
        <v>0</v>
      </c>
      <c r="J1434" s="73" t="str">
        <f t="shared" si="589"/>
        <v>--</v>
      </c>
      <c r="K1434" s="32"/>
      <c r="L1434" s="233"/>
      <c r="M1434" s="278"/>
      <c r="N1434" s="278"/>
      <c r="O1434" s="278"/>
      <c r="P1434" s="278"/>
      <c r="Q1434" s="278"/>
      <c r="R1434" s="278"/>
      <c r="S1434" s="278"/>
      <c r="T1434" s="278"/>
      <c r="U1434" s="27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 thickBot="1" x14ac:dyDescent="0.35">
      <c r="A1435" s="88"/>
      <c r="B1435" s="66" t="s">
        <v>313</v>
      </c>
      <c r="C1435" s="67"/>
      <c r="D1435" s="102"/>
      <c r="E1435" s="32"/>
      <c r="F1435" s="32"/>
      <c r="G1435" s="68" t="s">
        <v>285</v>
      </c>
      <c r="H1435" s="69">
        <f t="shared" si="587"/>
        <v>0</v>
      </c>
      <c r="I1435" s="70">
        <f t="shared" si="588"/>
        <v>0</v>
      </c>
      <c r="J1435" s="73" t="str">
        <f t="shared" si="589"/>
        <v>--</v>
      </c>
      <c r="K1435" s="32"/>
      <c r="L1435" s="234"/>
      <c r="M1435" s="278"/>
      <c r="N1435" s="278"/>
      <c r="O1435" s="278"/>
      <c r="P1435" s="278"/>
      <c r="Q1435" s="278"/>
      <c r="R1435" s="278"/>
      <c r="S1435" s="278"/>
      <c r="T1435" s="278"/>
      <c r="U1435" s="27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2" thickBot="1" x14ac:dyDescent="0.35">
      <c r="A1436" s="88"/>
      <c r="B1436" s="319" t="s">
        <v>444</v>
      </c>
      <c r="C1436" s="320"/>
      <c r="D1436" s="79"/>
      <c r="E1436" s="80"/>
      <c r="F1436" s="80"/>
      <c r="G1436" s="81"/>
      <c r="H1436" s="192"/>
      <c r="I1436" s="192"/>
      <c r="J1436" s="192"/>
      <c r="K1436" s="82"/>
      <c r="L1436" s="319" t="s">
        <v>319</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2" thickBot="1" x14ac:dyDescent="0.35">
      <c r="A1437" s="88"/>
      <c r="B1437" s="319" t="s">
        <v>320</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3">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 thickBot="1" x14ac:dyDescent="0.35">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5">
      <c r="A1440" s="88"/>
      <c r="B1440" s="85" t="s">
        <v>445</v>
      </c>
      <c r="C1440" s="25"/>
      <c r="D1440" s="25"/>
      <c r="E1440" s="25"/>
      <c r="F1440" s="88"/>
      <c r="G1440" s="25"/>
      <c r="H1440" s="25"/>
      <c r="I1440" s="87"/>
      <c r="J1440" s="26"/>
      <c r="K1440" s="25"/>
      <c r="L1440" s="25"/>
      <c r="M1440" s="196" t="s">
        <v>217</v>
      </c>
      <c r="N1440" s="196" t="s">
        <v>218</v>
      </c>
      <c r="O1440" s="196" t="s">
        <v>219</v>
      </c>
      <c r="P1440" s="196" t="s">
        <v>220</v>
      </c>
      <c r="Q1440" s="196" t="s">
        <v>221</v>
      </c>
      <c r="R1440" s="196" t="s">
        <v>222</v>
      </c>
      <c r="S1440" s="196" t="s">
        <v>223</v>
      </c>
      <c r="T1440" s="196" t="s">
        <v>224</v>
      </c>
      <c r="U1440" s="196" t="s">
        <v>225</v>
      </c>
      <c r="V1440" s="196" t="s">
        <v>226</v>
      </c>
      <c r="W1440" s="113" t="s">
        <v>227</v>
      </c>
      <c r="X1440" s="196" t="s">
        <v>228</v>
      </c>
      <c r="Y1440" s="25"/>
      <c r="Z1440" s="25"/>
      <c r="AA1440" s="25"/>
      <c r="AB1440" s="25"/>
      <c r="AC1440" s="25"/>
      <c r="AD1440" s="25"/>
      <c r="BA1440" s="226"/>
    </row>
    <row r="1441" spans="1:53" ht="15.6" thickTop="1" thickBot="1" x14ac:dyDescent="0.35">
      <c r="A1441" s="88"/>
      <c r="B1441" s="312" t="s">
        <v>229</v>
      </c>
      <c r="C1441" s="313"/>
      <c r="D1441" s="314" t="s">
        <v>230</v>
      </c>
      <c r="E1441" s="305"/>
      <c r="F1441" s="88"/>
      <c r="G1441" s="315" t="s">
        <v>231</v>
      </c>
      <c r="H1441" s="316"/>
      <c r="I1441" s="28">
        <f>SUM(E1452:E1476)</f>
        <v>0</v>
      </c>
      <c r="J1441" s="317" t="s">
        <v>232</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233</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234</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5">
      <c r="A1442" s="88"/>
      <c r="B1442" s="29" t="s">
        <v>235</v>
      </c>
      <c r="C1442" s="30">
        <v>0</v>
      </c>
      <c r="D1442" s="31" t="s">
        <v>236</v>
      </c>
      <c r="E1442" s="66" t="str">
        <f>TEXT(IF('Cable Calculator'!FW7="","",'Cable Calculator'!FW7),)</f>
        <v/>
      </c>
      <c r="F1442" s="88"/>
      <c r="G1442" s="304" t="s">
        <v>237</v>
      </c>
      <c r="H1442" s="305"/>
      <c r="I1442" s="33">
        <f>E1443-I1441</f>
        <v>0</v>
      </c>
      <c r="J1442" s="289" t="s">
        <v>238</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239</v>
      </c>
      <c r="AA1442" s="300" t="s">
        <v>240</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241</v>
      </c>
      <c r="AU1442" s="109">
        <f>COUNTIFS($E1442,"SS",$AS1442,"Y")</f>
        <v>0</v>
      </c>
      <c r="AV1442" s="111">
        <f>COUNTIFS($E1442,"RPX",$AS1442,"Y")</f>
        <v>0</v>
      </c>
      <c r="AW1442" s="111">
        <f>COUNTIFS($E1442,"EUC",$AS1442,"Y")</f>
        <v>0</v>
      </c>
      <c r="AX1442" s="109">
        <f>COUNTIFS($E1442,"RPX-T",$AS1442,"Y")</f>
        <v>0</v>
      </c>
      <c r="BA1442" s="227"/>
    </row>
    <row r="1443" spans="1:53" ht="15.6" thickTop="1" thickBot="1" x14ac:dyDescent="0.35">
      <c r="A1443" s="88"/>
      <c r="B1443" s="36" t="s">
        <v>242</v>
      </c>
      <c r="C1443" s="37">
        <v>0</v>
      </c>
      <c r="D1443" s="38" t="s">
        <v>243</v>
      </c>
      <c r="E1443" s="32"/>
      <c r="F1443" s="88"/>
      <c r="G1443" s="291" t="s">
        <v>244</v>
      </c>
      <c r="H1443" s="292"/>
      <c r="I1443" s="35">
        <f>IF(E1443=0,0,12-(MOD(I1441,12)))</f>
        <v>0</v>
      </c>
      <c r="J1443" s="289" t="s">
        <v>245</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246</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5">
      <c r="A1444" s="88"/>
      <c r="B1444" s="40" t="s">
        <v>247</v>
      </c>
      <c r="C1444" s="30">
        <v>0</v>
      </c>
      <c r="D1444" s="41" t="s">
        <v>248</v>
      </c>
      <c r="E1444" s="42"/>
      <c r="F1444" s="88"/>
      <c r="G1444" s="321" t="s">
        <v>249</v>
      </c>
      <c r="H1444" s="43" t="s">
        <v>250</v>
      </c>
      <c r="I1444" s="35">
        <f>IF(E1444&lt;&gt;0,1,0)</f>
        <v>0</v>
      </c>
      <c r="J1444" s="291" t="s">
        <v>251</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252</v>
      </c>
      <c r="AU1444" s="109">
        <f>COUNTIFS($E1442,"SS",$AS1444,"Y")</f>
        <v>0</v>
      </c>
      <c r="AV1444" s="108">
        <f>COUNTIFS($E1442,"RPX",$AS1444,"Y")</f>
        <v>0</v>
      </c>
      <c r="AW1444" s="108">
        <f>COUNTIFS($E1442,"EUC",$AS1444,"Y")</f>
        <v>0</v>
      </c>
      <c r="AX1444" s="109">
        <f>COUNTIFS($E1442,"RPX-T",$AS1444,"Y")</f>
        <v>0</v>
      </c>
      <c r="BA1444" s="227"/>
    </row>
    <row r="1445" spans="1:53" ht="15.6" thickTop="1" thickBot="1" x14ac:dyDescent="0.35">
      <c r="A1445" s="88"/>
      <c r="B1445" s="29" t="s">
        <v>253</v>
      </c>
      <c r="C1445" s="37">
        <v>0</v>
      </c>
      <c r="D1445" s="41" t="s">
        <v>254</v>
      </c>
      <c r="E1445" s="42"/>
      <c r="F1445" s="88"/>
      <c r="G1445" s="322"/>
      <c r="H1445" s="47" t="s">
        <v>255</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5">
      <c r="A1446" s="88"/>
      <c r="B1446" s="36" t="s">
        <v>256</v>
      </c>
      <c r="C1446" s="30">
        <v>0</v>
      </c>
      <c r="D1446" s="49" t="s">
        <v>257</v>
      </c>
      <c r="E1446" s="50">
        <f>E1443/12</f>
        <v>0</v>
      </c>
      <c r="F1446" s="88"/>
      <c r="G1446" s="321" t="s">
        <v>258</v>
      </c>
      <c r="H1446" s="51" t="s">
        <v>259</v>
      </c>
      <c r="I1446" s="112">
        <f>E1445</f>
        <v>0</v>
      </c>
      <c r="J1446" s="323" t="s">
        <v>260</v>
      </c>
      <c r="K1446" s="324"/>
      <c r="L1446" s="325"/>
      <c r="M1446" s="52" t="s">
        <v>261</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5.6" thickTop="1" thickBot="1" x14ac:dyDescent="0.35">
      <c r="A1447" s="88"/>
      <c r="B1447" s="36" t="s">
        <v>262</v>
      </c>
      <c r="C1447" s="30">
        <v>0</v>
      </c>
      <c r="D1447" s="31" t="s">
        <v>263</v>
      </c>
      <c r="E1447" s="101" t="str">
        <f>IF('Cable Calculator'!FW5="","",'Cable Calculator'!FW5)</f>
        <v/>
      </c>
      <c r="F1447" s="88"/>
      <c r="G1447" s="322"/>
      <c r="H1447" s="47" t="s">
        <v>264</v>
      </c>
      <c r="I1447" s="35" t="str">
        <f>IF(E1445="","0",IF(AND(E1442="EUC",E1443=432), I1446+(203-E1444),IF(E1445=0,0,(E1445+(E1443-E1444)-1))))</f>
        <v>0</v>
      </c>
      <c r="J1447" s="286" t="str">
        <f>IFERROR(IF(OR(E1442="EUC",E1442="SS"),"---",IF(OR(P1441,S1441),"NO 2F Tethers for RPX!",IF(OR(P1443,S1443),"NO 6F Tethers for RPX!","---"))),"---")</f>
        <v>---</v>
      </c>
      <c r="K1447" s="287"/>
      <c r="L1447" s="288"/>
      <c r="M1447" s="286" t="str">
        <f>IF(E1444&gt;60,"Dead Count &gt;60: Consider Downsize","---")</f>
        <v>---</v>
      </c>
      <c r="N1447" s="287"/>
      <c r="O1447" s="287"/>
      <c r="P1447" s="287"/>
      <c r="Q1447" s="287"/>
      <c r="R1447" s="287"/>
      <c r="S1447" s="287"/>
      <c r="T1447" s="287"/>
      <c r="U1447" s="288"/>
      <c r="V1447" s="100"/>
      <c r="W1447" s="54">
        <f>SUM(P1447:U1447)</f>
        <v>0</v>
      </c>
      <c r="X1447" s="54"/>
      <c r="Y1447" s="25"/>
      <c r="Z1447" s="45">
        <v>4</v>
      </c>
      <c r="AA1447" s="46">
        <v>37</v>
      </c>
      <c r="AB1447" s="46">
        <v>48</v>
      </c>
      <c r="AC1447" s="25"/>
      <c r="AD1447" s="25"/>
      <c r="BA1447" s="227"/>
    </row>
    <row r="1448" spans="1:53" ht="15.6" thickTop="1" thickBot="1" x14ac:dyDescent="0.35">
      <c r="A1448" s="88"/>
      <c r="B1448" s="55" t="s">
        <v>265</v>
      </c>
      <c r="C1448" s="56">
        <f>SUM(C1442:C1447)+I1441</f>
        <v>0</v>
      </c>
      <c r="D1448" s="31" t="s">
        <v>266</v>
      </c>
      <c r="E1448" s="101" t="str">
        <f>IF(AS1442="Y","DBL",IF(AS1443="Y","TRPL",IF(AS1444="Y","QUAD","")))</f>
        <v/>
      </c>
      <c r="F1448" s="88"/>
      <c r="G1448" s="192"/>
      <c r="H1448" s="57"/>
      <c r="I1448" s="192"/>
      <c r="J1448" s="286"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7"/>
      <c r="L1448" s="288"/>
      <c r="M1448" s="286" t="str">
        <f>IF(AND(OR(E1442="SS",E1442="RPX",E1442="EUC",E1442="RPX-T"),(OR(C1452="",C1452="Field SPL"))),"Cannot have FlexNap cables without tethers","---")</f>
        <v>---</v>
      </c>
      <c r="N1448" s="287"/>
      <c r="O1448" s="287"/>
      <c r="P1448" s="287"/>
      <c r="Q1448" s="287"/>
      <c r="R1448" s="287"/>
      <c r="S1448" s="287"/>
      <c r="T1448" s="287"/>
      <c r="U1448" s="288"/>
      <c r="V1448" s="25"/>
      <c r="W1448" s="58"/>
      <c r="X1448" s="58"/>
      <c r="Y1448" s="25"/>
      <c r="Z1448" s="45">
        <v>5</v>
      </c>
      <c r="AA1448" s="46">
        <v>49</v>
      </c>
      <c r="AB1448" s="46">
        <v>60</v>
      </c>
      <c r="AC1448" s="25"/>
      <c r="AD1448" s="25"/>
      <c r="BA1448" s="227"/>
    </row>
    <row r="1449" spans="1:53" ht="15.6" thickTop="1" thickBot="1" x14ac:dyDescent="0.35">
      <c r="A1449" s="88"/>
      <c r="B1449" s="59"/>
      <c r="C1449" s="60"/>
      <c r="D1449" s="61"/>
      <c r="E1449" s="62"/>
      <c r="F1449" s="88"/>
      <c r="G1449" s="63"/>
      <c r="H1449" s="64"/>
      <c r="I1449" s="63"/>
      <c r="J1449" s="286" t="str">
        <f>IF(AND(OR(E1442="RPX", E1442="RPX-T", E1442="SS"),E1443=216),"NO 216 For RPX, RPX-T, OR SS CABLE","---")</f>
        <v>---</v>
      </c>
      <c r="K1449" s="287"/>
      <c r="L1449" s="288"/>
      <c r="M1449" s="286" t="str" cm="1">
        <f t="array" ref="M1449">IF(AND(E1442="",OR(C1452:C1476="FST",C1452:C1476="REV T",C1452:C1476="DBL REV",C1452:C1476="TPL REV", C1452:C1476="QD REV")),"Non-FlexNap cables cannot have tethers","---")</f>
        <v>---</v>
      </c>
      <c r="N1449" s="287"/>
      <c r="O1449" s="287"/>
      <c r="P1449" s="287"/>
      <c r="Q1449" s="287"/>
      <c r="R1449" s="287"/>
      <c r="S1449" s="287"/>
      <c r="T1449" s="287"/>
      <c r="U1449" s="288"/>
      <c r="V1449" s="25"/>
      <c r="W1449" s="58"/>
      <c r="X1449" s="58"/>
      <c r="Y1449" s="25"/>
      <c r="Z1449" s="45">
        <v>6</v>
      </c>
      <c r="AA1449" s="65">
        <v>61</v>
      </c>
      <c r="AB1449" s="65">
        <v>72</v>
      </c>
      <c r="AC1449" s="25"/>
      <c r="AD1449" s="25"/>
      <c r="BA1449" s="226"/>
    </row>
    <row r="1450" spans="1:53" ht="15.75" customHeight="1" thickBot="1" x14ac:dyDescent="0.35">
      <c r="A1450" s="88"/>
      <c r="B1450" s="321" t="s">
        <v>267</v>
      </c>
      <c r="C1450" s="293" t="s">
        <v>268</v>
      </c>
      <c r="D1450" s="293" t="s">
        <v>269</v>
      </c>
      <c r="E1450" s="306" t="s">
        <v>270</v>
      </c>
      <c r="F1450" s="293" t="s">
        <v>271</v>
      </c>
      <c r="G1450" s="308" t="s">
        <v>272</v>
      </c>
      <c r="H1450" s="308" t="s">
        <v>273</v>
      </c>
      <c r="I1450" s="308" t="s">
        <v>274</v>
      </c>
      <c r="J1450" s="310" t="s">
        <v>275</v>
      </c>
      <c r="K1450" s="293" t="s">
        <v>276</v>
      </c>
      <c r="L1450" s="280" t="s">
        <v>277</v>
      </c>
      <c r="M1450" s="282" t="s">
        <v>278</v>
      </c>
      <c r="N1450" s="282"/>
      <c r="O1450" s="282"/>
      <c r="P1450" s="282"/>
      <c r="Q1450" s="282"/>
      <c r="R1450" s="282"/>
      <c r="S1450" s="282"/>
      <c r="T1450" s="282"/>
      <c r="U1450" s="283"/>
      <c r="V1450" s="107"/>
      <c r="W1450" s="72"/>
      <c r="X1450" s="72"/>
      <c r="Y1450" s="72"/>
      <c r="Z1450" s="45">
        <v>7</v>
      </c>
      <c r="AA1450" s="65">
        <v>73</v>
      </c>
      <c r="AB1450" s="65">
        <v>84</v>
      </c>
      <c r="AC1450" s="25"/>
      <c r="AD1450" s="25"/>
      <c r="BA1450" s="228"/>
    </row>
    <row r="1451" spans="1:53" ht="15" thickBot="1" x14ac:dyDescent="0.35">
      <c r="A1451" s="88"/>
      <c r="B1451" s="322"/>
      <c r="C1451" s="294"/>
      <c r="D1451" s="294"/>
      <c r="E1451" s="307"/>
      <c r="F1451" s="294"/>
      <c r="G1451" s="309"/>
      <c r="H1451" s="309"/>
      <c r="I1451" s="309"/>
      <c r="J1451" s="311"/>
      <c r="K1451" s="294"/>
      <c r="L1451" s="281"/>
      <c r="M1451" s="284"/>
      <c r="N1451" s="284"/>
      <c r="O1451" s="284"/>
      <c r="P1451" s="284"/>
      <c r="Q1451" s="284"/>
      <c r="R1451" s="284"/>
      <c r="S1451" s="284"/>
      <c r="T1451" s="284"/>
      <c r="U1451" s="285"/>
      <c r="V1451" s="107"/>
      <c r="W1451" s="72"/>
      <c r="X1451" s="72"/>
      <c r="Y1451" s="72"/>
      <c r="Z1451" s="45">
        <v>8</v>
      </c>
      <c r="AA1451" s="46">
        <v>85</v>
      </c>
      <c r="AB1451" s="46">
        <v>96</v>
      </c>
      <c r="AC1451" s="25"/>
      <c r="AD1451" s="25"/>
      <c r="AI1451" s="109" t="s">
        <v>279</v>
      </c>
      <c r="AJ1451" s="109" t="s">
        <v>280</v>
      </c>
      <c r="AK1451" s="109" t="s">
        <v>281</v>
      </c>
      <c r="AL1451" s="109" t="s">
        <v>282</v>
      </c>
      <c r="BA1451" s="228"/>
    </row>
    <row r="1452" spans="1:53" ht="15" thickBot="1" x14ac:dyDescent="0.35">
      <c r="A1452" s="88"/>
      <c r="B1452" s="66" t="s">
        <v>283</v>
      </c>
      <c r="C1452" s="67"/>
      <c r="D1452" s="102"/>
      <c r="E1452" s="32"/>
      <c r="F1452" s="32"/>
      <c r="G1452" s="68" t="s">
        <v>285</v>
      </c>
      <c r="H1452" s="69">
        <f>IF(I1452=0,0,I1452-(E1452-1))</f>
        <v>0</v>
      </c>
      <c r="I1452" s="70">
        <f>IF(E1452=0,0,I1447)</f>
        <v>0</v>
      </c>
      <c r="J1452" s="71" t="s">
        <v>286</v>
      </c>
      <c r="K1452" s="32"/>
      <c r="L1452" s="233"/>
      <c r="M1452" s="278"/>
      <c r="N1452" s="278"/>
      <c r="O1452" s="278"/>
      <c r="P1452" s="278"/>
      <c r="Q1452" s="278"/>
      <c r="R1452" s="278"/>
      <c r="S1452" s="278"/>
      <c r="T1452" s="278"/>
      <c r="U1452" s="27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 thickBot="1" x14ac:dyDescent="0.35">
      <c r="A1453" s="88"/>
      <c r="B1453" s="66" t="s">
        <v>288</v>
      </c>
      <c r="C1453" s="67"/>
      <c r="D1453" s="102"/>
      <c r="E1453" s="32"/>
      <c r="F1453" s="32"/>
      <c r="G1453" s="68" t="s">
        <v>285</v>
      </c>
      <c r="H1453" s="69">
        <f t="shared" ref="H1453:H1476" si="604">IF(E1453=0,0,I1453-(E1453-1))</f>
        <v>0</v>
      </c>
      <c r="I1453" s="70">
        <f t="shared" ref="I1453:I1476" si="605">IF(E1453=0,0,H1452-1)</f>
        <v>0</v>
      </c>
      <c r="J1453" s="73" t="str">
        <f>IF(C1453="","--",IF(AND(C1453&lt;&gt;"FST",C1453&lt;&gt;"TCF",BA1452&lt;&gt;0),BA1452,"--"))</f>
        <v>--</v>
      </c>
      <c r="K1453" s="32"/>
      <c r="L1453" s="233"/>
      <c r="M1453" s="278"/>
      <c r="N1453" s="278"/>
      <c r="O1453" s="278"/>
      <c r="P1453" s="278"/>
      <c r="Q1453" s="278"/>
      <c r="R1453" s="278"/>
      <c r="S1453" s="278"/>
      <c r="T1453" s="278"/>
      <c r="U1453" s="27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 thickBot="1" x14ac:dyDescent="0.35">
      <c r="A1454" s="88"/>
      <c r="B1454" s="74" t="s">
        <v>290</v>
      </c>
      <c r="C1454" s="67"/>
      <c r="D1454" s="102"/>
      <c r="E1454" s="32"/>
      <c r="F1454" s="32"/>
      <c r="G1454" s="75" t="s">
        <v>285</v>
      </c>
      <c r="H1454" s="69">
        <f t="shared" si="604"/>
        <v>0</v>
      </c>
      <c r="I1454" s="70">
        <f t="shared" si="605"/>
        <v>0</v>
      </c>
      <c r="J1454" s="73" t="str">
        <f t="shared" ref="J1454:J1476" si="606">IF(C1454="","--",IF(AND(C1454&lt;&gt;"FST",C1454&lt;&gt;"TCF",BA1453&lt;&gt;0),BA1453,"--"))</f>
        <v>--</v>
      </c>
      <c r="K1454" s="32"/>
      <c r="L1454" s="233"/>
      <c r="M1454" s="278"/>
      <c r="N1454" s="278"/>
      <c r="O1454" s="278"/>
      <c r="P1454" s="278"/>
      <c r="Q1454" s="278"/>
      <c r="R1454" s="278"/>
      <c r="S1454" s="278"/>
      <c r="T1454" s="278"/>
      <c r="U1454" s="27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 thickBot="1" x14ac:dyDescent="0.35">
      <c r="A1455" s="88"/>
      <c r="B1455" s="66" t="s">
        <v>292</v>
      </c>
      <c r="C1455" s="67"/>
      <c r="D1455" s="102"/>
      <c r="E1455" s="32"/>
      <c r="F1455" s="32"/>
      <c r="G1455" s="68" t="s">
        <v>285</v>
      </c>
      <c r="H1455" s="69">
        <f t="shared" si="604"/>
        <v>0</v>
      </c>
      <c r="I1455" s="70">
        <f t="shared" si="605"/>
        <v>0</v>
      </c>
      <c r="J1455" s="73" t="str">
        <f t="shared" si="606"/>
        <v>--</v>
      </c>
      <c r="K1455" s="32"/>
      <c r="L1455" s="233"/>
      <c r="M1455" s="278"/>
      <c r="N1455" s="278"/>
      <c r="O1455" s="278"/>
      <c r="P1455" s="278"/>
      <c r="Q1455" s="278"/>
      <c r="R1455" s="278"/>
      <c r="S1455" s="278"/>
      <c r="T1455" s="278"/>
      <c r="U1455" s="27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 thickBot="1" x14ac:dyDescent="0.35">
      <c r="A1456" s="88"/>
      <c r="B1456" s="66" t="s">
        <v>293</v>
      </c>
      <c r="C1456" s="67"/>
      <c r="D1456" s="102"/>
      <c r="E1456" s="32"/>
      <c r="F1456" s="32"/>
      <c r="G1456" s="68" t="s">
        <v>285</v>
      </c>
      <c r="H1456" s="69">
        <f t="shared" si="604"/>
        <v>0</v>
      </c>
      <c r="I1456" s="70">
        <f t="shared" si="605"/>
        <v>0</v>
      </c>
      <c r="J1456" s="73" t="str">
        <f t="shared" si="606"/>
        <v>--</v>
      </c>
      <c r="K1456" s="32"/>
      <c r="L1456" s="233"/>
      <c r="M1456" s="278"/>
      <c r="N1456" s="278"/>
      <c r="O1456" s="278"/>
      <c r="P1456" s="278"/>
      <c r="Q1456" s="278"/>
      <c r="R1456" s="278"/>
      <c r="S1456" s="278"/>
      <c r="T1456" s="278"/>
      <c r="U1456" s="27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 thickBot="1" x14ac:dyDescent="0.35">
      <c r="A1457" s="88"/>
      <c r="B1457" s="66" t="s">
        <v>294</v>
      </c>
      <c r="C1457" s="67"/>
      <c r="D1457" s="102"/>
      <c r="E1457" s="32"/>
      <c r="F1457" s="32"/>
      <c r="G1457" s="68" t="s">
        <v>285</v>
      </c>
      <c r="H1457" s="69">
        <f t="shared" si="604"/>
        <v>0</v>
      </c>
      <c r="I1457" s="70">
        <f t="shared" si="605"/>
        <v>0</v>
      </c>
      <c r="J1457" s="73" t="str">
        <f t="shared" si="606"/>
        <v>--</v>
      </c>
      <c r="K1457" s="32"/>
      <c r="L1457" s="233"/>
      <c r="M1457" s="278"/>
      <c r="N1457" s="278"/>
      <c r="O1457" s="278"/>
      <c r="P1457" s="278"/>
      <c r="Q1457" s="278"/>
      <c r="R1457" s="278"/>
      <c r="S1457" s="278"/>
      <c r="T1457" s="278"/>
      <c r="U1457" s="27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 thickBot="1" x14ac:dyDescent="0.35">
      <c r="A1458" s="88"/>
      <c r="B1458" s="66" t="s">
        <v>295</v>
      </c>
      <c r="C1458" s="67"/>
      <c r="D1458" s="102"/>
      <c r="E1458" s="32"/>
      <c r="F1458" s="32"/>
      <c r="G1458" s="68" t="s">
        <v>285</v>
      </c>
      <c r="H1458" s="69">
        <f t="shared" si="604"/>
        <v>0</v>
      </c>
      <c r="I1458" s="70">
        <f t="shared" si="605"/>
        <v>0</v>
      </c>
      <c r="J1458" s="73" t="str">
        <f t="shared" si="606"/>
        <v>--</v>
      </c>
      <c r="K1458" s="32"/>
      <c r="L1458" s="233"/>
      <c r="M1458" s="278"/>
      <c r="N1458" s="278"/>
      <c r="O1458" s="278"/>
      <c r="P1458" s="278"/>
      <c r="Q1458" s="278"/>
      <c r="R1458" s="278"/>
      <c r="S1458" s="278"/>
      <c r="T1458" s="278"/>
      <c r="U1458" s="27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 thickBot="1" x14ac:dyDescent="0.35">
      <c r="A1459" s="88"/>
      <c r="B1459" s="66" t="s">
        <v>296</v>
      </c>
      <c r="C1459" s="67"/>
      <c r="D1459" s="102"/>
      <c r="E1459" s="32"/>
      <c r="F1459" s="32"/>
      <c r="G1459" s="68" t="s">
        <v>285</v>
      </c>
      <c r="H1459" s="69">
        <f t="shared" si="604"/>
        <v>0</v>
      </c>
      <c r="I1459" s="70">
        <f t="shared" si="605"/>
        <v>0</v>
      </c>
      <c r="J1459" s="73" t="str">
        <f t="shared" si="606"/>
        <v>--</v>
      </c>
      <c r="K1459" s="32"/>
      <c r="L1459" s="233"/>
      <c r="M1459" s="278"/>
      <c r="N1459" s="278"/>
      <c r="O1459" s="278"/>
      <c r="P1459" s="278"/>
      <c r="Q1459" s="278"/>
      <c r="R1459" s="278"/>
      <c r="S1459" s="278"/>
      <c r="T1459" s="278"/>
      <c r="U1459" s="27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 thickBot="1" x14ac:dyDescent="0.35">
      <c r="A1460" s="88"/>
      <c r="B1460" s="66" t="s">
        <v>297</v>
      </c>
      <c r="C1460" s="67"/>
      <c r="D1460" s="102"/>
      <c r="E1460" s="32"/>
      <c r="F1460" s="32"/>
      <c r="G1460" s="68" t="s">
        <v>285</v>
      </c>
      <c r="H1460" s="69">
        <f t="shared" si="604"/>
        <v>0</v>
      </c>
      <c r="I1460" s="70">
        <f t="shared" si="605"/>
        <v>0</v>
      </c>
      <c r="J1460" s="73" t="str">
        <f t="shared" si="606"/>
        <v>--</v>
      </c>
      <c r="K1460" s="32"/>
      <c r="L1460" s="233"/>
      <c r="M1460" s="278"/>
      <c r="N1460" s="278"/>
      <c r="O1460" s="278"/>
      <c r="P1460" s="278"/>
      <c r="Q1460" s="278"/>
      <c r="R1460" s="278"/>
      <c r="S1460" s="278"/>
      <c r="T1460" s="278"/>
      <c r="U1460" s="27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 thickBot="1" x14ac:dyDescent="0.35">
      <c r="A1461" s="88"/>
      <c r="B1461" s="66" t="s">
        <v>298</v>
      </c>
      <c r="C1461" s="67"/>
      <c r="D1461" s="102"/>
      <c r="E1461" s="32"/>
      <c r="F1461" s="32"/>
      <c r="G1461" s="68" t="s">
        <v>285</v>
      </c>
      <c r="H1461" s="69">
        <f t="shared" si="604"/>
        <v>0</v>
      </c>
      <c r="I1461" s="70">
        <f t="shared" si="605"/>
        <v>0</v>
      </c>
      <c r="J1461" s="73" t="str">
        <f t="shared" si="606"/>
        <v>--</v>
      </c>
      <c r="K1461" s="32"/>
      <c r="L1461" s="233"/>
      <c r="M1461" s="278"/>
      <c r="N1461" s="278"/>
      <c r="O1461" s="278"/>
      <c r="P1461" s="278"/>
      <c r="Q1461" s="278"/>
      <c r="R1461" s="278"/>
      <c r="S1461" s="278"/>
      <c r="T1461" s="278"/>
      <c r="U1461" s="27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 thickBot="1" x14ac:dyDescent="0.35">
      <c r="A1462" s="88"/>
      <c r="B1462" s="66" t="s">
        <v>299</v>
      </c>
      <c r="C1462" s="67"/>
      <c r="D1462" s="102"/>
      <c r="E1462" s="32"/>
      <c r="F1462" s="32"/>
      <c r="G1462" s="68" t="s">
        <v>285</v>
      </c>
      <c r="H1462" s="69">
        <f t="shared" si="604"/>
        <v>0</v>
      </c>
      <c r="I1462" s="70">
        <f t="shared" si="605"/>
        <v>0</v>
      </c>
      <c r="J1462" s="73" t="str">
        <f t="shared" si="606"/>
        <v>--</v>
      </c>
      <c r="K1462" s="32"/>
      <c r="L1462" s="233"/>
      <c r="M1462" s="278"/>
      <c r="N1462" s="278"/>
      <c r="O1462" s="278"/>
      <c r="P1462" s="278"/>
      <c r="Q1462" s="278"/>
      <c r="R1462" s="278"/>
      <c r="S1462" s="278"/>
      <c r="T1462" s="278"/>
      <c r="U1462" s="27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 thickBot="1" x14ac:dyDescent="0.35">
      <c r="A1463" s="88"/>
      <c r="B1463" s="66" t="s">
        <v>300</v>
      </c>
      <c r="C1463" s="67"/>
      <c r="D1463" s="102"/>
      <c r="E1463" s="32"/>
      <c r="F1463" s="32"/>
      <c r="G1463" s="68" t="s">
        <v>285</v>
      </c>
      <c r="H1463" s="69">
        <f t="shared" si="604"/>
        <v>0</v>
      </c>
      <c r="I1463" s="70">
        <f t="shared" si="605"/>
        <v>0</v>
      </c>
      <c r="J1463" s="73" t="str">
        <f t="shared" si="606"/>
        <v>--</v>
      </c>
      <c r="K1463" s="32"/>
      <c r="L1463" s="233"/>
      <c r="M1463" s="278"/>
      <c r="N1463" s="278"/>
      <c r="O1463" s="278"/>
      <c r="P1463" s="278"/>
      <c r="Q1463" s="278"/>
      <c r="R1463" s="278"/>
      <c r="S1463" s="278"/>
      <c r="T1463" s="278"/>
      <c r="U1463" s="27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 thickBot="1" x14ac:dyDescent="0.35">
      <c r="A1464" s="88"/>
      <c r="B1464" s="66" t="s">
        <v>301</v>
      </c>
      <c r="C1464" s="67"/>
      <c r="D1464" s="102"/>
      <c r="E1464" s="32"/>
      <c r="F1464" s="32"/>
      <c r="G1464" s="68" t="s">
        <v>285</v>
      </c>
      <c r="H1464" s="69">
        <f t="shared" si="604"/>
        <v>0</v>
      </c>
      <c r="I1464" s="70">
        <f t="shared" si="605"/>
        <v>0</v>
      </c>
      <c r="J1464" s="73" t="str">
        <f t="shared" si="606"/>
        <v>--</v>
      </c>
      <c r="K1464" s="32"/>
      <c r="L1464" s="233"/>
      <c r="M1464" s="278"/>
      <c r="N1464" s="278"/>
      <c r="O1464" s="278"/>
      <c r="P1464" s="278"/>
      <c r="Q1464" s="278"/>
      <c r="R1464" s="278"/>
      <c r="S1464" s="278"/>
      <c r="T1464" s="278"/>
      <c r="U1464" s="27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 thickBot="1" x14ac:dyDescent="0.35">
      <c r="A1465" s="88"/>
      <c r="B1465" s="66" t="s">
        <v>302</v>
      </c>
      <c r="C1465" s="67"/>
      <c r="D1465" s="102"/>
      <c r="E1465" s="32"/>
      <c r="F1465" s="32"/>
      <c r="G1465" s="68" t="s">
        <v>285</v>
      </c>
      <c r="H1465" s="69">
        <f t="shared" si="604"/>
        <v>0</v>
      </c>
      <c r="I1465" s="70">
        <f t="shared" si="605"/>
        <v>0</v>
      </c>
      <c r="J1465" s="73" t="str">
        <f t="shared" si="606"/>
        <v>--</v>
      </c>
      <c r="K1465" s="32"/>
      <c r="L1465" s="233"/>
      <c r="M1465" s="278"/>
      <c r="N1465" s="278"/>
      <c r="O1465" s="278"/>
      <c r="P1465" s="278"/>
      <c r="Q1465" s="278"/>
      <c r="R1465" s="278"/>
      <c r="S1465" s="278"/>
      <c r="T1465" s="278"/>
      <c r="U1465" s="27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 thickBot="1" x14ac:dyDescent="0.35">
      <c r="A1466" s="88"/>
      <c r="B1466" s="66" t="s">
        <v>303</v>
      </c>
      <c r="C1466" s="67"/>
      <c r="D1466" s="102"/>
      <c r="E1466" s="32"/>
      <c r="F1466" s="32"/>
      <c r="G1466" s="68" t="s">
        <v>285</v>
      </c>
      <c r="H1466" s="69">
        <f t="shared" si="604"/>
        <v>0</v>
      </c>
      <c r="I1466" s="70">
        <f t="shared" si="605"/>
        <v>0</v>
      </c>
      <c r="J1466" s="73" t="str">
        <f t="shared" si="606"/>
        <v>--</v>
      </c>
      <c r="K1466" s="32"/>
      <c r="L1466" s="233"/>
      <c r="M1466" s="278"/>
      <c r="N1466" s="278"/>
      <c r="O1466" s="278"/>
      <c r="P1466" s="278"/>
      <c r="Q1466" s="278"/>
      <c r="R1466" s="278"/>
      <c r="S1466" s="278"/>
      <c r="T1466" s="278"/>
      <c r="U1466" s="27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 thickBot="1" x14ac:dyDescent="0.35">
      <c r="A1467" s="88"/>
      <c r="B1467" s="66" t="s">
        <v>304</v>
      </c>
      <c r="C1467" s="67"/>
      <c r="D1467" s="102"/>
      <c r="E1467" s="32"/>
      <c r="F1467" s="32"/>
      <c r="G1467" s="68" t="s">
        <v>285</v>
      </c>
      <c r="H1467" s="69">
        <f t="shared" si="604"/>
        <v>0</v>
      </c>
      <c r="I1467" s="70">
        <f t="shared" si="605"/>
        <v>0</v>
      </c>
      <c r="J1467" s="73" t="str">
        <f t="shared" si="606"/>
        <v>--</v>
      </c>
      <c r="K1467" s="32"/>
      <c r="L1467" s="233"/>
      <c r="M1467" s="278"/>
      <c r="N1467" s="278"/>
      <c r="O1467" s="278"/>
      <c r="P1467" s="278"/>
      <c r="Q1467" s="278"/>
      <c r="R1467" s="278"/>
      <c r="S1467" s="278"/>
      <c r="T1467" s="278"/>
      <c r="U1467" s="27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 thickBot="1" x14ac:dyDescent="0.35">
      <c r="A1468" s="88"/>
      <c r="B1468" s="66" t="s">
        <v>305</v>
      </c>
      <c r="C1468" s="67"/>
      <c r="D1468" s="102"/>
      <c r="E1468" s="32"/>
      <c r="F1468" s="32"/>
      <c r="G1468" s="68" t="s">
        <v>285</v>
      </c>
      <c r="H1468" s="69">
        <f t="shared" si="604"/>
        <v>0</v>
      </c>
      <c r="I1468" s="70">
        <f t="shared" si="605"/>
        <v>0</v>
      </c>
      <c r="J1468" s="73" t="str">
        <f t="shared" si="606"/>
        <v>--</v>
      </c>
      <c r="K1468" s="32"/>
      <c r="L1468" s="233"/>
      <c r="M1468" s="278"/>
      <c r="N1468" s="278"/>
      <c r="O1468" s="278"/>
      <c r="P1468" s="278"/>
      <c r="Q1468" s="278"/>
      <c r="R1468" s="278"/>
      <c r="S1468" s="278"/>
      <c r="T1468" s="278"/>
      <c r="U1468" s="27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 thickBot="1" x14ac:dyDescent="0.35">
      <c r="A1469" s="88"/>
      <c r="B1469" s="66" t="s">
        <v>306</v>
      </c>
      <c r="C1469" s="67"/>
      <c r="D1469" s="102"/>
      <c r="E1469" s="32"/>
      <c r="F1469" s="32"/>
      <c r="G1469" s="68" t="s">
        <v>285</v>
      </c>
      <c r="H1469" s="69">
        <f t="shared" si="604"/>
        <v>0</v>
      </c>
      <c r="I1469" s="70">
        <f t="shared" si="605"/>
        <v>0</v>
      </c>
      <c r="J1469" s="73" t="str">
        <f t="shared" si="606"/>
        <v>--</v>
      </c>
      <c r="K1469" s="32"/>
      <c r="L1469" s="233"/>
      <c r="M1469" s="278"/>
      <c r="N1469" s="278"/>
      <c r="O1469" s="278"/>
      <c r="P1469" s="278"/>
      <c r="Q1469" s="278"/>
      <c r="R1469" s="278"/>
      <c r="S1469" s="278"/>
      <c r="T1469" s="278"/>
      <c r="U1469" s="27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 thickBot="1" x14ac:dyDescent="0.35">
      <c r="A1470" s="88"/>
      <c r="B1470" s="66" t="s">
        <v>307</v>
      </c>
      <c r="C1470" s="67"/>
      <c r="D1470" s="102"/>
      <c r="E1470" s="32"/>
      <c r="F1470" s="32"/>
      <c r="G1470" s="68" t="s">
        <v>285</v>
      </c>
      <c r="H1470" s="69">
        <f t="shared" si="604"/>
        <v>0</v>
      </c>
      <c r="I1470" s="70">
        <f t="shared" si="605"/>
        <v>0</v>
      </c>
      <c r="J1470" s="73" t="str">
        <f t="shared" si="606"/>
        <v>--</v>
      </c>
      <c r="K1470" s="32"/>
      <c r="L1470" s="233"/>
      <c r="M1470" s="278"/>
      <c r="N1470" s="278"/>
      <c r="O1470" s="278"/>
      <c r="P1470" s="278"/>
      <c r="Q1470" s="278"/>
      <c r="R1470" s="278"/>
      <c r="S1470" s="278"/>
      <c r="T1470" s="278"/>
      <c r="U1470" s="27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 thickBot="1" x14ac:dyDescent="0.35">
      <c r="A1471" s="88"/>
      <c r="B1471" s="66" t="s">
        <v>308</v>
      </c>
      <c r="C1471" s="67"/>
      <c r="D1471" s="102"/>
      <c r="E1471" s="32"/>
      <c r="F1471" s="32"/>
      <c r="G1471" s="68" t="s">
        <v>285</v>
      </c>
      <c r="H1471" s="69">
        <f t="shared" si="604"/>
        <v>0</v>
      </c>
      <c r="I1471" s="70">
        <f t="shared" si="605"/>
        <v>0</v>
      </c>
      <c r="J1471" s="73" t="str">
        <f t="shared" si="606"/>
        <v>--</v>
      </c>
      <c r="K1471" s="32"/>
      <c r="L1471" s="233"/>
      <c r="M1471" s="278"/>
      <c r="N1471" s="278"/>
      <c r="O1471" s="278"/>
      <c r="P1471" s="278"/>
      <c r="Q1471" s="278"/>
      <c r="R1471" s="278"/>
      <c r="S1471" s="278"/>
      <c r="T1471" s="278"/>
      <c r="U1471" s="27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 thickBot="1" x14ac:dyDescent="0.35">
      <c r="A1472" s="88"/>
      <c r="B1472" s="66" t="s">
        <v>309</v>
      </c>
      <c r="C1472" s="67"/>
      <c r="D1472" s="102"/>
      <c r="E1472" s="32"/>
      <c r="F1472" s="32"/>
      <c r="G1472" s="68" t="s">
        <v>285</v>
      </c>
      <c r="H1472" s="69">
        <f t="shared" si="604"/>
        <v>0</v>
      </c>
      <c r="I1472" s="70">
        <f t="shared" si="605"/>
        <v>0</v>
      </c>
      <c r="J1472" s="73" t="str">
        <f t="shared" si="606"/>
        <v>--</v>
      </c>
      <c r="K1472" s="32"/>
      <c r="L1472" s="233"/>
      <c r="M1472" s="278"/>
      <c r="N1472" s="278"/>
      <c r="O1472" s="278"/>
      <c r="P1472" s="278"/>
      <c r="Q1472" s="278"/>
      <c r="R1472" s="278"/>
      <c r="S1472" s="278"/>
      <c r="T1472" s="278"/>
      <c r="U1472" s="27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 thickBot="1" x14ac:dyDescent="0.35">
      <c r="A1473" s="88"/>
      <c r="B1473" s="66" t="s">
        <v>310</v>
      </c>
      <c r="C1473" s="67"/>
      <c r="D1473" s="102"/>
      <c r="E1473" s="32"/>
      <c r="F1473" s="32"/>
      <c r="G1473" s="68" t="s">
        <v>285</v>
      </c>
      <c r="H1473" s="69">
        <f t="shared" si="604"/>
        <v>0</v>
      </c>
      <c r="I1473" s="70">
        <f t="shared" si="605"/>
        <v>0</v>
      </c>
      <c r="J1473" s="73" t="str">
        <f t="shared" si="606"/>
        <v>--</v>
      </c>
      <c r="K1473" s="32"/>
      <c r="L1473" s="233"/>
      <c r="M1473" s="278"/>
      <c r="N1473" s="278"/>
      <c r="O1473" s="278"/>
      <c r="P1473" s="278"/>
      <c r="Q1473" s="278"/>
      <c r="R1473" s="278"/>
      <c r="S1473" s="278"/>
      <c r="T1473" s="278"/>
      <c r="U1473" s="27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 thickBot="1" x14ac:dyDescent="0.35">
      <c r="A1474" s="88"/>
      <c r="B1474" s="66" t="s">
        <v>311</v>
      </c>
      <c r="C1474" s="67"/>
      <c r="D1474" s="102"/>
      <c r="E1474" s="32"/>
      <c r="F1474" s="32"/>
      <c r="G1474" s="68" t="s">
        <v>285</v>
      </c>
      <c r="H1474" s="69">
        <f t="shared" si="604"/>
        <v>0</v>
      </c>
      <c r="I1474" s="70">
        <f t="shared" si="605"/>
        <v>0</v>
      </c>
      <c r="J1474" s="73" t="str">
        <f t="shared" si="606"/>
        <v>--</v>
      </c>
      <c r="K1474" s="32"/>
      <c r="L1474" s="233"/>
      <c r="M1474" s="278"/>
      <c r="N1474" s="278"/>
      <c r="O1474" s="278"/>
      <c r="P1474" s="278"/>
      <c r="Q1474" s="278"/>
      <c r="R1474" s="278"/>
      <c r="S1474" s="278"/>
      <c r="T1474" s="278"/>
      <c r="U1474" s="27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 thickBot="1" x14ac:dyDescent="0.35">
      <c r="A1475" s="88"/>
      <c r="B1475" s="66" t="s">
        <v>312</v>
      </c>
      <c r="C1475" s="67"/>
      <c r="D1475" s="102"/>
      <c r="E1475" s="32"/>
      <c r="F1475" s="32"/>
      <c r="G1475" s="68" t="s">
        <v>285</v>
      </c>
      <c r="H1475" s="69">
        <f t="shared" si="604"/>
        <v>0</v>
      </c>
      <c r="I1475" s="70">
        <f t="shared" si="605"/>
        <v>0</v>
      </c>
      <c r="J1475" s="73" t="str">
        <f t="shared" si="606"/>
        <v>--</v>
      </c>
      <c r="K1475" s="32"/>
      <c r="L1475" s="233"/>
      <c r="M1475" s="278"/>
      <c r="N1475" s="278"/>
      <c r="O1475" s="278"/>
      <c r="P1475" s="278"/>
      <c r="Q1475" s="278"/>
      <c r="R1475" s="278"/>
      <c r="S1475" s="278"/>
      <c r="T1475" s="278"/>
      <c r="U1475" s="27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 thickBot="1" x14ac:dyDescent="0.35">
      <c r="A1476" s="88"/>
      <c r="B1476" s="66" t="s">
        <v>313</v>
      </c>
      <c r="C1476" s="67"/>
      <c r="D1476" s="102"/>
      <c r="E1476" s="32"/>
      <c r="F1476" s="32"/>
      <c r="G1476" s="68" t="s">
        <v>285</v>
      </c>
      <c r="H1476" s="69">
        <f t="shared" si="604"/>
        <v>0</v>
      </c>
      <c r="I1476" s="70">
        <f t="shared" si="605"/>
        <v>0</v>
      </c>
      <c r="J1476" s="73" t="str">
        <f t="shared" si="606"/>
        <v>--</v>
      </c>
      <c r="K1476" s="32"/>
      <c r="L1476" s="234"/>
      <c r="M1476" s="278"/>
      <c r="N1476" s="278"/>
      <c r="O1476" s="278"/>
      <c r="P1476" s="278"/>
      <c r="Q1476" s="278"/>
      <c r="R1476" s="278"/>
      <c r="S1476" s="278"/>
      <c r="T1476" s="278"/>
      <c r="U1476" s="27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2" thickBot="1" x14ac:dyDescent="0.35">
      <c r="A1477" s="88"/>
      <c r="B1477" s="319" t="s">
        <v>446</v>
      </c>
      <c r="C1477" s="320"/>
      <c r="D1477" s="79"/>
      <c r="E1477" s="80"/>
      <c r="F1477" s="80"/>
      <c r="G1477" s="81"/>
      <c r="H1477" s="192"/>
      <c r="I1477" s="192"/>
      <c r="J1477" s="192"/>
      <c r="K1477" s="82"/>
      <c r="L1477" s="319" t="s">
        <v>319</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2" thickBot="1" x14ac:dyDescent="0.35">
      <c r="A1478" s="88"/>
      <c r="B1478" s="319" t="s">
        <v>320</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3">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 thickBot="1" x14ac:dyDescent="0.35">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5">
      <c r="A1481" s="88"/>
      <c r="B1481" s="85" t="s">
        <v>447</v>
      </c>
      <c r="C1481" s="25"/>
      <c r="D1481" s="25"/>
      <c r="E1481" s="25"/>
      <c r="F1481" s="88"/>
      <c r="G1481" s="25"/>
      <c r="H1481" s="25"/>
      <c r="I1481" s="87"/>
      <c r="J1481" s="26"/>
      <c r="K1481" s="25"/>
      <c r="L1481" s="25"/>
      <c r="M1481" s="196" t="s">
        <v>217</v>
      </c>
      <c r="N1481" s="196" t="s">
        <v>218</v>
      </c>
      <c r="O1481" s="196" t="s">
        <v>219</v>
      </c>
      <c r="P1481" s="196" t="s">
        <v>220</v>
      </c>
      <c r="Q1481" s="196" t="s">
        <v>221</v>
      </c>
      <c r="R1481" s="196" t="s">
        <v>222</v>
      </c>
      <c r="S1481" s="196" t="s">
        <v>223</v>
      </c>
      <c r="T1481" s="196" t="s">
        <v>224</v>
      </c>
      <c r="U1481" s="196" t="s">
        <v>225</v>
      </c>
      <c r="V1481" s="196" t="s">
        <v>226</v>
      </c>
      <c r="W1481" s="113" t="s">
        <v>227</v>
      </c>
      <c r="X1481" s="196" t="s">
        <v>228</v>
      </c>
      <c r="Y1481" s="25"/>
      <c r="Z1481" s="25"/>
      <c r="AA1481" s="25"/>
      <c r="AB1481" s="25"/>
      <c r="AC1481" s="25"/>
      <c r="AD1481" s="25"/>
      <c r="BA1481" s="226"/>
    </row>
    <row r="1482" spans="1:53" ht="15.6" thickTop="1" thickBot="1" x14ac:dyDescent="0.35">
      <c r="A1482" s="88"/>
      <c r="B1482" s="312" t="s">
        <v>229</v>
      </c>
      <c r="C1482" s="313"/>
      <c r="D1482" s="314" t="s">
        <v>230</v>
      </c>
      <c r="E1482" s="305"/>
      <c r="F1482" s="88"/>
      <c r="G1482" s="315" t="s">
        <v>231</v>
      </c>
      <c r="H1482" s="316"/>
      <c r="I1482" s="28">
        <f>SUM(E1493:E1517)</f>
        <v>0</v>
      </c>
      <c r="J1482" s="317" t="s">
        <v>232</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233</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234</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5">
      <c r="A1483" s="88"/>
      <c r="B1483" s="29" t="s">
        <v>235</v>
      </c>
      <c r="C1483" s="30">
        <v>0</v>
      </c>
      <c r="D1483" s="31" t="s">
        <v>236</v>
      </c>
      <c r="E1483" s="66" t="str">
        <f>TEXT(IF('Cable Calculator'!GB7="","",'Cable Calculator'!GB7),)</f>
        <v/>
      </c>
      <c r="F1483" s="88"/>
      <c r="G1483" s="304" t="s">
        <v>237</v>
      </c>
      <c r="H1483" s="305"/>
      <c r="I1483" s="33">
        <f>E1484-I1482</f>
        <v>0</v>
      </c>
      <c r="J1483" s="289" t="s">
        <v>238</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239</v>
      </c>
      <c r="AA1483" s="300" t="s">
        <v>240</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241</v>
      </c>
      <c r="AU1483" s="109">
        <f>COUNTIFS($E1483,"SS",$AS1483,"Y")</f>
        <v>0</v>
      </c>
      <c r="AV1483" s="111">
        <f>COUNTIFS($E1483,"RPX",$AS1483,"Y")</f>
        <v>0</v>
      </c>
      <c r="AW1483" s="111">
        <f>COUNTIFS($E1483,"EUC",$AS1483,"Y")</f>
        <v>0</v>
      </c>
      <c r="AX1483" s="109">
        <f>COUNTIFS($E1483,"RPX-T",$AS1483,"Y")</f>
        <v>0</v>
      </c>
      <c r="BA1483" s="227"/>
    </row>
    <row r="1484" spans="1:53" ht="15.6" thickTop="1" thickBot="1" x14ac:dyDescent="0.35">
      <c r="A1484" s="88"/>
      <c r="B1484" s="36" t="s">
        <v>242</v>
      </c>
      <c r="C1484" s="37">
        <v>0</v>
      </c>
      <c r="D1484" s="38" t="s">
        <v>243</v>
      </c>
      <c r="E1484" s="32"/>
      <c r="F1484" s="88"/>
      <c r="G1484" s="291" t="s">
        <v>244</v>
      </c>
      <c r="H1484" s="292"/>
      <c r="I1484" s="35">
        <f>IF(E1484=0,0,12-(MOD(I1482,12)))</f>
        <v>0</v>
      </c>
      <c r="J1484" s="289" t="s">
        <v>245</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246</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5">
      <c r="A1485" s="88"/>
      <c r="B1485" s="40" t="s">
        <v>247</v>
      </c>
      <c r="C1485" s="30">
        <v>0</v>
      </c>
      <c r="D1485" s="41" t="s">
        <v>248</v>
      </c>
      <c r="E1485" s="42"/>
      <c r="F1485" s="88"/>
      <c r="G1485" s="321" t="s">
        <v>249</v>
      </c>
      <c r="H1485" s="43" t="s">
        <v>250</v>
      </c>
      <c r="I1485" s="35">
        <f>IF(E1485&lt;&gt;0,1,0)</f>
        <v>0</v>
      </c>
      <c r="J1485" s="291" t="s">
        <v>251</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252</v>
      </c>
      <c r="AU1485" s="109">
        <f>COUNTIFS($E1483,"SS",$AS1485,"Y")</f>
        <v>0</v>
      </c>
      <c r="AV1485" s="108">
        <f>COUNTIFS($E1483,"RPX",$AS1485,"Y")</f>
        <v>0</v>
      </c>
      <c r="AW1485" s="108">
        <f>COUNTIFS($E1483,"EUC",$AS1485,"Y")</f>
        <v>0</v>
      </c>
      <c r="AX1485" s="109">
        <f>COUNTIFS($E1483,"RPX-T",$AS1485,"Y")</f>
        <v>0</v>
      </c>
      <c r="BA1485" s="227"/>
    </row>
    <row r="1486" spans="1:53" ht="15.6" thickTop="1" thickBot="1" x14ac:dyDescent="0.35">
      <c r="A1486" s="88"/>
      <c r="B1486" s="29" t="s">
        <v>253</v>
      </c>
      <c r="C1486" s="37">
        <v>0</v>
      </c>
      <c r="D1486" s="41" t="s">
        <v>254</v>
      </c>
      <c r="E1486" s="42"/>
      <c r="F1486" s="88"/>
      <c r="G1486" s="322"/>
      <c r="H1486" s="47" t="s">
        <v>255</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5">
      <c r="A1487" s="88"/>
      <c r="B1487" s="36" t="s">
        <v>256</v>
      </c>
      <c r="C1487" s="30">
        <v>0</v>
      </c>
      <c r="D1487" s="49" t="s">
        <v>257</v>
      </c>
      <c r="E1487" s="50">
        <f>E1484/12</f>
        <v>0</v>
      </c>
      <c r="F1487" s="88"/>
      <c r="G1487" s="321" t="s">
        <v>258</v>
      </c>
      <c r="H1487" s="51" t="s">
        <v>259</v>
      </c>
      <c r="I1487" s="112">
        <f>E1486</f>
        <v>0</v>
      </c>
      <c r="J1487" s="323" t="s">
        <v>260</v>
      </c>
      <c r="K1487" s="324"/>
      <c r="L1487" s="325"/>
      <c r="M1487" s="52" t="s">
        <v>261</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5.6" thickTop="1" thickBot="1" x14ac:dyDescent="0.35">
      <c r="A1488" s="88"/>
      <c r="B1488" s="36" t="s">
        <v>262</v>
      </c>
      <c r="C1488" s="30">
        <v>0</v>
      </c>
      <c r="D1488" s="31" t="s">
        <v>263</v>
      </c>
      <c r="E1488" s="101" t="str">
        <f>IF('Cable Calculator'!GB5="","",'Cable Calculator'!GB5)</f>
        <v/>
      </c>
      <c r="F1488" s="88"/>
      <c r="G1488" s="322"/>
      <c r="H1488" s="47" t="s">
        <v>264</v>
      </c>
      <c r="I1488" s="35" t="str">
        <f>IF(E1486="","0",IF(AND(E1483="EUC",E1484=432), I1487+(203-E1485),IF(E1486=0,0,(E1486+(E1484-E1485)-1))))</f>
        <v>0</v>
      </c>
      <c r="J1488" s="286" t="str">
        <f>IFERROR(IF(OR(E1483="EUC",E1483="SS"),"---",IF(OR(P1482,S1482),"NO 2F Tethers for RPX!",IF(OR(P1484,S1484),"NO 6F Tethers for RPX!","---"))),"---")</f>
        <v>---</v>
      </c>
      <c r="K1488" s="287"/>
      <c r="L1488" s="288"/>
      <c r="M1488" s="286" t="str">
        <f>IF(E1485&gt;60,"Dead Count &gt;60: Consider Downsize","---")</f>
        <v>---</v>
      </c>
      <c r="N1488" s="287"/>
      <c r="O1488" s="287"/>
      <c r="P1488" s="287"/>
      <c r="Q1488" s="287"/>
      <c r="R1488" s="287"/>
      <c r="S1488" s="287"/>
      <c r="T1488" s="287"/>
      <c r="U1488" s="288"/>
      <c r="V1488" s="100"/>
      <c r="W1488" s="54">
        <f>SUM(P1488:U1488)</f>
        <v>0</v>
      </c>
      <c r="X1488" s="54"/>
      <c r="Y1488" s="25"/>
      <c r="Z1488" s="45">
        <v>4</v>
      </c>
      <c r="AA1488" s="46">
        <v>37</v>
      </c>
      <c r="AB1488" s="46">
        <v>48</v>
      </c>
      <c r="AC1488" s="25"/>
      <c r="AD1488" s="25"/>
      <c r="BA1488" s="227"/>
    </row>
    <row r="1489" spans="1:53" ht="15.6" thickTop="1" thickBot="1" x14ac:dyDescent="0.35">
      <c r="A1489" s="88"/>
      <c r="B1489" s="55" t="s">
        <v>265</v>
      </c>
      <c r="C1489" s="56">
        <f>SUM(C1483:C1488)+I1482</f>
        <v>0</v>
      </c>
      <c r="D1489" s="31" t="s">
        <v>266</v>
      </c>
      <c r="E1489" s="101" t="str">
        <f>IF(AS1483="Y","DBL",IF(AS1484="Y","TRPL",IF(AS1485="Y","QUAD","")))</f>
        <v/>
      </c>
      <c r="F1489" s="88"/>
      <c r="G1489" s="192"/>
      <c r="H1489" s="57"/>
      <c r="I1489" s="192"/>
      <c r="J1489" s="286"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7"/>
      <c r="L1489" s="288"/>
      <c r="M1489" s="286" t="str">
        <f>IF(AND(OR(E1483="SS",E1483="RPX",E1483="EUC",E1483="RPX-T"),(OR(C1493="",C1493="Field SPL"))),"Cannot have FlexNap cables without tethers","---")</f>
        <v>---</v>
      </c>
      <c r="N1489" s="287"/>
      <c r="O1489" s="287"/>
      <c r="P1489" s="287"/>
      <c r="Q1489" s="287"/>
      <c r="R1489" s="287"/>
      <c r="S1489" s="287"/>
      <c r="T1489" s="287"/>
      <c r="U1489" s="288"/>
      <c r="V1489" s="25"/>
      <c r="W1489" s="58"/>
      <c r="X1489" s="58"/>
      <c r="Y1489" s="25"/>
      <c r="Z1489" s="45">
        <v>5</v>
      </c>
      <c r="AA1489" s="46">
        <v>49</v>
      </c>
      <c r="AB1489" s="46">
        <v>60</v>
      </c>
      <c r="AC1489" s="25"/>
      <c r="AD1489" s="25"/>
      <c r="BA1489" s="227"/>
    </row>
    <row r="1490" spans="1:53" ht="15.6" thickTop="1" thickBot="1" x14ac:dyDescent="0.35">
      <c r="A1490" s="88"/>
      <c r="B1490" s="59"/>
      <c r="C1490" s="60"/>
      <c r="D1490" s="61"/>
      <c r="E1490" s="62"/>
      <c r="F1490" s="88"/>
      <c r="G1490" s="63"/>
      <c r="H1490" s="64"/>
      <c r="I1490" s="63"/>
      <c r="J1490" s="286" t="str">
        <f>IF(AND(OR(E1483="RPX", E1483="RPX-T", E1483="SS"),E1484=216),"NO 216 For RPX, RPX-T, OR SS CABLE","---")</f>
        <v>---</v>
      </c>
      <c r="K1490" s="287"/>
      <c r="L1490" s="288"/>
      <c r="M1490" s="286" t="str" cm="1">
        <f t="array" ref="M1490">IF(AND(E1483="",OR(C1493:C1517="FST",C1493:C1517="REV T",C1493:C1517="DBL REV",C1493:C1517="TPL REV", C1493:C1517="QD REV")),"Non-FlexNap cables cannot have tethers","---")</f>
        <v>---</v>
      </c>
      <c r="N1490" s="287"/>
      <c r="O1490" s="287"/>
      <c r="P1490" s="287"/>
      <c r="Q1490" s="287"/>
      <c r="R1490" s="287"/>
      <c r="S1490" s="287"/>
      <c r="T1490" s="287"/>
      <c r="U1490" s="288"/>
      <c r="V1490" s="25"/>
      <c r="W1490" s="58"/>
      <c r="X1490" s="58"/>
      <c r="Y1490" s="25"/>
      <c r="Z1490" s="45">
        <v>6</v>
      </c>
      <c r="AA1490" s="65">
        <v>61</v>
      </c>
      <c r="AB1490" s="65">
        <v>72</v>
      </c>
      <c r="AC1490" s="25"/>
      <c r="AD1490" s="25"/>
      <c r="BA1490" s="226"/>
    </row>
    <row r="1491" spans="1:53" ht="15.75" customHeight="1" thickBot="1" x14ac:dyDescent="0.35">
      <c r="A1491" s="88"/>
      <c r="B1491" s="321" t="s">
        <v>267</v>
      </c>
      <c r="C1491" s="293" t="s">
        <v>268</v>
      </c>
      <c r="D1491" s="293" t="s">
        <v>269</v>
      </c>
      <c r="E1491" s="306" t="s">
        <v>270</v>
      </c>
      <c r="F1491" s="293" t="s">
        <v>271</v>
      </c>
      <c r="G1491" s="308" t="s">
        <v>272</v>
      </c>
      <c r="H1491" s="308" t="s">
        <v>273</v>
      </c>
      <c r="I1491" s="308" t="s">
        <v>274</v>
      </c>
      <c r="J1491" s="310" t="s">
        <v>275</v>
      </c>
      <c r="K1491" s="293" t="s">
        <v>276</v>
      </c>
      <c r="L1491" s="280" t="s">
        <v>277</v>
      </c>
      <c r="M1491" s="282" t="s">
        <v>278</v>
      </c>
      <c r="N1491" s="282"/>
      <c r="O1491" s="282"/>
      <c r="P1491" s="282"/>
      <c r="Q1491" s="282"/>
      <c r="R1491" s="282"/>
      <c r="S1491" s="282"/>
      <c r="T1491" s="282"/>
      <c r="U1491" s="283"/>
      <c r="V1491" s="107"/>
      <c r="W1491" s="72"/>
      <c r="X1491" s="72"/>
      <c r="Y1491" s="72"/>
      <c r="Z1491" s="45">
        <v>7</v>
      </c>
      <c r="AA1491" s="65">
        <v>73</v>
      </c>
      <c r="AB1491" s="65">
        <v>84</v>
      </c>
      <c r="AC1491" s="25"/>
      <c r="AD1491" s="25"/>
      <c r="BA1491" s="228"/>
    </row>
    <row r="1492" spans="1:53" ht="15" thickBot="1" x14ac:dyDescent="0.35">
      <c r="A1492" s="88"/>
      <c r="B1492" s="322"/>
      <c r="C1492" s="294"/>
      <c r="D1492" s="294"/>
      <c r="E1492" s="307"/>
      <c r="F1492" s="294"/>
      <c r="G1492" s="309"/>
      <c r="H1492" s="309"/>
      <c r="I1492" s="309"/>
      <c r="J1492" s="311"/>
      <c r="K1492" s="294"/>
      <c r="L1492" s="281"/>
      <c r="M1492" s="284"/>
      <c r="N1492" s="284"/>
      <c r="O1492" s="284"/>
      <c r="P1492" s="284"/>
      <c r="Q1492" s="284"/>
      <c r="R1492" s="284"/>
      <c r="S1492" s="284"/>
      <c r="T1492" s="284"/>
      <c r="U1492" s="285"/>
      <c r="V1492" s="107"/>
      <c r="W1492" s="72"/>
      <c r="X1492" s="72"/>
      <c r="Y1492" s="72"/>
      <c r="Z1492" s="45">
        <v>8</v>
      </c>
      <c r="AA1492" s="46">
        <v>85</v>
      </c>
      <c r="AB1492" s="46">
        <v>96</v>
      </c>
      <c r="AC1492" s="25"/>
      <c r="AD1492" s="25"/>
      <c r="AI1492" s="109" t="s">
        <v>279</v>
      </c>
      <c r="AJ1492" s="109" t="s">
        <v>280</v>
      </c>
      <c r="AK1492" s="109" t="s">
        <v>281</v>
      </c>
      <c r="AL1492" s="109" t="s">
        <v>282</v>
      </c>
      <c r="BA1492" s="228"/>
    </row>
    <row r="1493" spans="1:53" ht="15" thickBot="1" x14ac:dyDescent="0.35">
      <c r="A1493" s="88"/>
      <c r="B1493" s="66" t="s">
        <v>283</v>
      </c>
      <c r="C1493" s="67"/>
      <c r="D1493" s="102"/>
      <c r="E1493" s="32"/>
      <c r="F1493" s="32"/>
      <c r="G1493" s="68" t="s">
        <v>285</v>
      </c>
      <c r="H1493" s="69">
        <f>IF(I1493=0,0,I1493-(E1493-1))</f>
        <v>0</v>
      </c>
      <c r="I1493" s="70">
        <f>IF(E1493=0,0,I1488)</f>
        <v>0</v>
      </c>
      <c r="J1493" s="71" t="s">
        <v>286</v>
      </c>
      <c r="K1493" s="32"/>
      <c r="L1493" s="233"/>
      <c r="M1493" s="278"/>
      <c r="N1493" s="278"/>
      <c r="O1493" s="278"/>
      <c r="P1493" s="278"/>
      <c r="Q1493" s="278"/>
      <c r="R1493" s="278"/>
      <c r="S1493" s="278"/>
      <c r="T1493" s="278"/>
      <c r="U1493" s="27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 thickBot="1" x14ac:dyDescent="0.35">
      <c r="A1494" s="88"/>
      <c r="B1494" s="66" t="s">
        <v>288</v>
      </c>
      <c r="C1494" s="67"/>
      <c r="D1494" s="102"/>
      <c r="E1494" s="32"/>
      <c r="F1494" s="32"/>
      <c r="G1494" s="68" t="s">
        <v>285</v>
      </c>
      <c r="H1494" s="69">
        <f t="shared" ref="H1494:H1517" si="621">IF(E1494=0,0,I1494-(E1494-1))</f>
        <v>0</v>
      </c>
      <c r="I1494" s="70">
        <f t="shared" ref="I1494:I1517" si="622">IF(E1494=0,0,H1493-1)</f>
        <v>0</v>
      </c>
      <c r="J1494" s="73" t="str">
        <f>IF(C1494="","--",IF(AND(C1494&lt;&gt;"FST",C1494&lt;&gt;"TCF",BA1493&lt;&gt;0),BA1493,"--"))</f>
        <v>--</v>
      </c>
      <c r="K1494" s="32"/>
      <c r="L1494" s="233"/>
      <c r="M1494" s="278"/>
      <c r="N1494" s="278"/>
      <c r="O1494" s="278"/>
      <c r="P1494" s="278"/>
      <c r="Q1494" s="278"/>
      <c r="R1494" s="278"/>
      <c r="S1494" s="278"/>
      <c r="T1494" s="278"/>
      <c r="U1494" s="27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 thickBot="1" x14ac:dyDescent="0.35">
      <c r="A1495" s="88"/>
      <c r="B1495" s="74" t="s">
        <v>290</v>
      </c>
      <c r="C1495" s="67"/>
      <c r="D1495" s="102"/>
      <c r="E1495" s="32"/>
      <c r="F1495" s="32"/>
      <c r="G1495" s="75" t="s">
        <v>285</v>
      </c>
      <c r="H1495" s="69">
        <f t="shared" si="621"/>
        <v>0</v>
      </c>
      <c r="I1495" s="70">
        <f t="shared" si="622"/>
        <v>0</v>
      </c>
      <c r="J1495" s="73" t="str">
        <f t="shared" ref="J1495:J1517" si="623">IF(C1495="","--",IF(AND(C1495&lt;&gt;"FST",C1495&lt;&gt;"TCF",BA1494&lt;&gt;0),BA1494,"--"))</f>
        <v>--</v>
      </c>
      <c r="K1495" s="32"/>
      <c r="L1495" s="233"/>
      <c r="M1495" s="278"/>
      <c r="N1495" s="278"/>
      <c r="O1495" s="278"/>
      <c r="P1495" s="278"/>
      <c r="Q1495" s="278"/>
      <c r="R1495" s="278"/>
      <c r="S1495" s="278"/>
      <c r="T1495" s="278"/>
      <c r="U1495" s="27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 thickBot="1" x14ac:dyDescent="0.35">
      <c r="A1496" s="88"/>
      <c r="B1496" s="66" t="s">
        <v>292</v>
      </c>
      <c r="C1496" s="67"/>
      <c r="D1496" s="102"/>
      <c r="E1496" s="32"/>
      <c r="F1496" s="32"/>
      <c r="G1496" s="68" t="s">
        <v>285</v>
      </c>
      <c r="H1496" s="69">
        <f t="shared" si="621"/>
        <v>0</v>
      </c>
      <c r="I1496" s="70">
        <f t="shared" si="622"/>
        <v>0</v>
      </c>
      <c r="J1496" s="73" t="str">
        <f t="shared" si="623"/>
        <v>--</v>
      </c>
      <c r="K1496" s="32"/>
      <c r="L1496" s="233"/>
      <c r="M1496" s="278"/>
      <c r="N1496" s="278"/>
      <c r="O1496" s="278"/>
      <c r="P1496" s="278"/>
      <c r="Q1496" s="278"/>
      <c r="R1496" s="278"/>
      <c r="S1496" s="278"/>
      <c r="T1496" s="278"/>
      <c r="U1496" s="27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 thickBot="1" x14ac:dyDescent="0.35">
      <c r="A1497" s="88"/>
      <c r="B1497" s="66" t="s">
        <v>293</v>
      </c>
      <c r="C1497" s="67"/>
      <c r="D1497" s="102"/>
      <c r="E1497" s="32"/>
      <c r="F1497" s="32"/>
      <c r="G1497" s="68" t="s">
        <v>285</v>
      </c>
      <c r="H1497" s="69">
        <f t="shared" si="621"/>
        <v>0</v>
      </c>
      <c r="I1497" s="70">
        <f t="shared" si="622"/>
        <v>0</v>
      </c>
      <c r="J1497" s="73" t="str">
        <f t="shared" si="623"/>
        <v>--</v>
      </c>
      <c r="K1497" s="32"/>
      <c r="L1497" s="233"/>
      <c r="M1497" s="278"/>
      <c r="N1497" s="278"/>
      <c r="O1497" s="278"/>
      <c r="P1497" s="278"/>
      <c r="Q1497" s="278"/>
      <c r="R1497" s="278"/>
      <c r="S1497" s="278"/>
      <c r="T1497" s="278"/>
      <c r="U1497" s="27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 thickBot="1" x14ac:dyDescent="0.35">
      <c r="A1498" s="88"/>
      <c r="B1498" s="66" t="s">
        <v>294</v>
      </c>
      <c r="C1498" s="67"/>
      <c r="D1498" s="102"/>
      <c r="E1498" s="32"/>
      <c r="F1498" s="32"/>
      <c r="G1498" s="68" t="s">
        <v>285</v>
      </c>
      <c r="H1498" s="69">
        <f t="shared" si="621"/>
        <v>0</v>
      </c>
      <c r="I1498" s="70">
        <f t="shared" si="622"/>
        <v>0</v>
      </c>
      <c r="J1498" s="73" t="str">
        <f t="shared" si="623"/>
        <v>--</v>
      </c>
      <c r="K1498" s="32"/>
      <c r="L1498" s="233"/>
      <c r="M1498" s="278"/>
      <c r="N1498" s="278"/>
      <c r="O1498" s="278"/>
      <c r="P1498" s="278"/>
      <c r="Q1498" s="278"/>
      <c r="R1498" s="278"/>
      <c r="S1498" s="278"/>
      <c r="T1498" s="278"/>
      <c r="U1498" s="27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 thickBot="1" x14ac:dyDescent="0.35">
      <c r="A1499" s="88"/>
      <c r="B1499" s="66" t="s">
        <v>295</v>
      </c>
      <c r="C1499" s="67"/>
      <c r="D1499" s="102"/>
      <c r="E1499" s="32"/>
      <c r="F1499" s="32"/>
      <c r="G1499" s="68" t="s">
        <v>285</v>
      </c>
      <c r="H1499" s="69">
        <f t="shared" si="621"/>
        <v>0</v>
      </c>
      <c r="I1499" s="70">
        <f t="shared" si="622"/>
        <v>0</v>
      </c>
      <c r="J1499" s="73" t="str">
        <f t="shared" si="623"/>
        <v>--</v>
      </c>
      <c r="K1499" s="32"/>
      <c r="L1499" s="233"/>
      <c r="M1499" s="278"/>
      <c r="N1499" s="278"/>
      <c r="O1499" s="278"/>
      <c r="P1499" s="278"/>
      <c r="Q1499" s="278"/>
      <c r="R1499" s="278"/>
      <c r="S1499" s="278"/>
      <c r="T1499" s="278"/>
      <c r="U1499" s="27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 thickBot="1" x14ac:dyDescent="0.35">
      <c r="A1500" s="88"/>
      <c r="B1500" s="66" t="s">
        <v>296</v>
      </c>
      <c r="C1500" s="67"/>
      <c r="D1500" s="102"/>
      <c r="E1500" s="32"/>
      <c r="F1500" s="32"/>
      <c r="G1500" s="68" t="s">
        <v>285</v>
      </c>
      <c r="H1500" s="69">
        <f t="shared" si="621"/>
        <v>0</v>
      </c>
      <c r="I1500" s="70">
        <f t="shared" si="622"/>
        <v>0</v>
      </c>
      <c r="J1500" s="73" t="str">
        <f t="shared" si="623"/>
        <v>--</v>
      </c>
      <c r="K1500" s="32"/>
      <c r="L1500" s="233"/>
      <c r="M1500" s="278"/>
      <c r="N1500" s="278"/>
      <c r="O1500" s="278"/>
      <c r="P1500" s="278"/>
      <c r="Q1500" s="278"/>
      <c r="R1500" s="278"/>
      <c r="S1500" s="278"/>
      <c r="T1500" s="278"/>
      <c r="U1500" s="27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 thickBot="1" x14ac:dyDescent="0.35">
      <c r="A1501" s="88"/>
      <c r="B1501" s="66" t="s">
        <v>297</v>
      </c>
      <c r="C1501" s="67"/>
      <c r="D1501" s="102"/>
      <c r="E1501" s="32"/>
      <c r="F1501" s="32"/>
      <c r="G1501" s="68" t="s">
        <v>285</v>
      </c>
      <c r="H1501" s="69">
        <f t="shared" si="621"/>
        <v>0</v>
      </c>
      <c r="I1501" s="70">
        <f t="shared" si="622"/>
        <v>0</v>
      </c>
      <c r="J1501" s="73" t="str">
        <f t="shared" si="623"/>
        <v>--</v>
      </c>
      <c r="K1501" s="32"/>
      <c r="L1501" s="233"/>
      <c r="M1501" s="278"/>
      <c r="N1501" s="278"/>
      <c r="O1501" s="278"/>
      <c r="P1501" s="278"/>
      <c r="Q1501" s="278"/>
      <c r="R1501" s="278"/>
      <c r="S1501" s="278"/>
      <c r="T1501" s="278"/>
      <c r="U1501" s="27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 thickBot="1" x14ac:dyDescent="0.35">
      <c r="A1502" s="88"/>
      <c r="B1502" s="66" t="s">
        <v>298</v>
      </c>
      <c r="C1502" s="67"/>
      <c r="D1502" s="102"/>
      <c r="E1502" s="32"/>
      <c r="F1502" s="32"/>
      <c r="G1502" s="68" t="s">
        <v>285</v>
      </c>
      <c r="H1502" s="69">
        <f t="shared" si="621"/>
        <v>0</v>
      </c>
      <c r="I1502" s="70">
        <f t="shared" si="622"/>
        <v>0</v>
      </c>
      <c r="J1502" s="73" t="str">
        <f t="shared" si="623"/>
        <v>--</v>
      </c>
      <c r="K1502" s="32"/>
      <c r="L1502" s="233"/>
      <c r="M1502" s="278"/>
      <c r="N1502" s="278"/>
      <c r="O1502" s="278"/>
      <c r="P1502" s="278"/>
      <c r="Q1502" s="278"/>
      <c r="R1502" s="278"/>
      <c r="S1502" s="278"/>
      <c r="T1502" s="278"/>
      <c r="U1502" s="27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 thickBot="1" x14ac:dyDescent="0.35">
      <c r="A1503" s="88"/>
      <c r="B1503" s="66" t="s">
        <v>299</v>
      </c>
      <c r="C1503" s="67"/>
      <c r="D1503" s="102"/>
      <c r="E1503" s="32"/>
      <c r="F1503" s="32"/>
      <c r="G1503" s="68" t="s">
        <v>285</v>
      </c>
      <c r="H1503" s="69">
        <f t="shared" si="621"/>
        <v>0</v>
      </c>
      <c r="I1503" s="70">
        <f t="shared" si="622"/>
        <v>0</v>
      </c>
      <c r="J1503" s="73" t="str">
        <f t="shared" si="623"/>
        <v>--</v>
      </c>
      <c r="K1503" s="32"/>
      <c r="L1503" s="233"/>
      <c r="M1503" s="278"/>
      <c r="N1503" s="278"/>
      <c r="O1503" s="278"/>
      <c r="P1503" s="278"/>
      <c r="Q1503" s="278"/>
      <c r="R1503" s="278"/>
      <c r="S1503" s="278"/>
      <c r="T1503" s="278"/>
      <c r="U1503" s="27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 thickBot="1" x14ac:dyDescent="0.35">
      <c r="A1504" s="88"/>
      <c r="B1504" s="66" t="s">
        <v>300</v>
      </c>
      <c r="C1504" s="67"/>
      <c r="D1504" s="102"/>
      <c r="E1504" s="32"/>
      <c r="F1504" s="32"/>
      <c r="G1504" s="68" t="s">
        <v>285</v>
      </c>
      <c r="H1504" s="69">
        <f t="shared" si="621"/>
        <v>0</v>
      </c>
      <c r="I1504" s="70">
        <f t="shared" si="622"/>
        <v>0</v>
      </c>
      <c r="J1504" s="73" t="str">
        <f t="shared" si="623"/>
        <v>--</v>
      </c>
      <c r="K1504" s="32"/>
      <c r="L1504" s="233"/>
      <c r="M1504" s="278"/>
      <c r="N1504" s="278"/>
      <c r="O1504" s="278"/>
      <c r="P1504" s="278"/>
      <c r="Q1504" s="278"/>
      <c r="R1504" s="278"/>
      <c r="S1504" s="278"/>
      <c r="T1504" s="278"/>
      <c r="U1504" s="27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 thickBot="1" x14ac:dyDescent="0.35">
      <c r="A1505" s="88"/>
      <c r="B1505" s="66" t="s">
        <v>301</v>
      </c>
      <c r="C1505" s="67"/>
      <c r="D1505" s="102"/>
      <c r="E1505" s="32"/>
      <c r="F1505" s="32"/>
      <c r="G1505" s="68" t="s">
        <v>285</v>
      </c>
      <c r="H1505" s="69">
        <f t="shared" si="621"/>
        <v>0</v>
      </c>
      <c r="I1505" s="70">
        <f t="shared" si="622"/>
        <v>0</v>
      </c>
      <c r="J1505" s="73" t="str">
        <f t="shared" si="623"/>
        <v>--</v>
      </c>
      <c r="K1505" s="32"/>
      <c r="L1505" s="233"/>
      <c r="M1505" s="278"/>
      <c r="N1505" s="278"/>
      <c r="O1505" s="278"/>
      <c r="P1505" s="278"/>
      <c r="Q1505" s="278"/>
      <c r="R1505" s="278"/>
      <c r="S1505" s="278"/>
      <c r="T1505" s="278"/>
      <c r="U1505" s="27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 thickBot="1" x14ac:dyDescent="0.35">
      <c r="A1506" s="88"/>
      <c r="B1506" s="66" t="s">
        <v>302</v>
      </c>
      <c r="C1506" s="67"/>
      <c r="D1506" s="102"/>
      <c r="E1506" s="32"/>
      <c r="F1506" s="32"/>
      <c r="G1506" s="68" t="s">
        <v>285</v>
      </c>
      <c r="H1506" s="69">
        <f t="shared" si="621"/>
        <v>0</v>
      </c>
      <c r="I1506" s="70">
        <f t="shared" si="622"/>
        <v>0</v>
      </c>
      <c r="J1506" s="73" t="str">
        <f t="shared" si="623"/>
        <v>--</v>
      </c>
      <c r="K1506" s="32"/>
      <c r="L1506" s="233"/>
      <c r="M1506" s="278"/>
      <c r="N1506" s="278"/>
      <c r="O1506" s="278"/>
      <c r="P1506" s="278"/>
      <c r="Q1506" s="278"/>
      <c r="R1506" s="278"/>
      <c r="S1506" s="278"/>
      <c r="T1506" s="278"/>
      <c r="U1506" s="27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 thickBot="1" x14ac:dyDescent="0.35">
      <c r="A1507" s="88"/>
      <c r="B1507" s="66" t="s">
        <v>303</v>
      </c>
      <c r="C1507" s="67"/>
      <c r="D1507" s="102"/>
      <c r="E1507" s="32"/>
      <c r="F1507" s="32"/>
      <c r="G1507" s="68" t="s">
        <v>285</v>
      </c>
      <c r="H1507" s="69">
        <f t="shared" si="621"/>
        <v>0</v>
      </c>
      <c r="I1507" s="70">
        <f t="shared" si="622"/>
        <v>0</v>
      </c>
      <c r="J1507" s="73" t="str">
        <f t="shared" si="623"/>
        <v>--</v>
      </c>
      <c r="K1507" s="32"/>
      <c r="L1507" s="233"/>
      <c r="M1507" s="278"/>
      <c r="N1507" s="278"/>
      <c r="O1507" s="278"/>
      <c r="P1507" s="278"/>
      <c r="Q1507" s="278"/>
      <c r="R1507" s="278"/>
      <c r="S1507" s="278"/>
      <c r="T1507" s="278"/>
      <c r="U1507" s="27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 thickBot="1" x14ac:dyDescent="0.35">
      <c r="A1508" s="88"/>
      <c r="B1508" s="66" t="s">
        <v>304</v>
      </c>
      <c r="C1508" s="67"/>
      <c r="D1508" s="102"/>
      <c r="E1508" s="32"/>
      <c r="F1508" s="32"/>
      <c r="G1508" s="68" t="s">
        <v>285</v>
      </c>
      <c r="H1508" s="69">
        <f t="shared" si="621"/>
        <v>0</v>
      </c>
      <c r="I1508" s="70">
        <f t="shared" si="622"/>
        <v>0</v>
      </c>
      <c r="J1508" s="73" t="str">
        <f t="shared" si="623"/>
        <v>--</v>
      </c>
      <c r="K1508" s="32"/>
      <c r="L1508" s="233"/>
      <c r="M1508" s="278"/>
      <c r="N1508" s="278"/>
      <c r="O1508" s="278"/>
      <c r="P1508" s="278"/>
      <c r="Q1508" s="278"/>
      <c r="R1508" s="278"/>
      <c r="S1508" s="278"/>
      <c r="T1508" s="278"/>
      <c r="U1508" s="27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 thickBot="1" x14ac:dyDescent="0.35">
      <c r="A1509" s="88"/>
      <c r="B1509" s="66" t="s">
        <v>305</v>
      </c>
      <c r="C1509" s="67"/>
      <c r="D1509" s="102"/>
      <c r="E1509" s="32"/>
      <c r="F1509" s="32"/>
      <c r="G1509" s="68" t="s">
        <v>285</v>
      </c>
      <c r="H1509" s="69">
        <f t="shared" si="621"/>
        <v>0</v>
      </c>
      <c r="I1509" s="70">
        <f t="shared" si="622"/>
        <v>0</v>
      </c>
      <c r="J1509" s="73" t="str">
        <f t="shared" si="623"/>
        <v>--</v>
      </c>
      <c r="K1509" s="32"/>
      <c r="L1509" s="233"/>
      <c r="M1509" s="278"/>
      <c r="N1509" s="278"/>
      <c r="O1509" s="278"/>
      <c r="P1509" s="278"/>
      <c r="Q1509" s="278"/>
      <c r="R1509" s="278"/>
      <c r="S1509" s="278"/>
      <c r="T1509" s="278"/>
      <c r="U1509" s="27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 thickBot="1" x14ac:dyDescent="0.35">
      <c r="A1510" s="88"/>
      <c r="B1510" s="66" t="s">
        <v>306</v>
      </c>
      <c r="C1510" s="67"/>
      <c r="D1510" s="102"/>
      <c r="E1510" s="32"/>
      <c r="F1510" s="32"/>
      <c r="G1510" s="68" t="s">
        <v>285</v>
      </c>
      <c r="H1510" s="69">
        <f t="shared" si="621"/>
        <v>0</v>
      </c>
      <c r="I1510" s="70">
        <f t="shared" si="622"/>
        <v>0</v>
      </c>
      <c r="J1510" s="73" t="str">
        <f t="shared" si="623"/>
        <v>--</v>
      </c>
      <c r="K1510" s="32"/>
      <c r="L1510" s="233"/>
      <c r="M1510" s="278"/>
      <c r="N1510" s="278"/>
      <c r="O1510" s="278"/>
      <c r="P1510" s="278"/>
      <c r="Q1510" s="278"/>
      <c r="R1510" s="278"/>
      <c r="S1510" s="278"/>
      <c r="T1510" s="278"/>
      <c r="U1510" s="27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 thickBot="1" x14ac:dyDescent="0.35">
      <c r="A1511" s="88"/>
      <c r="B1511" s="66" t="s">
        <v>307</v>
      </c>
      <c r="C1511" s="67"/>
      <c r="D1511" s="102"/>
      <c r="E1511" s="32"/>
      <c r="F1511" s="32"/>
      <c r="G1511" s="68" t="s">
        <v>285</v>
      </c>
      <c r="H1511" s="69">
        <f t="shared" si="621"/>
        <v>0</v>
      </c>
      <c r="I1511" s="70">
        <f t="shared" si="622"/>
        <v>0</v>
      </c>
      <c r="J1511" s="73" t="str">
        <f t="shared" si="623"/>
        <v>--</v>
      </c>
      <c r="K1511" s="32"/>
      <c r="L1511" s="233"/>
      <c r="M1511" s="278"/>
      <c r="N1511" s="278"/>
      <c r="O1511" s="278"/>
      <c r="P1511" s="278"/>
      <c r="Q1511" s="278"/>
      <c r="R1511" s="278"/>
      <c r="S1511" s="278"/>
      <c r="T1511" s="278"/>
      <c r="U1511" s="27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 thickBot="1" x14ac:dyDescent="0.35">
      <c r="A1512" s="88"/>
      <c r="B1512" s="66" t="s">
        <v>308</v>
      </c>
      <c r="C1512" s="67"/>
      <c r="D1512" s="102"/>
      <c r="E1512" s="32"/>
      <c r="F1512" s="32"/>
      <c r="G1512" s="68" t="s">
        <v>285</v>
      </c>
      <c r="H1512" s="69">
        <f t="shared" si="621"/>
        <v>0</v>
      </c>
      <c r="I1512" s="70">
        <f t="shared" si="622"/>
        <v>0</v>
      </c>
      <c r="J1512" s="73" t="str">
        <f t="shared" si="623"/>
        <v>--</v>
      </c>
      <c r="K1512" s="32"/>
      <c r="L1512" s="233"/>
      <c r="M1512" s="278"/>
      <c r="N1512" s="278"/>
      <c r="O1512" s="278"/>
      <c r="P1512" s="278"/>
      <c r="Q1512" s="278"/>
      <c r="R1512" s="278"/>
      <c r="S1512" s="278"/>
      <c r="T1512" s="278"/>
      <c r="U1512" s="27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 thickBot="1" x14ac:dyDescent="0.35">
      <c r="A1513" s="88"/>
      <c r="B1513" s="66" t="s">
        <v>309</v>
      </c>
      <c r="C1513" s="67"/>
      <c r="D1513" s="102"/>
      <c r="E1513" s="32"/>
      <c r="F1513" s="32"/>
      <c r="G1513" s="68" t="s">
        <v>285</v>
      </c>
      <c r="H1513" s="69">
        <f t="shared" si="621"/>
        <v>0</v>
      </c>
      <c r="I1513" s="70">
        <f t="shared" si="622"/>
        <v>0</v>
      </c>
      <c r="J1513" s="73" t="str">
        <f t="shared" si="623"/>
        <v>--</v>
      </c>
      <c r="K1513" s="32"/>
      <c r="L1513" s="233"/>
      <c r="M1513" s="278"/>
      <c r="N1513" s="278"/>
      <c r="O1513" s="278"/>
      <c r="P1513" s="278"/>
      <c r="Q1513" s="278"/>
      <c r="R1513" s="278"/>
      <c r="S1513" s="278"/>
      <c r="T1513" s="278"/>
      <c r="U1513" s="27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 thickBot="1" x14ac:dyDescent="0.35">
      <c r="A1514" s="88"/>
      <c r="B1514" s="66" t="s">
        <v>310</v>
      </c>
      <c r="C1514" s="67"/>
      <c r="D1514" s="102"/>
      <c r="E1514" s="32"/>
      <c r="F1514" s="32"/>
      <c r="G1514" s="68" t="s">
        <v>285</v>
      </c>
      <c r="H1514" s="69">
        <f t="shared" si="621"/>
        <v>0</v>
      </c>
      <c r="I1514" s="70">
        <f t="shared" si="622"/>
        <v>0</v>
      </c>
      <c r="J1514" s="73" t="str">
        <f t="shared" si="623"/>
        <v>--</v>
      </c>
      <c r="K1514" s="32"/>
      <c r="L1514" s="233"/>
      <c r="M1514" s="278"/>
      <c r="N1514" s="278"/>
      <c r="O1514" s="278"/>
      <c r="P1514" s="278"/>
      <c r="Q1514" s="278"/>
      <c r="R1514" s="278"/>
      <c r="S1514" s="278"/>
      <c r="T1514" s="278"/>
      <c r="U1514" s="27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 thickBot="1" x14ac:dyDescent="0.35">
      <c r="A1515" s="88"/>
      <c r="B1515" s="66" t="s">
        <v>311</v>
      </c>
      <c r="C1515" s="67"/>
      <c r="D1515" s="102"/>
      <c r="E1515" s="32"/>
      <c r="F1515" s="32"/>
      <c r="G1515" s="68" t="s">
        <v>285</v>
      </c>
      <c r="H1515" s="69">
        <f t="shared" si="621"/>
        <v>0</v>
      </c>
      <c r="I1515" s="70">
        <f t="shared" si="622"/>
        <v>0</v>
      </c>
      <c r="J1515" s="73" t="str">
        <f t="shared" si="623"/>
        <v>--</v>
      </c>
      <c r="K1515" s="32"/>
      <c r="L1515" s="233"/>
      <c r="M1515" s="278"/>
      <c r="N1515" s="278"/>
      <c r="O1515" s="278"/>
      <c r="P1515" s="278"/>
      <c r="Q1515" s="278"/>
      <c r="R1515" s="278"/>
      <c r="S1515" s="278"/>
      <c r="T1515" s="278"/>
      <c r="U1515" s="27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 thickBot="1" x14ac:dyDescent="0.35">
      <c r="A1516" s="88"/>
      <c r="B1516" s="66" t="s">
        <v>312</v>
      </c>
      <c r="C1516" s="67"/>
      <c r="D1516" s="102"/>
      <c r="E1516" s="32"/>
      <c r="F1516" s="32"/>
      <c r="G1516" s="68" t="s">
        <v>285</v>
      </c>
      <c r="H1516" s="69">
        <f t="shared" si="621"/>
        <v>0</v>
      </c>
      <c r="I1516" s="70">
        <f t="shared" si="622"/>
        <v>0</v>
      </c>
      <c r="J1516" s="73" t="str">
        <f t="shared" si="623"/>
        <v>--</v>
      </c>
      <c r="K1516" s="32"/>
      <c r="L1516" s="233"/>
      <c r="M1516" s="278"/>
      <c r="N1516" s="278"/>
      <c r="O1516" s="278"/>
      <c r="P1516" s="278"/>
      <c r="Q1516" s="278"/>
      <c r="R1516" s="278"/>
      <c r="S1516" s="278"/>
      <c r="T1516" s="278"/>
      <c r="U1516" s="27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 thickBot="1" x14ac:dyDescent="0.35">
      <c r="A1517" s="88"/>
      <c r="B1517" s="66" t="s">
        <v>313</v>
      </c>
      <c r="C1517" s="67"/>
      <c r="D1517" s="102"/>
      <c r="E1517" s="32"/>
      <c r="F1517" s="32"/>
      <c r="G1517" s="68" t="s">
        <v>285</v>
      </c>
      <c r="H1517" s="69">
        <f t="shared" si="621"/>
        <v>0</v>
      </c>
      <c r="I1517" s="70">
        <f t="shared" si="622"/>
        <v>0</v>
      </c>
      <c r="J1517" s="73" t="str">
        <f t="shared" si="623"/>
        <v>--</v>
      </c>
      <c r="K1517" s="32"/>
      <c r="L1517" s="234"/>
      <c r="M1517" s="278"/>
      <c r="N1517" s="278"/>
      <c r="O1517" s="278"/>
      <c r="P1517" s="278"/>
      <c r="Q1517" s="278"/>
      <c r="R1517" s="278"/>
      <c r="S1517" s="278"/>
      <c r="T1517" s="278"/>
      <c r="U1517" s="27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2" thickBot="1" x14ac:dyDescent="0.35">
      <c r="A1518" s="88"/>
      <c r="B1518" s="319" t="s">
        <v>448</v>
      </c>
      <c r="C1518" s="320"/>
      <c r="D1518" s="79"/>
      <c r="E1518" s="80"/>
      <c r="F1518" s="80"/>
      <c r="G1518" s="81"/>
      <c r="H1518" s="192"/>
      <c r="I1518" s="192"/>
      <c r="J1518" s="192"/>
      <c r="K1518" s="82"/>
      <c r="L1518" s="319" t="s">
        <v>319</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2" thickBot="1" x14ac:dyDescent="0.35">
      <c r="A1519" s="88"/>
      <c r="B1519" s="319" t="s">
        <v>320</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3">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 thickBot="1" x14ac:dyDescent="0.35">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5">
      <c r="A1522" s="88"/>
      <c r="B1522" s="85" t="s">
        <v>449</v>
      </c>
      <c r="C1522" s="25"/>
      <c r="D1522" s="25"/>
      <c r="E1522" s="25"/>
      <c r="F1522" s="88"/>
      <c r="G1522" s="25"/>
      <c r="H1522" s="25"/>
      <c r="I1522" s="87"/>
      <c r="J1522" s="26"/>
      <c r="K1522" s="25"/>
      <c r="L1522" s="25"/>
      <c r="M1522" s="196" t="s">
        <v>217</v>
      </c>
      <c r="N1522" s="196" t="s">
        <v>218</v>
      </c>
      <c r="O1522" s="196" t="s">
        <v>219</v>
      </c>
      <c r="P1522" s="196" t="s">
        <v>220</v>
      </c>
      <c r="Q1522" s="196" t="s">
        <v>221</v>
      </c>
      <c r="R1522" s="196" t="s">
        <v>222</v>
      </c>
      <c r="S1522" s="196" t="s">
        <v>223</v>
      </c>
      <c r="T1522" s="196" t="s">
        <v>224</v>
      </c>
      <c r="U1522" s="196" t="s">
        <v>225</v>
      </c>
      <c r="V1522" s="196" t="s">
        <v>226</v>
      </c>
      <c r="W1522" s="113" t="s">
        <v>227</v>
      </c>
      <c r="X1522" s="196" t="s">
        <v>228</v>
      </c>
      <c r="Y1522" s="25"/>
      <c r="Z1522" s="25"/>
      <c r="AA1522" s="25"/>
      <c r="AB1522" s="25"/>
      <c r="AC1522" s="25"/>
      <c r="AD1522" s="25"/>
      <c r="BA1522" s="226"/>
    </row>
    <row r="1523" spans="1:53" ht="15.6" thickTop="1" thickBot="1" x14ac:dyDescent="0.35">
      <c r="A1523" s="88"/>
      <c r="B1523" s="312" t="s">
        <v>229</v>
      </c>
      <c r="C1523" s="313"/>
      <c r="D1523" s="314" t="s">
        <v>230</v>
      </c>
      <c r="E1523" s="305"/>
      <c r="F1523" s="88"/>
      <c r="G1523" s="315" t="s">
        <v>231</v>
      </c>
      <c r="H1523" s="316"/>
      <c r="I1523" s="28">
        <f>SUM(E1534:E1558)</f>
        <v>0</v>
      </c>
      <c r="J1523" s="317" t="s">
        <v>232</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233</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234</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5">
      <c r="A1524" s="88"/>
      <c r="B1524" s="29" t="s">
        <v>235</v>
      </c>
      <c r="C1524" s="30">
        <v>0</v>
      </c>
      <c r="D1524" s="31" t="s">
        <v>236</v>
      </c>
      <c r="E1524" s="66" t="str">
        <f>TEXT(IF('Cable Calculator'!GG7="","",'Cable Calculator'!GG7),)</f>
        <v/>
      </c>
      <c r="F1524" s="88"/>
      <c r="G1524" s="304" t="s">
        <v>237</v>
      </c>
      <c r="H1524" s="305"/>
      <c r="I1524" s="33">
        <f>E1525-I1523</f>
        <v>0</v>
      </c>
      <c r="J1524" s="289" t="s">
        <v>238</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239</v>
      </c>
      <c r="AA1524" s="300" t="s">
        <v>240</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241</v>
      </c>
      <c r="AU1524" s="109">
        <f>COUNTIFS($E1524,"SS",$AS1524,"Y")</f>
        <v>0</v>
      </c>
      <c r="AV1524" s="111">
        <f>COUNTIFS($E1524,"RPX",$AS1524,"Y")</f>
        <v>0</v>
      </c>
      <c r="AW1524" s="111">
        <f>COUNTIFS($E1524,"EUC",$AS1524,"Y")</f>
        <v>0</v>
      </c>
      <c r="AX1524" s="109">
        <f>COUNTIFS($E1524,"RPX-T",$AS1524,"Y")</f>
        <v>0</v>
      </c>
      <c r="BA1524" s="227"/>
    </row>
    <row r="1525" spans="1:53" ht="15.6" thickTop="1" thickBot="1" x14ac:dyDescent="0.35">
      <c r="A1525" s="88"/>
      <c r="B1525" s="36" t="s">
        <v>242</v>
      </c>
      <c r="C1525" s="37">
        <v>0</v>
      </c>
      <c r="D1525" s="38" t="s">
        <v>243</v>
      </c>
      <c r="E1525" s="32"/>
      <c r="F1525" s="88"/>
      <c r="G1525" s="291" t="s">
        <v>244</v>
      </c>
      <c r="H1525" s="292"/>
      <c r="I1525" s="35">
        <f>IF(E1525=0,0,12-(MOD(I1523,12)))</f>
        <v>0</v>
      </c>
      <c r="J1525" s="289" t="s">
        <v>245</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246</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5">
      <c r="A1526" s="88"/>
      <c r="B1526" s="40" t="s">
        <v>247</v>
      </c>
      <c r="C1526" s="30">
        <v>0</v>
      </c>
      <c r="D1526" s="41" t="s">
        <v>248</v>
      </c>
      <c r="E1526" s="42"/>
      <c r="F1526" s="88"/>
      <c r="G1526" s="321" t="s">
        <v>249</v>
      </c>
      <c r="H1526" s="43" t="s">
        <v>250</v>
      </c>
      <c r="I1526" s="35">
        <f>IF(E1526&lt;&gt;0,1,0)</f>
        <v>0</v>
      </c>
      <c r="J1526" s="291" t="s">
        <v>251</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252</v>
      </c>
      <c r="AU1526" s="109">
        <f>COUNTIFS($E1524,"SS",$AS1526,"Y")</f>
        <v>0</v>
      </c>
      <c r="AV1526" s="108">
        <f>COUNTIFS($E1524,"RPX",$AS1526,"Y")</f>
        <v>0</v>
      </c>
      <c r="AW1526" s="108">
        <f>COUNTIFS($E1524,"EUC",$AS1526,"Y")</f>
        <v>0</v>
      </c>
      <c r="AX1526" s="109">
        <f>COUNTIFS($E1524,"RPX-T",$AS1526,"Y")</f>
        <v>0</v>
      </c>
      <c r="BA1526" s="227"/>
    </row>
    <row r="1527" spans="1:53" ht="15.6" thickTop="1" thickBot="1" x14ac:dyDescent="0.35">
      <c r="A1527" s="88"/>
      <c r="B1527" s="29" t="s">
        <v>253</v>
      </c>
      <c r="C1527" s="37">
        <v>0</v>
      </c>
      <c r="D1527" s="41" t="s">
        <v>254</v>
      </c>
      <c r="E1527" s="42"/>
      <c r="F1527" s="88"/>
      <c r="G1527" s="322"/>
      <c r="H1527" s="47" t="s">
        <v>255</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5">
      <c r="A1528" s="88"/>
      <c r="B1528" s="36" t="s">
        <v>256</v>
      </c>
      <c r="C1528" s="30">
        <v>0</v>
      </c>
      <c r="D1528" s="49" t="s">
        <v>257</v>
      </c>
      <c r="E1528" s="50">
        <f>E1525/12</f>
        <v>0</v>
      </c>
      <c r="F1528" s="88"/>
      <c r="G1528" s="321" t="s">
        <v>258</v>
      </c>
      <c r="H1528" s="51" t="s">
        <v>259</v>
      </c>
      <c r="I1528" s="112">
        <f>E1527</f>
        <v>0</v>
      </c>
      <c r="J1528" s="323" t="s">
        <v>260</v>
      </c>
      <c r="K1528" s="324"/>
      <c r="L1528" s="325"/>
      <c r="M1528" s="52" t="s">
        <v>261</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5.6" thickTop="1" thickBot="1" x14ac:dyDescent="0.35">
      <c r="A1529" s="88"/>
      <c r="B1529" s="36" t="s">
        <v>262</v>
      </c>
      <c r="C1529" s="30">
        <v>0</v>
      </c>
      <c r="D1529" s="31" t="s">
        <v>263</v>
      </c>
      <c r="E1529" s="101" t="str">
        <f>IF('Cable Calculator'!GG5="","",'Cable Calculator'!GG5)</f>
        <v/>
      </c>
      <c r="F1529" s="88"/>
      <c r="G1529" s="322"/>
      <c r="H1529" s="47" t="s">
        <v>264</v>
      </c>
      <c r="I1529" s="35" t="str">
        <f>IF(E1527="","0",IF(AND(E1524="EUC",E1525=432), I1528+(203-E1526),IF(E1527=0,0,(E1527+(E1525-E1526)-1))))</f>
        <v>0</v>
      </c>
      <c r="J1529" s="286" t="str">
        <f>IFERROR(IF(OR(E1524="EUC",E1524="SS"),"---",IF(OR(P1523,S1523),"NO 2F Tethers for RPX!",IF(OR(P1525,S1525),"NO 6F Tethers for RPX!","---"))),"---")</f>
        <v>---</v>
      </c>
      <c r="K1529" s="287"/>
      <c r="L1529" s="288"/>
      <c r="M1529" s="286" t="str">
        <f>IF(E1526&gt;60,"Dead Count &gt;60: Consider Downsize","---")</f>
        <v>---</v>
      </c>
      <c r="N1529" s="287"/>
      <c r="O1529" s="287"/>
      <c r="P1529" s="287"/>
      <c r="Q1529" s="287"/>
      <c r="R1529" s="287"/>
      <c r="S1529" s="287"/>
      <c r="T1529" s="287"/>
      <c r="U1529" s="288"/>
      <c r="V1529" s="100"/>
      <c r="W1529" s="54">
        <f>SUM(P1529:U1529)</f>
        <v>0</v>
      </c>
      <c r="X1529" s="54"/>
      <c r="Y1529" s="25"/>
      <c r="Z1529" s="45">
        <v>4</v>
      </c>
      <c r="AA1529" s="46">
        <v>37</v>
      </c>
      <c r="AB1529" s="46">
        <v>48</v>
      </c>
      <c r="AC1529" s="25"/>
      <c r="AD1529" s="25"/>
      <c r="BA1529" s="227"/>
    </row>
    <row r="1530" spans="1:53" ht="15.6" thickTop="1" thickBot="1" x14ac:dyDescent="0.35">
      <c r="A1530" s="88"/>
      <c r="B1530" s="55" t="s">
        <v>265</v>
      </c>
      <c r="C1530" s="56">
        <f>SUM(C1524:C1529)+I1523</f>
        <v>0</v>
      </c>
      <c r="D1530" s="31" t="s">
        <v>266</v>
      </c>
      <c r="E1530" s="101" t="str">
        <f>IF(AS1524="Y","DBL",IF(AS1525="Y","TRPL",IF(AS1526="Y","QUAD","")))</f>
        <v/>
      </c>
      <c r="F1530" s="88"/>
      <c r="G1530" s="192"/>
      <c r="H1530" s="57"/>
      <c r="I1530" s="192"/>
      <c r="J1530" s="286"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7"/>
      <c r="L1530" s="288"/>
      <c r="M1530" s="286" t="str">
        <f>IF(AND(OR(E1524="SS",E1524="RPX",E1524="EUC",E1524="RPX-T"),(OR(C1534="",C1534="Field SPL"))),"Cannot have FlexNap cables without tethers","---")</f>
        <v>---</v>
      </c>
      <c r="N1530" s="287"/>
      <c r="O1530" s="287"/>
      <c r="P1530" s="287"/>
      <c r="Q1530" s="287"/>
      <c r="R1530" s="287"/>
      <c r="S1530" s="287"/>
      <c r="T1530" s="287"/>
      <c r="U1530" s="288"/>
      <c r="V1530" s="25"/>
      <c r="W1530" s="58"/>
      <c r="X1530" s="58"/>
      <c r="Y1530" s="25"/>
      <c r="Z1530" s="45">
        <v>5</v>
      </c>
      <c r="AA1530" s="46">
        <v>49</v>
      </c>
      <c r="AB1530" s="46">
        <v>60</v>
      </c>
      <c r="AC1530" s="25"/>
      <c r="AD1530" s="25"/>
      <c r="BA1530" s="227"/>
    </row>
    <row r="1531" spans="1:53" ht="15.6" thickTop="1" thickBot="1" x14ac:dyDescent="0.35">
      <c r="A1531" s="88"/>
      <c r="B1531" s="59"/>
      <c r="C1531" s="60"/>
      <c r="D1531" s="61"/>
      <c r="E1531" s="62"/>
      <c r="F1531" s="88"/>
      <c r="G1531" s="63"/>
      <c r="H1531" s="64"/>
      <c r="I1531" s="63"/>
      <c r="J1531" s="286" t="str">
        <f>IF(AND(OR(E1524="RPX", E1524="RPX-T", E1524="SS"),E1525=216),"NO 216 For RPX, RPX-T, OR SS CABLE","---")</f>
        <v>---</v>
      </c>
      <c r="K1531" s="287"/>
      <c r="L1531" s="288"/>
      <c r="M1531" s="286" t="str" cm="1">
        <f t="array" ref="M1531">IF(AND(E1524="",OR(C1534:C1558="FST",C1534:C1558="REV T",C1534:C1558="DBL REV",C1534:C1558="TPL REV", C1534:C1558="QD REV")),"Non-FlexNap cables cannot have tethers","---")</f>
        <v>---</v>
      </c>
      <c r="N1531" s="287"/>
      <c r="O1531" s="287"/>
      <c r="P1531" s="287"/>
      <c r="Q1531" s="287"/>
      <c r="R1531" s="287"/>
      <c r="S1531" s="287"/>
      <c r="T1531" s="287"/>
      <c r="U1531" s="288"/>
      <c r="V1531" s="25"/>
      <c r="W1531" s="58"/>
      <c r="X1531" s="58"/>
      <c r="Y1531" s="25"/>
      <c r="Z1531" s="45">
        <v>6</v>
      </c>
      <c r="AA1531" s="65">
        <v>61</v>
      </c>
      <c r="AB1531" s="65">
        <v>72</v>
      </c>
      <c r="AC1531" s="25"/>
      <c r="AD1531" s="25"/>
      <c r="BA1531" s="226"/>
    </row>
    <row r="1532" spans="1:53" ht="15.75" customHeight="1" thickBot="1" x14ac:dyDescent="0.35">
      <c r="A1532" s="88"/>
      <c r="B1532" s="321" t="s">
        <v>267</v>
      </c>
      <c r="C1532" s="293" t="s">
        <v>268</v>
      </c>
      <c r="D1532" s="293" t="s">
        <v>269</v>
      </c>
      <c r="E1532" s="306" t="s">
        <v>270</v>
      </c>
      <c r="F1532" s="293" t="s">
        <v>271</v>
      </c>
      <c r="G1532" s="308" t="s">
        <v>272</v>
      </c>
      <c r="H1532" s="308" t="s">
        <v>273</v>
      </c>
      <c r="I1532" s="308" t="s">
        <v>274</v>
      </c>
      <c r="J1532" s="310" t="s">
        <v>275</v>
      </c>
      <c r="K1532" s="293" t="s">
        <v>276</v>
      </c>
      <c r="L1532" s="280" t="s">
        <v>277</v>
      </c>
      <c r="M1532" s="282" t="s">
        <v>278</v>
      </c>
      <c r="N1532" s="282"/>
      <c r="O1532" s="282"/>
      <c r="P1532" s="282"/>
      <c r="Q1532" s="282"/>
      <c r="R1532" s="282"/>
      <c r="S1532" s="282"/>
      <c r="T1532" s="282"/>
      <c r="U1532" s="283"/>
      <c r="V1532" s="107"/>
      <c r="W1532" s="72"/>
      <c r="X1532" s="72"/>
      <c r="Y1532" s="72"/>
      <c r="Z1532" s="45">
        <v>7</v>
      </c>
      <c r="AA1532" s="65">
        <v>73</v>
      </c>
      <c r="AB1532" s="65">
        <v>84</v>
      </c>
      <c r="AC1532" s="25"/>
      <c r="AD1532" s="25"/>
      <c r="BA1532" s="228"/>
    </row>
    <row r="1533" spans="1:53" ht="15" thickBot="1" x14ac:dyDescent="0.35">
      <c r="A1533" s="88"/>
      <c r="B1533" s="322"/>
      <c r="C1533" s="294"/>
      <c r="D1533" s="294"/>
      <c r="E1533" s="307"/>
      <c r="F1533" s="294"/>
      <c r="G1533" s="309"/>
      <c r="H1533" s="309"/>
      <c r="I1533" s="309"/>
      <c r="J1533" s="311"/>
      <c r="K1533" s="294"/>
      <c r="L1533" s="281"/>
      <c r="M1533" s="284"/>
      <c r="N1533" s="284"/>
      <c r="O1533" s="284"/>
      <c r="P1533" s="284"/>
      <c r="Q1533" s="284"/>
      <c r="R1533" s="284"/>
      <c r="S1533" s="284"/>
      <c r="T1533" s="284"/>
      <c r="U1533" s="285"/>
      <c r="V1533" s="107"/>
      <c r="W1533" s="72"/>
      <c r="X1533" s="72"/>
      <c r="Y1533" s="72"/>
      <c r="Z1533" s="45">
        <v>8</v>
      </c>
      <c r="AA1533" s="46">
        <v>85</v>
      </c>
      <c r="AB1533" s="46">
        <v>96</v>
      </c>
      <c r="AC1533" s="25"/>
      <c r="AD1533" s="25"/>
      <c r="AI1533" s="109" t="s">
        <v>279</v>
      </c>
      <c r="AJ1533" s="109" t="s">
        <v>280</v>
      </c>
      <c r="AK1533" s="109" t="s">
        <v>281</v>
      </c>
      <c r="AL1533" s="109" t="s">
        <v>282</v>
      </c>
      <c r="BA1533" s="228"/>
    </row>
    <row r="1534" spans="1:53" ht="15" thickBot="1" x14ac:dyDescent="0.35">
      <c r="A1534" s="88"/>
      <c r="B1534" s="66" t="s">
        <v>283</v>
      </c>
      <c r="C1534" s="67"/>
      <c r="D1534" s="102"/>
      <c r="E1534" s="32"/>
      <c r="F1534" s="32"/>
      <c r="G1534" s="68" t="s">
        <v>285</v>
      </c>
      <c r="H1534" s="69">
        <f>IF(I1534=0,0,I1534-(E1534-1))</f>
        <v>0</v>
      </c>
      <c r="I1534" s="70">
        <f>IF(E1534=0,0,I1529)</f>
        <v>0</v>
      </c>
      <c r="J1534" s="71" t="s">
        <v>286</v>
      </c>
      <c r="K1534" s="32"/>
      <c r="L1534" s="233"/>
      <c r="M1534" s="278"/>
      <c r="N1534" s="278"/>
      <c r="O1534" s="278"/>
      <c r="P1534" s="278"/>
      <c r="Q1534" s="278"/>
      <c r="R1534" s="278"/>
      <c r="S1534" s="278"/>
      <c r="T1534" s="278"/>
      <c r="U1534" s="27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 thickBot="1" x14ac:dyDescent="0.35">
      <c r="A1535" s="88"/>
      <c r="B1535" s="66" t="s">
        <v>288</v>
      </c>
      <c r="C1535" s="67"/>
      <c r="D1535" s="102"/>
      <c r="E1535" s="32"/>
      <c r="F1535" s="32"/>
      <c r="G1535" s="68" t="s">
        <v>285</v>
      </c>
      <c r="H1535" s="69">
        <f t="shared" ref="H1535:H1558" si="638">IF(E1535=0,0,I1535-(E1535-1))</f>
        <v>0</v>
      </c>
      <c r="I1535" s="70">
        <f t="shared" ref="I1535:I1558" si="639">IF(E1535=0,0,H1534-1)</f>
        <v>0</v>
      </c>
      <c r="J1535" s="73" t="str">
        <f>IF(C1535="","--",IF(AND(C1535&lt;&gt;"FST",C1535&lt;&gt;"TCF",BA1534&lt;&gt;0),BA1534,"--"))</f>
        <v>--</v>
      </c>
      <c r="K1535" s="32"/>
      <c r="L1535" s="233"/>
      <c r="M1535" s="278"/>
      <c r="N1535" s="278"/>
      <c r="O1535" s="278"/>
      <c r="P1535" s="278"/>
      <c r="Q1535" s="278"/>
      <c r="R1535" s="278"/>
      <c r="S1535" s="278"/>
      <c r="T1535" s="278"/>
      <c r="U1535" s="27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 thickBot="1" x14ac:dyDescent="0.35">
      <c r="A1536" s="88"/>
      <c r="B1536" s="74" t="s">
        <v>290</v>
      </c>
      <c r="C1536" s="67"/>
      <c r="D1536" s="102"/>
      <c r="E1536" s="32"/>
      <c r="F1536" s="32"/>
      <c r="G1536" s="75" t="s">
        <v>285</v>
      </c>
      <c r="H1536" s="69">
        <f t="shared" si="638"/>
        <v>0</v>
      </c>
      <c r="I1536" s="70">
        <f t="shared" si="639"/>
        <v>0</v>
      </c>
      <c r="J1536" s="73" t="str">
        <f t="shared" ref="J1536:J1558" si="640">IF(C1536="","--",IF(AND(C1536&lt;&gt;"FST",C1536&lt;&gt;"TCF",BA1535&lt;&gt;0),BA1535,"--"))</f>
        <v>--</v>
      </c>
      <c r="K1536" s="32"/>
      <c r="L1536" s="233"/>
      <c r="M1536" s="278"/>
      <c r="N1536" s="278"/>
      <c r="O1536" s="278"/>
      <c r="P1536" s="278"/>
      <c r="Q1536" s="278"/>
      <c r="R1536" s="278"/>
      <c r="S1536" s="278"/>
      <c r="T1536" s="278"/>
      <c r="U1536" s="27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 thickBot="1" x14ac:dyDescent="0.35">
      <c r="A1537" s="88"/>
      <c r="B1537" s="66" t="s">
        <v>292</v>
      </c>
      <c r="C1537" s="67"/>
      <c r="D1537" s="102"/>
      <c r="E1537" s="32"/>
      <c r="F1537" s="32"/>
      <c r="G1537" s="68" t="s">
        <v>285</v>
      </c>
      <c r="H1537" s="69">
        <f t="shared" si="638"/>
        <v>0</v>
      </c>
      <c r="I1537" s="70">
        <f t="shared" si="639"/>
        <v>0</v>
      </c>
      <c r="J1537" s="73" t="str">
        <f t="shared" si="640"/>
        <v>--</v>
      </c>
      <c r="K1537" s="32"/>
      <c r="L1537" s="233"/>
      <c r="M1537" s="278"/>
      <c r="N1537" s="278"/>
      <c r="O1537" s="278"/>
      <c r="P1537" s="278"/>
      <c r="Q1537" s="278"/>
      <c r="R1537" s="278"/>
      <c r="S1537" s="278"/>
      <c r="T1537" s="278"/>
      <c r="U1537" s="27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 thickBot="1" x14ac:dyDescent="0.35">
      <c r="A1538" s="88"/>
      <c r="B1538" s="66" t="s">
        <v>293</v>
      </c>
      <c r="C1538" s="67"/>
      <c r="D1538" s="102"/>
      <c r="E1538" s="32"/>
      <c r="F1538" s="32"/>
      <c r="G1538" s="68" t="s">
        <v>285</v>
      </c>
      <c r="H1538" s="69">
        <f t="shared" si="638"/>
        <v>0</v>
      </c>
      <c r="I1538" s="70">
        <f t="shared" si="639"/>
        <v>0</v>
      </c>
      <c r="J1538" s="73" t="str">
        <f t="shared" si="640"/>
        <v>--</v>
      </c>
      <c r="K1538" s="32"/>
      <c r="L1538" s="233"/>
      <c r="M1538" s="278"/>
      <c r="N1538" s="278"/>
      <c r="O1538" s="278"/>
      <c r="P1538" s="278"/>
      <c r="Q1538" s="278"/>
      <c r="R1538" s="278"/>
      <c r="S1538" s="278"/>
      <c r="T1538" s="278"/>
      <c r="U1538" s="27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 thickBot="1" x14ac:dyDescent="0.35">
      <c r="A1539" s="88"/>
      <c r="B1539" s="66" t="s">
        <v>294</v>
      </c>
      <c r="C1539" s="67"/>
      <c r="D1539" s="102"/>
      <c r="E1539" s="32"/>
      <c r="F1539" s="32"/>
      <c r="G1539" s="68" t="s">
        <v>285</v>
      </c>
      <c r="H1539" s="69">
        <f t="shared" si="638"/>
        <v>0</v>
      </c>
      <c r="I1539" s="70">
        <f t="shared" si="639"/>
        <v>0</v>
      </c>
      <c r="J1539" s="73" t="str">
        <f t="shared" si="640"/>
        <v>--</v>
      </c>
      <c r="K1539" s="32"/>
      <c r="L1539" s="233"/>
      <c r="M1539" s="278"/>
      <c r="N1539" s="278"/>
      <c r="O1539" s="278"/>
      <c r="P1539" s="278"/>
      <c r="Q1539" s="278"/>
      <c r="R1539" s="278"/>
      <c r="S1539" s="278"/>
      <c r="T1539" s="278"/>
      <c r="U1539" s="27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 thickBot="1" x14ac:dyDescent="0.35">
      <c r="A1540" s="88"/>
      <c r="B1540" s="66" t="s">
        <v>295</v>
      </c>
      <c r="C1540" s="67"/>
      <c r="D1540" s="102"/>
      <c r="E1540" s="32"/>
      <c r="F1540" s="32"/>
      <c r="G1540" s="68" t="s">
        <v>285</v>
      </c>
      <c r="H1540" s="69">
        <f t="shared" si="638"/>
        <v>0</v>
      </c>
      <c r="I1540" s="70">
        <f t="shared" si="639"/>
        <v>0</v>
      </c>
      <c r="J1540" s="73" t="str">
        <f t="shared" si="640"/>
        <v>--</v>
      </c>
      <c r="K1540" s="32"/>
      <c r="L1540" s="233"/>
      <c r="M1540" s="278"/>
      <c r="N1540" s="278"/>
      <c r="O1540" s="278"/>
      <c r="P1540" s="278"/>
      <c r="Q1540" s="278"/>
      <c r="R1540" s="278"/>
      <c r="S1540" s="278"/>
      <c r="T1540" s="278"/>
      <c r="U1540" s="27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 thickBot="1" x14ac:dyDescent="0.35">
      <c r="A1541" s="88"/>
      <c r="B1541" s="66" t="s">
        <v>296</v>
      </c>
      <c r="C1541" s="67"/>
      <c r="D1541" s="102"/>
      <c r="E1541" s="32"/>
      <c r="F1541" s="32"/>
      <c r="G1541" s="68" t="s">
        <v>285</v>
      </c>
      <c r="H1541" s="69">
        <f t="shared" si="638"/>
        <v>0</v>
      </c>
      <c r="I1541" s="70">
        <f t="shared" si="639"/>
        <v>0</v>
      </c>
      <c r="J1541" s="73" t="str">
        <f t="shared" si="640"/>
        <v>--</v>
      </c>
      <c r="K1541" s="32"/>
      <c r="L1541" s="233"/>
      <c r="M1541" s="278"/>
      <c r="N1541" s="278"/>
      <c r="O1541" s="278"/>
      <c r="P1541" s="278"/>
      <c r="Q1541" s="278"/>
      <c r="R1541" s="278"/>
      <c r="S1541" s="278"/>
      <c r="T1541" s="278"/>
      <c r="U1541" s="27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 thickBot="1" x14ac:dyDescent="0.35">
      <c r="A1542" s="88"/>
      <c r="B1542" s="66" t="s">
        <v>297</v>
      </c>
      <c r="C1542" s="67"/>
      <c r="D1542" s="102"/>
      <c r="E1542" s="32"/>
      <c r="F1542" s="32"/>
      <c r="G1542" s="68" t="s">
        <v>285</v>
      </c>
      <c r="H1542" s="69">
        <f t="shared" si="638"/>
        <v>0</v>
      </c>
      <c r="I1542" s="70">
        <f t="shared" si="639"/>
        <v>0</v>
      </c>
      <c r="J1542" s="73" t="str">
        <f t="shared" si="640"/>
        <v>--</v>
      </c>
      <c r="K1542" s="32"/>
      <c r="L1542" s="233"/>
      <c r="M1542" s="278"/>
      <c r="N1542" s="278"/>
      <c r="O1542" s="278"/>
      <c r="P1542" s="278"/>
      <c r="Q1542" s="278"/>
      <c r="R1542" s="278"/>
      <c r="S1542" s="278"/>
      <c r="T1542" s="278"/>
      <c r="U1542" s="27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 thickBot="1" x14ac:dyDescent="0.35">
      <c r="A1543" s="88"/>
      <c r="B1543" s="66" t="s">
        <v>298</v>
      </c>
      <c r="C1543" s="67"/>
      <c r="D1543" s="102"/>
      <c r="E1543" s="32"/>
      <c r="F1543" s="32"/>
      <c r="G1543" s="68" t="s">
        <v>285</v>
      </c>
      <c r="H1543" s="69">
        <f t="shared" si="638"/>
        <v>0</v>
      </c>
      <c r="I1543" s="70">
        <f t="shared" si="639"/>
        <v>0</v>
      </c>
      <c r="J1543" s="73" t="str">
        <f t="shared" si="640"/>
        <v>--</v>
      </c>
      <c r="K1543" s="32"/>
      <c r="L1543" s="233"/>
      <c r="M1543" s="278"/>
      <c r="N1543" s="278"/>
      <c r="O1543" s="278"/>
      <c r="P1543" s="278"/>
      <c r="Q1543" s="278"/>
      <c r="R1543" s="278"/>
      <c r="S1543" s="278"/>
      <c r="T1543" s="278"/>
      <c r="U1543" s="27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 thickBot="1" x14ac:dyDescent="0.35">
      <c r="A1544" s="88"/>
      <c r="B1544" s="66" t="s">
        <v>299</v>
      </c>
      <c r="C1544" s="67"/>
      <c r="D1544" s="102"/>
      <c r="E1544" s="32"/>
      <c r="F1544" s="32"/>
      <c r="G1544" s="68" t="s">
        <v>285</v>
      </c>
      <c r="H1544" s="69">
        <f t="shared" si="638"/>
        <v>0</v>
      </c>
      <c r="I1544" s="70">
        <f t="shared" si="639"/>
        <v>0</v>
      </c>
      <c r="J1544" s="73" t="str">
        <f t="shared" si="640"/>
        <v>--</v>
      </c>
      <c r="K1544" s="32"/>
      <c r="L1544" s="233"/>
      <c r="M1544" s="278"/>
      <c r="N1544" s="278"/>
      <c r="O1544" s="278"/>
      <c r="P1544" s="278"/>
      <c r="Q1544" s="278"/>
      <c r="R1544" s="278"/>
      <c r="S1544" s="278"/>
      <c r="T1544" s="278"/>
      <c r="U1544" s="27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 thickBot="1" x14ac:dyDescent="0.35">
      <c r="A1545" s="88"/>
      <c r="B1545" s="66" t="s">
        <v>300</v>
      </c>
      <c r="C1545" s="67"/>
      <c r="D1545" s="102"/>
      <c r="E1545" s="32"/>
      <c r="F1545" s="32"/>
      <c r="G1545" s="68" t="s">
        <v>285</v>
      </c>
      <c r="H1545" s="69">
        <f t="shared" si="638"/>
        <v>0</v>
      </c>
      <c r="I1545" s="70">
        <f t="shared" si="639"/>
        <v>0</v>
      </c>
      <c r="J1545" s="73" t="str">
        <f t="shared" si="640"/>
        <v>--</v>
      </c>
      <c r="K1545" s="32"/>
      <c r="L1545" s="233"/>
      <c r="M1545" s="278"/>
      <c r="N1545" s="278"/>
      <c r="O1545" s="278"/>
      <c r="P1545" s="278"/>
      <c r="Q1545" s="278"/>
      <c r="R1545" s="278"/>
      <c r="S1545" s="278"/>
      <c r="T1545" s="278"/>
      <c r="U1545" s="27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 thickBot="1" x14ac:dyDescent="0.35">
      <c r="A1546" s="88"/>
      <c r="B1546" s="66" t="s">
        <v>301</v>
      </c>
      <c r="C1546" s="67"/>
      <c r="D1546" s="102"/>
      <c r="E1546" s="32"/>
      <c r="F1546" s="32"/>
      <c r="G1546" s="68" t="s">
        <v>285</v>
      </c>
      <c r="H1546" s="69">
        <f t="shared" si="638"/>
        <v>0</v>
      </c>
      <c r="I1546" s="70">
        <f t="shared" si="639"/>
        <v>0</v>
      </c>
      <c r="J1546" s="73" t="str">
        <f t="shared" si="640"/>
        <v>--</v>
      </c>
      <c r="K1546" s="32"/>
      <c r="L1546" s="233"/>
      <c r="M1546" s="278"/>
      <c r="N1546" s="278"/>
      <c r="O1546" s="278"/>
      <c r="P1546" s="278"/>
      <c r="Q1546" s="278"/>
      <c r="R1546" s="278"/>
      <c r="S1546" s="278"/>
      <c r="T1546" s="278"/>
      <c r="U1546" s="27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 thickBot="1" x14ac:dyDescent="0.35">
      <c r="A1547" s="88"/>
      <c r="B1547" s="66" t="s">
        <v>302</v>
      </c>
      <c r="C1547" s="67"/>
      <c r="D1547" s="102"/>
      <c r="E1547" s="32"/>
      <c r="F1547" s="32"/>
      <c r="G1547" s="68" t="s">
        <v>285</v>
      </c>
      <c r="H1547" s="69">
        <f t="shared" si="638"/>
        <v>0</v>
      </c>
      <c r="I1547" s="70">
        <f t="shared" si="639"/>
        <v>0</v>
      </c>
      <c r="J1547" s="73" t="str">
        <f t="shared" si="640"/>
        <v>--</v>
      </c>
      <c r="K1547" s="32"/>
      <c r="L1547" s="233"/>
      <c r="M1547" s="278"/>
      <c r="N1547" s="278"/>
      <c r="O1547" s="278"/>
      <c r="P1547" s="278"/>
      <c r="Q1547" s="278"/>
      <c r="R1547" s="278"/>
      <c r="S1547" s="278"/>
      <c r="T1547" s="278"/>
      <c r="U1547" s="27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 thickBot="1" x14ac:dyDescent="0.35">
      <c r="A1548" s="88"/>
      <c r="B1548" s="66" t="s">
        <v>303</v>
      </c>
      <c r="C1548" s="67"/>
      <c r="D1548" s="102"/>
      <c r="E1548" s="32"/>
      <c r="F1548" s="32"/>
      <c r="G1548" s="68" t="s">
        <v>285</v>
      </c>
      <c r="H1548" s="69">
        <f t="shared" si="638"/>
        <v>0</v>
      </c>
      <c r="I1548" s="70">
        <f t="shared" si="639"/>
        <v>0</v>
      </c>
      <c r="J1548" s="73" t="str">
        <f t="shared" si="640"/>
        <v>--</v>
      </c>
      <c r="K1548" s="32"/>
      <c r="L1548" s="233"/>
      <c r="M1548" s="278"/>
      <c r="N1548" s="278"/>
      <c r="O1548" s="278"/>
      <c r="P1548" s="278"/>
      <c r="Q1548" s="278"/>
      <c r="R1548" s="278"/>
      <c r="S1548" s="278"/>
      <c r="T1548" s="278"/>
      <c r="U1548" s="27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 thickBot="1" x14ac:dyDescent="0.35">
      <c r="A1549" s="88"/>
      <c r="B1549" s="66" t="s">
        <v>304</v>
      </c>
      <c r="C1549" s="67"/>
      <c r="D1549" s="102"/>
      <c r="E1549" s="32"/>
      <c r="F1549" s="32"/>
      <c r="G1549" s="68" t="s">
        <v>285</v>
      </c>
      <c r="H1549" s="69">
        <f t="shared" si="638"/>
        <v>0</v>
      </c>
      <c r="I1549" s="70">
        <f t="shared" si="639"/>
        <v>0</v>
      </c>
      <c r="J1549" s="73" t="str">
        <f t="shared" si="640"/>
        <v>--</v>
      </c>
      <c r="K1549" s="32"/>
      <c r="L1549" s="233"/>
      <c r="M1549" s="278"/>
      <c r="N1549" s="278"/>
      <c r="O1549" s="278"/>
      <c r="P1549" s="278"/>
      <c r="Q1549" s="278"/>
      <c r="R1549" s="278"/>
      <c r="S1549" s="278"/>
      <c r="T1549" s="278"/>
      <c r="U1549" s="27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 thickBot="1" x14ac:dyDescent="0.35">
      <c r="A1550" s="88"/>
      <c r="B1550" s="66" t="s">
        <v>305</v>
      </c>
      <c r="C1550" s="67"/>
      <c r="D1550" s="102"/>
      <c r="E1550" s="32"/>
      <c r="F1550" s="32"/>
      <c r="G1550" s="68" t="s">
        <v>285</v>
      </c>
      <c r="H1550" s="69">
        <f t="shared" si="638"/>
        <v>0</v>
      </c>
      <c r="I1550" s="70">
        <f t="shared" si="639"/>
        <v>0</v>
      </c>
      <c r="J1550" s="73" t="str">
        <f t="shared" si="640"/>
        <v>--</v>
      </c>
      <c r="K1550" s="32"/>
      <c r="L1550" s="233"/>
      <c r="M1550" s="278"/>
      <c r="N1550" s="278"/>
      <c r="O1550" s="278"/>
      <c r="P1550" s="278"/>
      <c r="Q1550" s="278"/>
      <c r="R1550" s="278"/>
      <c r="S1550" s="278"/>
      <c r="T1550" s="278"/>
      <c r="U1550" s="27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 thickBot="1" x14ac:dyDescent="0.35">
      <c r="A1551" s="88"/>
      <c r="B1551" s="66" t="s">
        <v>306</v>
      </c>
      <c r="C1551" s="67"/>
      <c r="D1551" s="102"/>
      <c r="E1551" s="32"/>
      <c r="F1551" s="32"/>
      <c r="G1551" s="68" t="s">
        <v>285</v>
      </c>
      <c r="H1551" s="69">
        <f t="shared" si="638"/>
        <v>0</v>
      </c>
      <c r="I1551" s="70">
        <f t="shared" si="639"/>
        <v>0</v>
      </c>
      <c r="J1551" s="73" t="str">
        <f t="shared" si="640"/>
        <v>--</v>
      </c>
      <c r="K1551" s="32"/>
      <c r="L1551" s="233"/>
      <c r="M1551" s="278"/>
      <c r="N1551" s="278"/>
      <c r="O1551" s="278"/>
      <c r="P1551" s="278"/>
      <c r="Q1551" s="278"/>
      <c r="R1551" s="278"/>
      <c r="S1551" s="278"/>
      <c r="T1551" s="278"/>
      <c r="U1551" s="27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 thickBot="1" x14ac:dyDescent="0.35">
      <c r="A1552" s="88"/>
      <c r="B1552" s="66" t="s">
        <v>307</v>
      </c>
      <c r="C1552" s="67"/>
      <c r="D1552" s="102"/>
      <c r="E1552" s="32"/>
      <c r="F1552" s="32"/>
      <c r="G1552" s="68" t="s">
        <v>285</v>
      </c>
      <c r="H1552" s="69">
        <f t="shared" si="638"/>
        <v>0</v>
      </c>
      <c r="I1552" s="70">
        <f t="shared" si="639"/>
        <v>0</v>
      </c>
      <c r="J1552" s="73" t="str">
        <f t="shared" si="640"/>
        <v>--</v>
      </c>
      <c r="K1552" s="32"/>
      <c r="L1552" s="233"/>
      <c r="M1552" s="278"/>
      <c r="N1552" s="278"/>
      <c r="O1552" s="278"/>
      <c r="P1552" s="278"/>
      <c r="Q1552" s="278"/>
      <c r="R1552" s="278"/>
      <c r="S1552" s="278"/>
      <c r="T1552" s="278"/>
      <c r="U1552" s="27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 thickBot="1" x14ac:dyDescent="0.35">
      <c r="A1553" s="88"/>
      <c r="B1553" s="66" t="s">
        <v>308</v>
      </c>
      <c r="C1553" s="67"/>
      <c r="D1553" s="102"/>
      <c r="E1553" s="32"/>
      <c r="F1553" s="32"/>
      <c r="G1553" s="68" t="s">
        <v>285</v>
      </c>
      <c r="H1553" s="69">
        <f t="shared" si="638"/>
        <v>0</v>
      </c>
      <c r="I1553" s="70">
        <f t="shared" si="639"/>
        <v>0</v>
      </c>
      <c r="J1553" s="73" t="str">
        <f t="shared" si="640"/>
        <v>--</v>
      </c>
      <c r="K1553" s="32"/>
      <c r="L1553" s="233"/>
      <c r="M1553" s="278"/>
      <c r="N1553" s="278"/>
      <c r="O1553" s="278"/>
      <c r="P1553" s="278"/>
      <c r="Q1553" s="278"/>
      <c r="R1553" s="278"/>
      <c r="S1553" s="278"/>
      <c r="T1553" s="278"/>
      <c r="U1553" s="27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 thickBot="1" x14ac:dyDescent="0.35">
      <c r="A1554" s="88"/>
      <c r="B1554" s="66" t="s">
        <v>309</v>
      </c>
      <c r="C1554" s="67"/>
      <c r="D1554" s="102"/>
      <c r="E1554" s="32"/>
      <c r="F1554" s="32"/>
      <c r="G1554" s="68" t="s">
        <v>285</v>
      </c>
      <c r="H1554" s="69">
        <f t="shared" si="638"/>
        <v>0</v>
      </c>
      <c r="I1554" s="70">
        <f t="shared" si="639"/>
        <v>0</v>
      </c>
      <c r="J1554" s="73" t="str">
        <f t="shared" si="640"/>
        <v>--</v>
      </c>
      <c r="K1554" s="32"/>
      <c r="L1554" s="233"/>
      <c r="M1554" s="278"/>
      <c r="N1554" s="278"/>
      <c r="O1554" s="278"/>
      <c r="P1554" s="278"/>
      <c r="Q1554" s="278"/>
      <c r="R1554" s="278"/>
      <c r="S1554" s="278"/>
      <c r="T1554" s="278"/>
      <c r="U1554" s="27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 thickBot="1" x14ac:dyDescent="0.35">
      <c r="A1555" s="88"/>
      <c r="B1555" s="66" t="s">
        <v>310</v>
      </c>
      <c r="C1555" s="67"/>
      <c r="D1555" s="102"/>
      <c r="E1555" s="32"/>
      <c r="F1555" s="32"/>
      <c r="G1555" s="68" t="s">
        <v>285</v>
      </c>
      <c r="H1555" s="69">
        <f t="shared" si="638"/>
        <v>0</v>
      </c>
      <c r="I1555" s="70">
        <f t="shared" si="639"/>
        <v>0</v>
      </c>
      <c r="J1555" s="73" t="str">
        <f t="shared" si="640"/>
        <v>--</v>
      </c>
      <c r="K1555" s="32"/>
      <c r="L1555" s="233"/>
      <c r="M1555" s="278"/>
      <c r="N1555" s="278"/>
      <c r="O1555" s="278"/>
      <c r="P1555" s="278"/>
      <c r="Q1555" s="278"/>
      <c r="R1555" s="278"/>
      <c r="S1555" s="278"/>
      <c r="T1555" s="278"/>
      <c r="U1555" s="27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 thickBot="1" x14ac:dyDescent="0.35">
      <c r="A1556" s="88"/>
      <c r="B1556" s="66" t="s">
        <v>311</v>
      </c>
      <c r="C1556" s="67"/>
      <c r="D1556" s="102"/>
      <c r="E1556" s="32"/>
      <c r="F1556" s="32"/>
      <c r="G1556" s="68" t="s">
        <v>285</v>
      </c>
      <c r="H1556" s="69">
        <f t="shared" si="638"/>
        <v>0</v>
      </c>
      <c r="I1556" s="70">
        <f t="shared" si="639"/>
        <v>0</v>
      </c>
      <c r="J1556" s="73" t="str">
        <f t="shared" si="640"/>
        <v>--</v>
      </c>
      <c r="K1556" s="32"/>
      <c r="L1556" s="233"/>
      <c r="M1556" s="278"/>
      <c r="N1556" s="278"/>
      <c r="O1556" s="278"/>
      <c r="P1556" s="278"/>
      <c r="Q1556" s="278"/>
      <c r="R1556" s="278"/>
      <c r="S1556" s="278"/>
      <c r="T1556" s="278"/>
      <c r="U1556" s="27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 thickBot="1" x14ac:dyDescent="0.35">
      <c r="A1557" s="88"/>
      <c r="B1557" s="66" t="s">
        <v>312</v>
      </c>
      <c r="C1557" s="67"/>
      <c r="D1557" s="102"/>
      <c r="E1557" s="32"/>
      <c r="F1557" s="32"/>
      <c r="G1557" s="68" t="s">
        <v>285</v>
      </c>
      <c r="H1557" s="69">
        <f t="shared" si="638"/>
        <v>0</v>
      </c>
      <c r="I1557" s="70">
        <f t="shared" si="639"/>
        <v>0</v>
      </c>
      <c r="J1557" s="73" t="str">
        <f t="shared" si="640"/>
        <v>--</v>
      </c>
      <c r="K1557" s="32"/>
      <c r="L1557" s="233"/>
      <c r="M1557" s="278"/>
      <c r="N1557" s="278"/>
      <c r="O1557" s="278"/>
      <c r="P1557" s="278"/>
      <c r="Q1557" s="278"/>
      <c r="R1557" s="278"/>
      <c r="S1557" s="278"/>
      <c r="T1557" s="278"/>
      <c r="U1557" s="27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 thickBot="1" x14ac:dyDescent="0.35">
      <c r="A1558" s="88"/>
      <c r="B1558" s="66" t="s">
        <v>313</v>
      </c>
      <c r="C1558" s="67"/>
      <c r="D1558" s="102"/>
      <c r="E1558" s="32"/>
      <c r="F1558" s="32"/>
      <c r="G1558" s="68" t="s">
        <v>285</v>
      </c>
      <c r="H1558" s="69">
        <f t="shared" si="638"/>
        <v>0</v>
      </c>
      <c r="I1558" s="70">
        <f t="shared" si="639"/>
        <v>0</v>
      </c>
      <c r="J1558" s="73" t="str">
        <f t="shared" si="640"/>
        <v>--</v>
      </c>
      <c r="K1558" s="32"/>
      <c r="L1558" s="234"/>
      <c r="M1558" s="278"/>
      <c r="N1558" s="278"/>
      <c r="O1558" s="278"/>
      <c r="P1558" s="278"/>
      <c r="Q1558" s="278"/>
      <c r="R1558" s="278"/>
      <c r="S1558" s="278"/>
      <c r="T1558" s="278"/>
      <c r="U1558" s="27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2" thickBot="1" x14ac:dyDescent="0.35">
      <c r="A1559" s="88"/>
      <c r="B1559" s="319" t="s">
        <v>450</v>
      </c>
      <c r="C1559" s="320"/>
      <c r="D1559" s="79"/>
      <c r="E1559" s="80"/>
      <c r="F1559" s="80"/>
      <c r="G1559" s="81"/>
      <c r="H1559" s="192"/>
      <c r="I1559" s="192"/>
      <c r="J1559" s="192"/>
      <c r="K1559" s="82"/>
      <c r="L1559" s="319" t="s">
        <v>319</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2" thickBot="1" x14ac:dyDescent="0.35">
      <c r="A1560" s="88"/>
      <c r="B1560" s="319" t="s">
        <v>320</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3">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 thickBot="1" x14ac:dyDescent="0.35">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5">
      <c r="A1563" s="88"/>
      <c r="B1563" s="85" t="s">
        <v>451</v>
      </c>
      <c r="C1563" s="25"/>
      <c r="D1563" s="25"/>
      <c r="E1563" s="25"/>
      <c r="F1563" s="88"/>
      <c r="G1563" s="25"/>
      <c r="H1563" s="25"/>
      <c r="I1563" s="87"/>
      <c r="J1563" s="26"/>
      <c r="K1563" s="25"/>
      <c r="L1563" s="25"/>
      <c r="M1563" s="196" t="s">
        <v>217</v>
      </c>
      <c r="N1563" s="196" t="s">
        <v>218</v>
      </c>
      <c r="O1563" s="196" t="s">
        <v>219</v>
      </c>
      <c r="P1563" s="196" t="s">
        <v>220</v>
      </c>
      <c r="Q1563" s="196" t="s">
        <v>221</v>
      </c>
      <c r="R1563" s="196" t="s">
        <v>222</v>
      </c>
      <c r="S1563" s="196" t="s">
        <v>223</v>
      </c>
      <c r="T1563" s="196" t="s">
        <v>224</v>
      </c>
      <c r="U1563" s="196" t="s">
        <v>225</v>
      </c>
      <c r="V1563" s="196" t="s">
        <v>226</v>
      </c>
      <c r="W1563" s="113" t="s">
        <v>227</v>
      </c>
      <c r="X1563" s="196" t="s">
        <v>228</v>
      </c>
      <c r="Y1563" s="25"/>
      <c r="Z1563" s="25"/>
      <c r="AA1563" s="25"/>
      <c r="AB1563" s="25"/>
      <c r="AC1563" s="25"/>
      <c r="AD1563" s="25"/>
      <c r="BA1563" s="226"/>
    </row>
    <row r="1564" spans="1:53" ht="15.6" thickTop="1" thickBot="1" x14ac:dyDescent="0.35">
      <c r="A1564" s="88"/>
      <c r="B1564" s="312" t="s">
        <v>229</v>
      </c>
      <c r="C1564" s="313"/>
      <c r="D1564" s="314" t="s">
        <v>230</v>
      </c>
      <c r="E1564" s="305"/>
      <c r="F1564" s="88"/>
      <c r="G1564" s="315" t="s">
        <v>231</v>
      </c>
      <c r="H1564" s="316"/>
      <c r="I1564" s="28">
        <f>SUM(E1575:E1599)</f>
        <v>0</v>
      </c>
      <c r="J1564" s="317" t="s">
        <v>232</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233</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234</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5">
      <c r="A1565" s="88"/>
      <c r="B1565" s="29" t="s">
        <v>235</v>
      </c>
      <c r="C1565" s="30">
        <v>0</v>
      </c>
      <c r="D1565" s="31" t="s">
        <v>236</v>
      </c>
      <c r="E1565" s="66" t="str">
        <f>TEXT(IF('Cable Calculator'!GL7="","",'Cable Calculator'!GL7),)</f>
        <v/>
      </c>
      <c r="F1565" s="88"/>
      <c r="G1565" s="304" t="s">
        <v>237</v>
      </c>
      <c r="H1565" s="305"/>
      <c r="I1565" s="33">
        <f>E1566-I1564</f>
        <v>0</v>
      </c>
      <c r="J1565" s="289" t="s">
        <v>238</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239</v>
      </c>
      <c r="AA1565" s="300" t="s">
        <v>240</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241</v>
      </c>
      <c r="AU1565" s="109">
        <f>COUNTIFS($E1565,"SS",$AS1565,"Y")</f>
        <v>0</v>
      </c>
      <c r="AV1565" s="111">
        <f>COUNTIFS($E1565,"RPX",$AS1565,"Y")</f>
        <v>0</v>
      </c>
      <c r="AW1565" s="111">
        <f>COUNTIFS($E1565,"EUC",$AS1565,"Y")</f>
        <v>0</v>
      </c>
      <c r="AX1565" s="109">
        <f>COUNTIFS($E1565,"RPX-T",$AS1565,"Y")</f>
        <v>0</v>
      </c>
      <c r="BA1565" s="227"/>
    </row>
    <row r="1566" spans="1:53" ht="15.6" thickTop="1" thickBot="1" x14ac:dyDescent="0.35">
      <c r="A1566" s="88"/>
      <c r="B1566" s="36" t="s">
        <v>242</v>
      </c>
      <c r="C1566" s="37">
        <v>0</v>
      </c>
      <c r="D1566" s="38" t="s">
        <v>243</v>
      </c>
      <c r="E1566" s="32"/>
      <c r="F1566" s="88"/>
      <c r="G1566" s="291" t="s">
        <v>244</v>
      </c>
      <c r="H1566" s="292"/>
      <c r="I1566" s="35">
        <f>IF(E1566=0,0,12-(MOD(I1564,12)))</f>
        <v>0</v>
      </c>
      <c r="J1566" s="289" t="s">
        <v>245</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246</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5">
      <c r="A1567" s="88"/>
      <c r="B1567" s="40" t="s">
        <v>247</v>
      </c>
      <c r="C1567" s="30">
        <v>0</v>
      </c>
      <c r="D1567" s="41" t="s">
        <v>248</v>
      </c>
      <c r="E1567" s="42"/>
      <c r="F1567" s="88"/>
      <c r="G1567" s="321" t="s">
        <v>249</v>
      </c>
      <c r="H1567" s="43" t="s">
        <v>250</v>
      </c>
      <c r="I1567" s="35">
        <f>IF(E1567&lt;&gt;0,1,0)</f>
        <v>0</v>
      </c>
      <c r="J1567" s="291" t="s">
        <v>251</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252</v>
      </c>
      <c r="AU1567" s="109">
        <f>COUNTIFS($E1565,"SS",$AS1567,"Y")</f>
        <v>0</v>
      </c>
      <c r="AV1567" s="108">
        <f>COUNTIFS($E1565,"RPX",$AS1567,"Y")</f>
        <v>0</v>
      </c>
      <c r="AW1567" s="108">
        <f>COUNTIFS($E1565,"EUC",$AS1567,"Y")</f>
        <v>0</v>
      </c>
      <c r="AX1567" s="109">
        <f>COUNTIFS($E1565,"RPX-T",$AS1567,"Y")</f>
        <v>0</v>
      </c>
      <c r="BA1567" s="227"/>
    </row>
    <row r="1568" spans="1:53" ht="15.6" thickTop="1" thickBot="1" x14ac:dyDescent="0.35">
      <c r="A1568" s="88"/>
      <c r="B1568" s="29" t="s">
        <v>253</v>
      </c>
      <c r="C1568" s="37">
        <v>0</v>
      </c>
      <c r="D1568" s="41" t="s">
        <v>254</v>
      </c>
      <c r="E1568" s="42"/>
      <c r="F1568" s="88"/>
      <c r="G1568" s="322"/>
      <c r="H1568" s="47" t="s">
        <v>255</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5">
      <c r="A1569" s="88"/>
      <c r="B1569" s="36" t="s">
        <v>256</v>
      </c>
      <c r="C1569" s="30">
        <v>0</v>
      </c>
      <c r="D1569" s="49" t="s">
        <v>257</v>
      </c>
      <c r="E1569" s="50">
        <f>E1566/12</f>
        <v>0</v>
      </c>
      <c r="F1569" s="88"/>
      <c r="G1569" s="321" t="s">
        <v>258</v>
      </c>
      <c r="H1569" s="51" t="s">
        <v>259</v>
      </c>
      <c r="I1569" s="112">
        <f>E1568</f>
        <v>0</v>
      </c>
      <c r="J1569" s="323" t="s">
        <v>260</v>
      </c>
      <c r="K1569" s="324"/>
      <c r="L1569" s="325"/>
      <c r="M1569" s="52" t="s">
        <v>261</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5.6" thickTop="1" thickBot="1" x14ac:dyDescent="0.35">
      <c r="A1570" s="88"/>
      <c r="B1570" s="36" t="s">
        <v>262</v>
      </c>
      <c r="C1570" s="30">
        <v>0</v>
      </c>
      <c r="D1570" s="31" t="s">
        <v>263</v>
      </c>
      <c r="E1570" s="101" t="str">
        <f>IF('Cable Calculator'!GL5="","",'Cable Calculator'!GL5)</f>
        <v/>
      </c>
      <c r="F1570" s="88"/>
      <c r="G1570" s="322"/>
      <c r="H1570" s="47" t="s">
        <v>264</v>
      </c>
      <c r="I1570" s="35" t="str">
        <f>IF(E1568="","0",IF(AND(E1565="EUC",E1566=432), I1569+(203-E1567),IF(E1568=0,0,(E1568+(E1566-E1567)-1))))</f>
        <v>0</v>
      </c>
      <c r="J1570" s="286" t="str">
        <f>IFERROR(IF(OR(E1565="EUC",E1565="SS"),"---",IF(OR(P1564,S1564),"NO 2F Tethers for RPX!",IF(OR(P1566,S1566),"NO 6F Tethers for RPX!","---"))),"---")</f>
        <v>---</v>
      </c>
      <c r="K1570" s="287"/>
      <c r="L1570" s="288"/>
      <c r="M1570" s="286" t="str">
        <f>IF(E1567&gt;60,"Dead Count &gt;60: Consider Downsize","---")</f>
        <v>---</v>
      </c>
      <c r="N1570" s="287"/>
      <c r="O1570" s="287"/>
      <c r="P1570" s="287"/>
      <c r="Q1570" s="287"/>
      <c r="R1570" s="287"/>
      <c r="S1570" s="287"/>
      <c r="T1570" s="287"/>
      <c r="U1570" s="288"/>
      <c r="V1570" s="100"/>
      <c r="W1570" s="54">
        <f>SUM(P1570:U1570)</f>
        <v>0</v>
      </c>
      <c r="X1570" s="54"/>
      <c r="Y1570" s="25"/>
      <c r="Z1570" s="45">
        <v>4</v>
      </c>
      <c r="AA1570" s="46">
        <v>37</v>
      </c>
      <c r="AB1570" s="46">
        <v>48</v>
      </c>
      <c r="AC1570" s="25"/>
      <c r="AD1570" s="25"/>
      <c r="BA1570" s="227"/>
    </row>
    <row r="1571" spans="1:53" ht="15.6" thickTop="1" thickBot="1" x14ac:dyDescent="0.35">
      <c r="A1571" s="88"/>
      <c r="B1571" s="55" t="s">
        <v>265</v>
      </c>
      <c r="C1571" s="56">
        <f>SUM(C1565:C1570)+I1564</f>
        <v>0</v>
      </c>
      <c r="D1571" s="31" t="s">
        <v>266</v>
      </c>
      <c r="E1571" s="101" t="str">
        <f>IF(AS1565="Y","DBL",IF(AS1566="Y","TRPL",IF(AS1567="Y","QUAD","")))</f>
        <v/>
      </c>
      <c r="F1571" s="88"/>
      <c r="G1571" s="192"/>
      <c r="H1571" s="57"/>
      <c r="I1571" s="192"/>
      <c r="J1571" s="286"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7"/>
      <c r="L1571" s="288"/>
      <c r="M1571" s="286" t="str">
        <f>IF(AND(OR(E1565="SS",E1565="RPX",E1565="EUC",E1565="RPX-T"),(OR(C1575="",C1575="Field SPL"))),"Cannot have FlexNap cables without tethers","---")</f>
        <v>---</v>
      </c>
      <c r="N1571" s="287"/>
      <c r="O1571" s="287"/>
      <c r="P1571" s="287"/>
      <c r="Q1571" s="287"/>
      <c r="R1571" s="287"/>
      <c r="S1571" s="287"/>
      <c r="T1571" s="287"/>
      <c r="U1571" s="288"/>
      <c r="V1571" s="25"/>
      <c r="W1571" s="58"/>
      <c r="X1571" s="58"/>
      <c r="Y1571" s="25"/>
      <c r="Z1571" s="45">
        <v>5</v>
      </c>
      <c r="AA1571" s="46">
        <v>49</v>
      </c>
      <c r="AB1571" s="46">
        <v>60</v>
      </c>
      <c r="AC1571" s="25"/>
      <c r="AD1571" s="25"/>
      <c r="BA1571" s="227"/>
    </row>
    <row r="1572" spans="1:53" ht="15.6" thickTop="1" thickBot="1" x14ac:dyDescent="0.35">
      <c r="A1572" s="88"/>
      <c r="B1572" s="59"/>
      <c r="C1572" s="60"/>
      <c r="D1572" s="61"/>
      <c r="E1572" s="62"/>
      <c r="F1572" s="88"/>
      <c r="G1572" s="63"/>
      <c r="H1572" s="64"/>
      <c r="I1572" s="63"/>
      <c r="J1572" s="286" t="str">
        <f>IF(AND(OR(E1565="RPX", E1565="RPX-T", E1565="SS"),E1566=216),"NO 216 For RPX, RPX-T, OR SS CABLE","---")</f>
        <v>---</v>
      </c>
      <c r="K1572" s="287"/>
      <c r="L1572" s="288"/>
      <c r="M1572" s="286" t="str" cm="1">
        <f t="array" ref="M1572">IF(AND(E1565="",OR(C1575:C1599="FST",C1575:C1599="REV T",C1575:C1599="DBL REV",C1575:C1599="TPL REV", C1575:C1599="QD REV")),"Non-FlexNap cables cannot have tethers","---")</f>
        <v>---</v>
      </c>
      <c r="N1572" s="287"/>
      <c r="O1572" s="287"/>
      <c r="P1572" s="287"/>
      <c r="Q1572" s="287"/>
      <c r="R1572" s="287"/>
      <c r="S1572" s="287"/>
      <c r="T1572" s="287"/>
      <c r="U1572" s="288"/>
      <c r="V1572" s="25"/>
      <c r="W1572" s="58"/>
      <c r="X1572" s="58"/>
      <c r="Y1572" s="25"/>
      <c r="Z1572" s="45">
        <v>6</v>
      </c>
      <c r="AA1572" s="65">
        <v>61</v>
      </c>
      <c r="AB1572" s="65">
        <v>72</v>
      </c>
      <c r="AC1572" s="25"/>
      <c r="AD1572" s="25"/>
      <c r="BA1572" s="226"/>
    </row>
    <row r="1573" spans="1:53" ht="15.75" customHeight="1" thickBot="1" x14ac:dyDescent="0.35">
      <c r="A1573" s="88"/>
      <c r="B1573" s="321" t="s">
        <v>267</v>
      </c>
      <c r="C1573" s="293" t="s">
        <v>268</v>
      </c>
      <c r="D1573" s="293" t="s">
        <v>269</v>
      </c>
      <c r="E1573" s="306" t="s">
        <v>270</v>
      </c>
      <c r="F1573" s="293" t="s">
        <v>271</v>
      </c>
      <c r="G1573" s="308" t="s">
        <v>272</v>
      </c>
      <c r="H1573" s="308" t="s">
        <v>273</v>
      </c>
      <c r="I1573" s="308" t="s">
        <v>274</v>
      </c>
      <c r="J1573" s="310" t="s">
        <v>275</v>
      </c>
      <c r="K1573" s="293" t="s">
        <v>276</v>
      </c>
      <c r="L1573" s="280" t="s">
        <v>277</v>
      </c>
      <c r="M1573" s="282" t="s">
        <v>278</v>
      </c>
      <c r="N1573" s="282"/>
      <c r="O1573" s="282"/>
      <c r="P1573" s="282"/>
      <c r="Q1573" s="282"/>
      <c r="R1573" s="282"/>
      <c r="S1573" s="282"/>
      <c r="T1573" s="282"/>
      <c r="U1573" s="283"/>
      <c r="V1573" s="107"/>
      <c r="W1573" s="72"/>
      <c r="X1573" s="72"/>
      <c r="Y1573" s="72"/>
      <c r="Z1573" s="45">
        <v>7</v>
      </c>
      <c r="AA1573" s="65">
        <v>73</v>
      </c>
      <c r="AB1573" s="65">
        <v>84</v>
      </c>
      <c r="AC1573" s="25"/>
      <c r="AD1573" s="25"/>
      <c r="BA1573" s="228"/>
    </row>
    <row r="1574" spans="1:53" ht="15" thickBot="1" x14ac:dyDescent="0.35">
      <c r="A1574" s="88"/>
      <c r="B1574" s="322"/>
      <c r="C1574" s="294"/>
      <c r="D1574" s="294"/>
      <c r="E1574" s="307"/>
      <c r="F1574" s="294"/>
      <c r="G1574" s="309"/>
      <c r="H1574" s="309"/>
      <c r="I1574" s="309"/>
      <c r="J1574" s="311"/>
      <c r="K1574" s="294"/>
      <c r="L1574" s="281"/>
      <c r="M1574" s="284"/>
      <c r="N1574" s="284"/>
      <c r="O1574" s="284"/>
      <c r="P1574" s="284"/>
      <c r="Q1574" s="284"/>
      <c r="R1574" s="284"/>
      <c r="S1574" s="284"/>
      <c r="T1574" s="284"/>
      <c r="U1574" s="285"/>
      <c r="V1574" s="107"/>
      <c r="W1574" s="72"/>
      <c r="X1574" s="72"/>
      <c r="Y1574" s="72"/>
      <c r="Z1574" s="45">
        <v>8</v>
      </c>
      <c r="AA1574" s="46">
        <v>85</v>
      </c>
      <c r="AB1574" s="46">
        <v>96</v>
      </c>
      <c r="AC1574" s="25"/>
      <c r="AD1574" s="25"/>
      <c r="AI1574" s="109" t="s">
        <v>279</v>
      </c>
      <c r="AJ1574" s="109" t="s">
        <v>280</v>
      </c>
      <c r="AK1574" s="109" t="s">
        <v>281</v>
      </c>
      <c r="AL1574" s="109" t="s">
        <v>282</v>
      </c>
      <c r="BA1574" s="228"/>
    </row>
    <row r="1575" spans="1:53" ht="15" thickBot="1" x14ac:dyDescent="0.35">
      <c r="A1575" s="88"/>
      <c r="B1575" s="66" t="s">
        <v>283</v>
      </c>
      <c r="C1575" s="67"/>
      <c r="D1575" s="102"/>
      <c r="E1575" s="32"/>
      <c r="F1575" s="32"/>
      <c r="G1575" s="68" t="s">
        <v>285</v>
      </c>
      <c r="H1575" s="69">
        <f>IF(I1575=0,0,I1575-(E1575-1))</f>
        <v>0</v>
      </c>
      <c r="I1575" s="70">
        <f>IF(E1575=0,0,I1570)</f>
        <v>0</v>
      </c>
      <c r="J1575" s="71" t="s">
        <v>286</v>
      </c>
      <c r="K1575" s="32"/>
      <c r="L1575" s="233"/>
      <c r="M1575" s="278"/>
      <c r="N1575" s="278"/>
      <c r="O1575" s="278"/>
      <c r="P1575" s="278"/>
      <c r="Q1575" s="278"/>
      <c r="R1575" s="278"/>
      <c r="S1575" s="278"/>
      <c r="T1575" s="278"/>
      <c r="U1575" s="27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 thickBot="1" x14ac:dyDescent="0.35">
      <c r="A1576" s="88"/>
      <c r="B1576" s="66" t="s">
        <v>288</v>
      </c>
      <c r="C1576" s="67"/>
      <c r="D1576" s="102"/>
      <c r="E1576" s="32"/>
      <c r="F1576" s="32"/>
      <c r="G1576" s="68" t="s">
        <v>285</v>
      </c>
      <c r="H1576" s="69">
        <f t="shared" ref="H1576:H1599" si="655">IF(E1576=0,0,I1576-(E1576-1))</f>
        <v>0</v>
      </c>
      <c r="I1576" s="70">
        <f t="shared" ref="I1576:I1599" si="656">IF(E1576=0,0,H1575-1)</f>
        <v>0</v>
      </c>
      <c r="J1576" s="73" t="str">
        <f>IF(C1576="","--",IF(AND(C1576&lt;&gt;"FST",C1576&lt;&gt;"TCF",BA1575&lt;&gt;0),BA1575,"--"))</f>
        <v>--</v>
      </c>
      <c r="K1576" s="32"/>
      <c r="L1576" s="233"/>
      <c r="M1576" s="278"/>
      <c r="N1576" s="278"/>
      <c r="O1576" s="278"/>
      <c r="P1576" s="278"/>
      <c r="Q1576" s="278"/>
      <c r="R1576" s="278"/>
      <c r="S1576" s="278"/>
      <c r="T1576" s="278"/>
      <c r="U1576" s="27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 thickBot="1" x14ac:dyDescent="0.35">
      <c r="A1577" s="88"/>
      <c r="B1577" s="74" t="s">
        <v>290</v>
      </c>
      <c r="C1577" s="67"/>
      <c r="D1577" s="102"/>
      <c r="E1577" s="32"/>
      <c r="F1577" s="32"/>
      <c r="G1577" s="75" t="s">
        <v>285</v>
      </c>
      <c r="H1577" s="69">
        <f t="shared" si="655"/>
        <v>0</v>
      </c>
      <c r="I1577" s="70">
        <f t="shared" si="656"/>
        <v>0</v>
      </c>
      <c r="J1577" s="73" t="str">
        <f t="shared" ref="J1577:J1599" si="657">IF(C1577="","--",IF(AND(C1577&lt;&gt;"FST",C1577&lt;&gt;"TCF",BA1576&lt;&gt;0),BA1576,"--"))</f>
        <v>--</v>
      </c>
      <c r="K1577" s="32"/>
      <c r="L1577" s="233"/>
      <c r="M1577" s="278"/>
      <c r="N1577" s="278"/>
      <c r="O1577" s="278"/>
      <c r="P1577" s="278"/>
      <c r="Q1577" s="278"/>
      <c r="R1577" s="278"/>
      <c r="S1577" s="278"/>
      <c r="T1577" s="278"/>
      <c r="U1577" s="27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 thickBot="1" x14ac:dyDescent="0.35">
      <c r="A1578" s="88"/>
      <c r="B1578" s="66" t="s">
        <v>292</v>
      </c>
      <c r="C1578" s="67"/>
      <c r="D1578" s="102"/>
      <c r="E1578" s="32"/>
      <c r="F1578" s="32"/>
      <c r="G1578" s="68" t="s">
        <v>285</v>
      </c>
      <c r="H1578" s="69">
        <f t="shared" si="655"/>
        <v>0</v>
      </c>
      <c r="I1578" s="70">
        <f t="shared" si="656"/>
        <v>0</v>
      </c>
      <c r="J1578" s="73" t="str">
        <f t="shared" si="657"/>
        <v>--</v>
      </c>
      <c r="K1578" s="32"/>
      <c r="L1578" s="233"/>
      <c r="M1578" s="278"/>
      <c r="N1578" s="278"/>
      <c r="O1578" s="278"/>
      <c r="P1578" s="278"/>
      <c r="Q1578" s="278"/>
      <c r="R1578" s="278"/>
      <c r="S1578" s="278"/>
      <c r="T1578" s="278"/>
      <c r="U1578" s="27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 thickBot="1" x14ac:dyDescent="0.35">
      <c r="A1579" s="88"/>
      <c r="B1579" s="66" t="s">
        <v>293</v>
      </c>
      <c r="C1579" s="67"/>
      <c r="D1579" s="102"/>
      <c r="E1579" s="32"/>
      <c r="F1579" s="32"/>
      <c r="G1579" s="68" t="s">
        <v>285</v>
      </c>
      <c r="H1579" s="69">
        <f t="shared" si="655"/>
        <v>0</v>
      </c>
      <c r="I1579" s="70">
        <f t="shared" si="656"/>
        <v>0</v>
      </c>
      <c r="J1579" s="73" t="str">
        <f t="shared" si="657"/>
        <v>--</v>
      </c>
      <c r="K1579" s="32"/>
      <c r="L1579" s="233"/>
      <c r="M1579" s="278"/>
      <c r="N1579" s="278"/>
      <c r="O1579" s="278"/>
      <c r="P1579" s="278"/>
      <c r="Q1579" s="278"/>
      <c r="R1579" s="278"/>
      <c r="S1579" s="278"/>
      <c r="T1579" s="278"/>
      <c r="U1579" s="27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 thickBot="1" x14ac:dyDescent="0.35">
      <c r="A1580" s="88"/>
      <c r="B1580" s="66" t="s">
        <v>294</v>
      </c>
      <c r="C1580" s="67"/>
      <c r="D1580" s="102"/>
      <c r="E1580" s="32"/>
      <c r="F1580" s="32"/>
      <c r="G1580" s="68" t="s">
        <v>285</v>
      </c>
      <c r="H1580" s="69">
        <f t="shared" si="655"/>
        <v>0</v>
      </c>
      <c r="I1580" s="70">
        <f t="shared" si="656"/>
        <v>0</v>
      </c>
      <c r="J1580" s="73" t="str">
        <f t="shared" si="657"/>
        <v>--</v>
      </c>
      <c r="K1580" s="32"/>
      <c r="L1580" s="233"/>
      <c r="M1580" s="278"/>
      <c r="N1580" s="278"/>
      <c r="O1580" s="278"/>
      <c r="P1580" s="278"/>
      <c r="Q1580" s="278"/>
      <c r="R1580" s="278"/>
      <c r="S1580" s="278"/>
      <c r="T1580" s="278"/>
      <c r="U1580" s="27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 thickBot="1" x14ac:dyDescent="0.35">
      <c r="A1581" s="88"/>
      <c r="B1581" s="66" t="s">
        <v>295</v>
      </c>
      <c r="C1581" s="67"/>
      <c r="D1581" s="102"/>
      <c r="E1581" s="32"/>
      <c r="F1581" s="32"/>
      <c r="G1581" s="68" t="s">
        <v>285</v>
      </c>
      <c r="H1581" s="69">
        <f t="shared" si="655"/>
        <v>0</v>
      </c>
      <c r="I1581" s="70">
        <f t="shared" si="656"/>
        <v>0</v>
      </c>
      <c r="J1581" s="73" t="str">
        <f t="shared" si="657"/>
        <v>--</v>
      </c>
      <c r="K1581" s="32"/>
      <c r="L1581" s="233"/>
      <c r="M1581" s="278"/>
      <c r="N1581" s="278"/>
      <c r="O1581" s="278"/>
      <c r="P1581" s="278"/>
      <c r="Q1581" s="278"/>
      <c r="R1581" s="278"/>
      <c r="S1581" s="278"/>
      <c r="T1581" s="278"/>
      <c r="U1581" s="27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 thickBot="1" x14ac:dyDescent="0.35">
      <c r="A1582" s="88"/>
      <c r="B1582" s="66" t="s">
        <v>296</v>
      </c>
      <c r="C1582" s="67"/>
      <c r="D1582" s="102"/>
      <c r="E1582" s="32"/>
      <c r="F1582" s="32"/>
      <c r="G1582" s="68" t="s">
        <v>285</v>
      </c>
      <c r="H1582" s="69">
        <f t="shared" si="655"/>
        <v>0</v>
      </c>
      <c r="I1582" s="70">
        <f t="shared" si="656"/>
        <v>0</v>
      </c>
      <c r="J1582" s="73" t="str">
        <f t="shared" si="657"/>
        <v>--</v>
      </c>
      <c r="K1582" s="32"/>
      <c r="L1582" s="233"/>
      <c r="M1582" s="278"/>
      <c r="N1582" s="278"/>
      <c r="O1582" s="278"/>
      <c r="P1582" s="278"/>
      <c r="Q1582" s="278"/>
      <c r="R1582" s="278"/>
      <c r="S1582" s="278"/>
      <c r="T1582" s="278"/>
      <c r="U1582" s="27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 thickBot="1" x14ac:dyDescent="0.35">
      <c r="A1583" s="88"/>
      <c r="B1583" s="66" t="s">
        <v>297</v>
      </c>
      <c r="C1583" s="67"/>
      <c r="D1583" s="102"/>
      <c r="E1583" s="32"/>
      <c r="F1583" s="32"/>
      <c r="G1583" s="68" t="s">
        <v>285</v>
      </c>
      <c r="H1583" s="69">
        <f t="shared" si="655"/>
        <v>0</v>
      </c>
      <c r="I1583" s="70">
        <f t="shared" si="656"/>
        <v>0</v>
      </c>
      <c r="J1583" s="73" t="str">
        <f t="shared" si="657"/>
        <v>--</v>
      </c>
      <c r="K1583" s="32"/>
      <c r="L1583" s="233"/>
      <c r="M1583" s="278"/>
      <c r="N1583" s="278"/>
      <c r="O1583" s="278"/>
      <c r="P1583" s="278"/>
      <c r="Q1583" s="278"/>
      <c r="R1583" s="278"/>
      <c r="S1583" s="278"/>
      <c r="T1583" s="278"/>
      <c r="U1583" s="27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 thickBot="1" x14ac:dyDescent="0.35">
      <c r="A1584" s="88"/>
      <c r="B1584" s="66" t="s">
        <v>298</v>
      </c>
      <c r="C1584" s="67"/>
      <c r="D1584" s="102"/>
      <c r="E1584" s="32"/>
      <c r="F1584" s="32"/>
      <c r="G1584" s="68" t="s">
        <v>285</v>
      </c>
      <c r="H1584" s="69">
        <f t="shared" si="655"/>
        <v>0</v>
      </c>
      <c r="I1584" s="70">
        <f t="shared" si="656"/>
        <v>0</v>
      </c>
      <c r="J1584" s="73" t="str">
        <f t="shared" si="657"/>
        <v>--</v>
      </c>
      <c r="K1584" s="32"/>
      <c r="L1584" s="233"/>
      <c r="M1584" s="278"/>
      <c r="N1584" s="278"/>
      <c r="O1584" s="278"/>
      <c r="P1584" s="278"/>
      <c r="Q1584" s="278"/>
      <c r="R1584" s="278"/>
      <c r="S1584" s="278"/>
      <c r="T1584" s="278"/>
      <c r="U1584" s="27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 thickBot="1" x14ac:dyDescent="0.35">
      <c r="A1585" s="88"/>
      <c r="B1585" s="66" t="s">
        <v>299</v>
      </c>
      <c r="C1585" s="67"/>
      <c r="D1585" s="102"/>
      <c r="E1585" s="32"/>
      <c r="F1585" s="32"/>
      <c r="G1585" s="68" t="s">
        <v>285</v>
      </c>
      <c r="H1585" s="69">
        <f t="shared" si="655"/>
        <v>0</v>
      </c>
      <c r="I1585" s="70">
        <f t="shared" si="656"/>
        <v>0</v>
      </c>
      <c r="J1585" s="73" t="str">
        <f t="shared" si="657"/>
        <v>--</v>
      </c>
      <c r="K1585" s="32"/>
      <c r="L1585" s="233"/>
      <c r="M1585" s="278"/>
      <c r="N1585" s="278"/>
      <c r="O1585" s="278"/>
      <c r="P1585" s="278"/>
      <c r="Q1585" s="278"/>
      <c r="R1585" s="278"/>
      <c r="S1585" s="278"/>
      <c r="T1585" s="278"/>
      <c r="U1585" s="27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 thickBot="1" x14ac:dyDescent="0.35">
      <c r="A1586" s="88"/>
      <c r="B1586" s="66" t="s">
        <v>300</v>
      </c>
      <c r="C1586" s="67"/>
      <c r="D1586" s="102"/>
      <c r="E1586" s="32"/>
      <c r="F1586" s="32"/>
      <c r="G1586" s="68" t="s">
        <v>285</v>
      </c>
      <c r="H1586" s="69">
        <f t="shared" si="655"/>
        <v>0</v>
      </c>
      <c r="I1586" s="70">
        <f t="shared" si="656"/>
        <v>0</v>
      </c>
      <c r="J1586" s="73" t="str">
        <f t="shared" si="657"/>
        <v>--</v>
      </c>
      <c r="K1586" s="32"/>
      <c r="L1586" s="233"/>
      <c r="M1586" s="278"/>
      <c r="N1586" s="278"/>
      <c r="O1586" s="278"/>
      <c r="P1586" s="278"/>
      <c r="Q1586" s="278"/>
      <c r="R1586" s="278"/>
      <c r="S1586" s="278"/>
      <c r="T1586" s="278"/>
      <c r="U1586" s="27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 thickBot="1" x14ac:dyDescent="0.35">
      <c r="A1587" s="88"/>
      <c r="B1587" s="66" t="s">
        <v>301</v>
      </c>
      <c r="C1587" s="67"/>
      <c r="D1587" s="102"/>
      <c r="E1587" s="32"/>
      <c r="F1587" s="32"/>
      <c r="G1587" s="68" t="s">
        <v>285</v>
      </c>
      <c r="H1587" s="69">
        <f t="shared" si="655"/>
        <v>0</v>
      </c>
      <c r="I1587" s="70">
        <f t="shared" si="656"/>
        <v>0</v>
      </c>
      <c r="J1587" s="73" t="str">
        <f t="shared" si="657"/>
        <v>--</v>
      </c>
      <c r="K1587" s="32"/>
      <c r="L1587" s="233"/>
      <c r="M1587" s="278"/>
      <c r="N1587" s="278"/>
      <c r="O1587" s="278"/>
      <c r="P1587" s="278"/>
      <c r="Q1587" s="278"/>
      <c r="R1587" s="278"/>
      <c r="S1587" s="278"/>
      <c r="T1587" s="278"/>
      <c r="U1587" s="27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 thickBot="1" x14ac:dyDescent="0.35">
      <c r="A1588" s="88"/>
      <c r="B1588" s="66" t="s">
        <v>302</v>
      </c>
      <c r="C1588" s="67"/>
      <c r="D1588" s="102"/>
      <c r="E1588" s="32"/>
      <c r="F1588" s="32"/>
      <c r="G1588" s="68" t="s">
        <v>285</v>
      </c>
      <c r="H1588" s="69">
        <f t="shared" si="655"/>
        <v>0</v>
      </c>
      <c r="I1588" s="70">
        <f t="shared" si="656"/>
        <v>0</v>
      </c>
      <c r="J1588" s="73" t="str">
        <f t="shared" si="657"/>
        <v>--</v>
      </c>
      <c r="K1588" s="32"/>
      <c r="L1588" s="233"/>
      <c r="M1588" s="278"/>
      <c r="N1588" s="278"/>
      <c r="O1588" s="278"/>
      <c r="P1588" s="278"/>
      <c r="Q1588" s="278"/>
      <c r="R1588" s="278"/>
      <c r="S1588" s="278"/>
      <c r="T1588" s="278"/>
      <c r="U1588" s="27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 thickBot="1" x14ac:dyDescent="0.35">
      <c r="A1589" s="88"/>
      <c r="B1589" s="66" t="s">
        <v>303</v>
      </c>
      <c r="C1589" s="67"/>
      <c r="D1589" s="102"/>
      <c r="E1589" s="32"/>
      <c r="F1589" s="32"/>
      <c r="G1589" s="68" t="s">
        <v>285</v>
      </c>
      <c r="H1589" s="69">
        <f t="shared" si="655"/>
        <v>0</v>
      </c>
      <c r="I1589" s="70">
        <f t="shared" si="656"/>
        <v>0</v>
      </c>
      <c r="J1589" s="73" t="str">
        <f t="shared" si="657"/>
        <v>--</v>
      </c>
      <c r="K1589" s="32"/>
      <c r="L1589" s="233"/>
      <c r="M1589" s="278"/>
      <c r="N1589" s="278"/>
      <c r="O1589" s="278"/>
      <c r="P1589" s="278"/>
      <c r="Q1589" s="278"/>
      <c r="R1589" s="278"/>
      <c r="S1589" s="278"/>
      <c r="T1589" s="278"/>
      <c r="U1589" s="27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 thickBot="1" x14ac:dyDescent="0.35">
      <c r="A1590" s="88"/>
      <c r="B1590" s="66" t="s">
        <v>304</v>
      </c>
      <c r="C1590" s="67"/>
      <c r="D1590" s="102"/>
      <c r="E1590" s="32"/>
      <c r="F1590" s="32"/>
      <c r="G1590" s="68" t="s">
        <v>285</v>
      </c>
      <c r="H1590" s="69">
        <f t="shared" si="655"/>
        <v>0</v>
      </c>
      <c r="I1590" s="70">
        <f t="shared" si="656"/>
        <v>0</v>
      </c>
      <c r="J1590" s="73" t="str">
        <f t="shared" si="657"/>
        <v>--</v>
      </c>
      <c r="K1590" s="32"/>
      <c r="L1590" s="233"/>
      <c r="M1590" s="278"/>
      <c r="N1590" s="278"/>
      <c r="O1590" s="278"/>
      <c r="P1590" s="278"/>
      <c r="Q1590" s="278"/>
      <c r="R1590" s="278"/>
      <c r="S1590" s="278"/>
      <c r="T1590" s="278"/>
      <c r="U1590" s="27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 thickBot="1" x14ac:dyDescent="0.35">
      <c r="A1591" s="88"/>
      <c r="B1591" s="66" t="s">
        <v>305</v>
      </c>
      <c r="C1591" s="67"/>
      <c r="D1591" s="102"/>
      <c r="E1591" s="32"/>
      <c r="F1591" s="32"/>
      <c r="G1591" s="68" t="s">
        <v>285</v>
      </c>
      <c r="H1591" s="69">
        <f t="shared" si="655"/>
        <v>0</v>
      </c>
      <c r="I1591" s="70">
        <f t="shared" si="656"/>
        <v>0</v>
      </c>
      <c r="J1591" s="73" t="str">
        <f t="shared" si="657"/>
        <v>--</v>
      </c>
      <c r="K1591" s="32"/>
      <c r="L1591" s="233"/>
      <c r="M1591" s="278"/>
      <c r="N1591" s="278"/>
      <c r="O1591" s="278"/>
      <c r="P1591" s="278"/>
      <c r="Q1591" s="278"/>
      <c r="R1591" s="278"/>
      <c r="S1591" s="278"/>
      <c r="T1591" s="278"/>
      <c r="U1591" s="27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 thickBot="1" x14ac:dyDescent="0.35">
      <c r="A1592" s="88"/>
      <c r="B1592" s="66" t="s">
        <v>306</v>
      </c>
      <c r="C1592" s="67"/>
      <c r="D1592" s="102"/>
      <c r="E1592" s="32"/>
      <c r="F1592" s="32"/>
      <c r="G1592" s="68" t="s">
        <v>285</v>
      </c>
      <c r="H1592" s="69">
        <f t="shared" si="655"/>
        <v>0</v>
      </c>
      <c r="I1592" s="70">
        <f t="shared" si="656"/>
        <v>0</v>
      </c>
      <c r="J1592" s="73" t="str">
        <f t="shared" si="657"/>
        <v>--</v>
      </c>
      <c r="K1592" s="32"/>
      <c r="L1592" s="233"/>
      <c r="M1592" s="278"/>
      <c r="N1592" s="278"/>
      <c r="O1592" s="278"/>
      <c r="P1592" s="278"/>
      <c r="Q1592" s="278"/>
      <c r="R1592" s="278"/>
      <c r="S1592" s="278"/>
      <c r="T1592" s="278"/>
      <c r="U1592" s="27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 thickBot="1" x14ac:dyDescent="0.35">
      <c r="A1593" s="88"/>
      <c r="B1593" s="66" t="s">
        <v>307</v>
      </c>
      <c r="C1593" s="67"/>
      <c r="D1593" s="102"/>
      <c r="E1593" s="32"/>
      <c r="F1593" s="32"/>
      <c r="G1593" s="68" t="s">
        <v>285</v>
      </c>
      <c r="H1593" s="69">
        <f t="shared" si="655"/>
        <v>0</v>
      </c>
      <c r="I1593" s="70">
        <f t="shared" si="656"/>
        <v>0</v>
      </c>
      <c r="J1593" s="73" t="str">
        <f t="shared" si="657"/>
        <v>--</v>
      </c>
      <c r="K1593" s="32"/>
      <c r="L1593" s="233"/>
      <c r="M1593" s="278"/>
      <c r="N1593" s="278"/>
      <c r="O1593" s="278"/>
      <c r="P1593" s="278"/>
      <c r="Q1593" s="278"/>
      <c r="R1593" s="278"/>
      <c r="S1593" s="278"/>
      <c r="T1593" s="278"/>
      <c r="U1593" s="27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 thickBot="1" x14ac:dyDescent="0.35">
      <c r="A1594" s="88"/>
      <c r="B1594" s="66" t="s">
        <v>308</v>
      </c>
      <c r="C1594" s="67"/>
      <c r="D1594" s="102"/>
      <c r="E1594" s="32"/>
      <c r="F1594" s="32"/>
      <c r="G1594" s="68" t="s">
        <v>285</v>
      </c>
      <c r="H1594" s="69">
        <f t="shared" si="655"/>
        <v>0</v>
      </c>
      <c r="I1594" s="70">
        <f t="shared" si="656"/>
        <v>0</v>
      </c>
      <c r="J1594" s="73" t="str">
        <f t="shared" si="657"/>
        <v>--</v>
      </c>
      <c r="K1594" s="32"/>
      <c r="L1594" s="233"/>
      <c r="M1594" s="278"/>
      <c r="N1594" s="278"/>
      <c r="O1594" s="278"/>
      <c r="P1594" s="278"/>
      <c r="Q1594" s="278"/>
      <c r="R1594" s="278"/>
      <c r="S1594" s="278"/>
      <c r="T1594" s="278"/>
      <c r="U1594" s="27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 thickBot="1" x14ac:dyDescent="0.35">
      <c r="A1595" s="88"/>
      <c r="B1595" s="66" t="s">
        <v>309</v>
      </c>
      <c r="C1595" s="67"/>
      <c r="D1595" s="102"/>
      <c r="E1595" s="32"/>
      <c r="F1595" s="32"/>
      <c r="G1595" s="68" t="s">
        <v>285</v>
      </c>
      <c r="H1595" s="69">
        <f t="shared" si="655"/>
        <v>0</v>
      </c>
      <c r="I1595" s="70">
        <f t="shared" si="656"/>
        <v>0</v>
      </c>
      <c r="J1595" s="73" t="str">
        <f t="shared" si="657"/>
        <v>--</v>
      </c>
      <c r="K1595" s="32"/>
      <c r="L1595" s="233"/>
      <c r="M1595" s="278"/>
      <c r="N1595" s="278"/>
      <c r="O1595" s="278"/>
      <c r="P1595" s="278"/>
      <c r="Q1595" s="278"/>
      <c r="R1595" s="278"/>
      <c r="S1595" s="278"/>
      <c r="T1595" s="278"/>
      <c r="U1595" s="27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 thickBot="1" x14ac:dyDescent="0.35">
      <c r="A1596" s="88"/>
      <c r="B1596" s="66" t="s">
        <v>310</v>
      </c>
      <c r="C1596" s="67"/>
      <c r="D1596" s="102"/>
      <c r="E1596" s="32"/>
      <c r="F1596" s="32"/>
      <c r="G1596" s="68" t="s">
        <v>285</v>
      </c>
      <c r="H1596" s="69">
        <f t="shared" si="655"/>
        <v>0</v>
      </c>
      <c r="I1596" s="70">
        <f t="shared" si="656"/>
        <v>0</v>
      </c>
      <c r="J1596" s="73" t="str">
        <f t="shared" si="657"/>
        <v>--</v>
      </c>
      <c r="K1596" s="32"/>
      <c r="L1596" s="233"/>
      <c r="M1596" s="278"/>
      <c r="N1596" s="278"/>
      <c r="O1596" s="278"/>
      <c r="P1596" s="278"/>
      <c r="Q1596" s="278"/>
      <c r="R1596" s="278"/>
      <c r="S1596" s="278"/>
      <c r="T1596" s="278"/>
      <c r="U1596" s="27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 thickBot="1" x14ac:dyDescent="0.35">
      <c r="A1597" s="88"/>
      <c r="B1597" s="66" t="s">
        <v>311</v>
      </c>
      <c r="C1597" s="67"/>
      <c r="D1597" s="102"/>
      <c r="E1597" s="32"/>
      <c r="F1597" s="32"/>
      <c r="G1597" s="68" t="s">
        <v>285</v>
      </c>
      <c r="H1597" s="69">
        <f t="shared" si="655"/>
        <v>0</v>
      </c>
      <c r="I1597" s="70">
        <f t="shared" si="656"/>
        <v>0</v>
      </c>
      <c r="J1597" s="73" t="str">
        <f t="shared" si="657"/>
        <v>--</v>
      </c>
      <c r="K1597" s="32"/>
      <c r="L1597" s="233"/>
      <c r="M1597" s="278"/>
      <c r="N1597" s="278"/>
      <c r="O1597" s="278"/>
      <c r="P1597" s="278"/>
      <c r="Q1597" s="278"/>
      <c r="R1597" s="278"/>
      <c r="S1597" s="278"/>
      <c r="T1597" s="278"/>
      <c r="U1597" s="27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 thickBot="1" x14ac:dyDescent="0.35">
      <c r="A1598" s="88"/>
      <c r="B1598" s="66" t="s">
        <v>312</v>
      </c>
      <c r="C1598" s="67"/>
      <c r="D1598" s="102"/>
      <c r="E1598" s="32"/>
      <c r="F1598" s="32"/>
      <c r="G1598" s="68" t="s">
        <v>285</v>
      </c>
      <c r="H1598" s="69">
        <f t="shared" si="655"/>
        <v>0</v>
      </c>
      <c r="I1598" s="70">
        <f t="shared" si="656"/>
        <v>0</v>
      </c>
      <c r="J1598" s="73" t="str">
        <f t="shared" si="657"/>
        <v>--</v>
      </c>
      <c r="K1598" s="32"/>
      <c r="L1598" s="233"/>
      <c r="M1598" s="278"/>
      <c r="N1598" s="278"/>
      <c r="O1598" s="278"/>
      <c r="P1598" s="278"/>
      <c r="Q1598" s="278"/>
      <c r="R1598" s="278"/>
      <c r="S1598" s="278"/>
      <c r="T1598" s="278"/>
      <c r="U1598" s="27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 thickBot="1" x14ac:dyDescent="0.35">
      <c r="A1599" s="88"/>
      <c r="B1599" s="66" t="s">
        <v>313</v>
      </c>
      <c r="C1599" s="67"/>
      <c r="D1599" s="102"/>
      <c r="E1599" s="32"/>
      <c r="F1599" s="32"/>
      <c r="G1599" s="68" t="s">
        <v>285</v>
      </c>
      <c r="H1599" s="69">
        <f t="shared" si="655"/>
        <v>0</v>
      </c>
      <c r="I1599" s="70">
        <f t="shared" si="656"/>
        <v>0</v>
      </c>
      <c r="J1599" s="73" t="str">
        <f t="shared" si="657"/>
        <v>--</v>
      </c>
      <c r="K1599" s="32"/>
      <c r="L1599" s="234"/>
      <c r="M1599" s="278"/>
      <c r="N1599" s="278"/>
      <c r="O1599" s="278"/>
      <c r="P1599" s="278"/>
      <c r="Q1599" s="278"/>
      <c r="R1599" s="278"/>
      <c r="S1599" s="278"/>
      <c r="T1599" s="278"/>
      <c r="U1599" s="27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2" thickBot="1" x14ac:dyDescent="0.35">
      <c r="A1600" s="88"/>
      <c r="B1600" s="319" t="s">
        <v>452</v>
      </c>
      <c r="C1600" s="320"/>
      <c r="D1600" s="79"/>
      <c r="E1600" s="80"/>
      <c r="F1600" s="80"/>
      <c r="G1600" s="81"/>
      <c r="H1600" s="192"/>
      <c r="I1600" s="192"/>
      <c r="J1600" s="192"/>
      <c r="K1600" s="82"/>
      <c r="L1600" s="319" t="s">
        <v>319</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2" thickBot="1" x14ac:dyDescent="0.35">
      <c r="A1601" s="88"/>
      <c r="B1601" s="319" t="s">
        <v>320</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3">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 thickBot="1" x14ac:dyDescent="0.35">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5">
      <c r="A1604" s="88"/>
      <c r="B1604" s="85" t="s">
        <v>453</v>
      </c>
      <c r="C1604" s="25"/>
      <c r="D1604" s="25"/>
      <c r="E1604" s="25"/>
      <c r="F1604" s="88"/>
      <c r="G1604" s="25"/>
      <c r="H1604" s="25"/>
      <c r="I1604" s="87"/>
      <c r="J1604" s="26"/>
      <c r="K1604" s="25"/>
      <c r="L1604" s="25"/>
      <c r="M1604" s="196" t="s">
        <v>217</v>
      </c>
      <c r="N1604" s="196" t="s">
        <v>218</v>
      </c>
      <c r="O1604" s="196" t="s">
        <v>219</v>
      </c>
      <c r="P1604" s="196" t="s">
        <v>220</v>
      </c>
      <c r="Q1604" s="196" t="s">
        <v>221</v>
      </c>
      <c r="R1604" s="196" t="s">
        <v>222</v>
      </c>
      <c r="S1604" s="196" t="s">
        <v>223</v>
      </c>
      <c r="T1604" s="196" t="s">
        <v>224</v>
      </c>
      <c r="U1604" s="196" t="s">
        <v>225</v>
      </c>
      <c r="V1604" s="196" t="s">
        <v>226</v>
      </c>
      <c r="W1604" s="113" t="s">
        <v>227</v>
      </c>
      <c r="X1604" s="196" t="s">
        <v>228</v>
      </c>
      <c r="Y1604" s="25"/>
      <c r="Z1604" s="25"/>
      <c r="AA1604" s="25"/>
      <c r="AB1604" s="25"/>
      <c r="AC1604" s="25"/>
      <c r="AD1604" s="25"/>
      <c r="BA1604" s="226"/>
    </row>
    <row r="1605" spans="1:53" ht="15.6" thickTop="1" thickBot="1" x14ac:dyDescent="0.35">
      <c r="A1605" s="88"/>
      <c r="B1605" s="312" t="s">
        <v>229</v>
      </c>
      <c r="C1605" s="313"/>
      <c r="D1605" s="314" t="s">
        <v>230</v>
      </c>
      <c r="E1605" s="305"/>
      <c r="F1605" s="88"/>
      <c r="G1605" s="315" t="s">
        <v>231</v>
      </c>
      <c r="H1605" s="316"/>
      <c r="I1605" s="28">
        <f>SUM(E1616:E1640)</f>
        <v>0</v>
      </c>
      <c r="J1605" s="317" t="s">
        <v>232</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233</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234</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5">
      <c r="A1606" s="88"/>
      <c r="B1606" s="29" t="s">
        <v>235</v>
      </c>
      <c r="C1606" s="30">
        <v>0</v>
      </c>
      <c r="D1606" s="31" t="s">
        <v>236</v>
      </c>
      <c r="E1606" s="66" t="str">
        <f>TEXT(IF('Cable Calculator'!GQ7="","",'Cable Calculator'!GQ7),)</f>
        <v/>
      </c>
      <c r="F1606" s="88"/>
      <c r="G1606" s="304" t="s">
        <v>237</v>
      </c>
      <c r="H1606" s="305"/>
      <c r="I1606" s="33">
        <f>E1607-I1605</f>
        <v>0</v>
      </c>
      <c r="J1606" s="289" t="s">
        <v>238</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239</v>
      </c>
      <c r="AA1606" s="300" t="s">
        <v>240</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241</v>
      </c>
      <c r="AU1606" s="109">
        <f>COUNTIFS($E1606,"SS",$AS1606,"Y")</f>
        <v>0</v>
      </c>
      <c r="AV1606" s="111">
        <f>COUNTIFS($E1606,"RPX",$AS1606,"Y")</f>
        <v>0</v>
      </c>
      <c r="AW1606" s="111">
        <f>COUNTIFS($E1606,"EUC",$AS1606,"Y")</f>
        <v>0</v>
      </c>
      <c r="AX1606" s="109">
        <f>COUNTIFS($E1606,"RPX-T",$AS1606,"Y")</f>
        <v>0</v>
      </c>
      <c r="BA1606" s="227"/>
    </row>
    <row r="1607" spans="1:53" ht="15.6" thickTop="1" thickBot="1" x14ac:dyDescent="0.35">
      <c r="A1607" s="88"/>
      <c r="B1607" s="36" t="s">
        <v>242</v>
      </c>
      <c r="C1607" s="37">
        <v>0</v>
      </c>
      <c r="D1607" s="38" t="s">
        <v>243</v>
      </c>
      <c r="E1607" s="32"/>
      <c r="F1607" s="88"/>
      <c r="G1607" s="291" t="s">
        <v>244</v>
      </c>
      <c r="H1607" s="292"/>
      <c r="I1607" s="35">
        <f>IF(E1607=0,0,12-(MOD(I1605,12)))</f>
        <v>0</v>
      </c>
      <c r="J1607" s="289" t="s">
        <v>245</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246</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5">
      <c r="A1608" s="88"/>
      <c r="B1608" s="40" t="s">
        <v>247</v>
      </c>
      <c r="C1608" s="30">
        <v>0</v>
      </c>
      <c r="D1608" s="41" t="s">
        <v>248</v>
      </c>
      <c r="E1608" s="42"/>
      <c r="F1608" s="88"/>
      <c r="G1608" s="321" t="s">
        <v>249</v>
      </c>
      <c r="H1608" s="43" t="s">
        <v>250</v>
      </c>
      <c r="I1608" s="35">
        <f>IF(E1608&lt;&gt;0,1,0)</f>
        <v>0</v>
      </c>
      <c r="J1608" s="291" t="s">
        <v>251</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252</v>
      </c>
      <c r="AU1608" s="109">
        <f>COUNTIFS($E1606,"SS",$AS1608,"Y")</f>
        <v>0</v>
      </c>
      <c r="AV1608" s="108">
        <f>COUNTIFS($E1606,"RPX",$AS1608,"Y")</f>
        <v>0</v>
      </c>
      <c r="AW1608" s="108">
        <f>COUNTIFS($E1606,"EUC",$AS1608,"Y")</f>
        <v>0</v>
      </c>
      <c r="AX1608" s="109">
        <f>COUNTIFS($E1606,"RPX-T",$AS1608,"Y")</f>
        <v>0</v>
      </c>
      <c r="BA1608" s="227"/>
    </row>
    <row r="1609" spans="1:53" ht="15.6" thickTop="1" thickBot="1" x14ac:dyDescent="0.35">
      <c r="A1609" s="88"/>
      <c r="B1609" s="29" t="s">
        <v>253</v>
      </c>
      <c r="C1609" s="37">
        <v>0</v>
      </c>
      <c r="D1609" s="41" t="s">
        <v>254</v>
      </c>
      <c r="E1609" s="42"/>
      <c r="F1609" s="88"/>
      <c r="G1609" s="322"/>
      <c r="H1609" s="47" t="s">
        <v>255</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5">
      <c r="A1610" s="88"/>
      <c r="B1610" s="36" t="s">
        <v>256</v>
      </c>
      <c r="C1610" s="30">
        <v>0</v>
      </c>
      <c r="D1610" s="49" t="s">
        <v>257</v>
      </c>
      <c r="E1610" s="50">
        <f>E1607/12</f>
        <v>0</v>
      </c>
      <c r="F1610" s="88"/>
      <c r="G1610" s="321" t="s">
        <v>258</v>
      </c>
      <c r="H1610" s="51" t="s">
        <v>259</v>
      </c>
      <c r="I1610" s="112">
        <f>E1609</f>
        <v>0</v>
      </c>
      <c r="J1610" s="323" t="s">
        <v>260</v>
      </c>
      <c r="K1610" s="324"/>
      <c r="L1610" s="325"/>
      <c r="M1610" s="52" t="s">
        <v>261</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5.6" thickTop="1" thickBot="1" x14ac:dyDescent="0.35">
      <c r="A1611" s="88"/>
      <c r="B1611" s="36" t="s">
        <v>262</v>
      </c>
      <c r="C1611" s="30">
        <v>0</v>
      </c>
      <c r="D1611" s="31" t="s">
        <v>263</v>
      </c>
      <c r="E1611" s="101" t="str">
        <f>IF('Cable Calculator'!GQ5="","",'Cable Calculator'!GQ5)</f>
        <v/>
      </c>
      <c r="F1611" s="88"/>
      <c r="G1611" s="322"/>
      <c r="H1611" s="47" t="s">
        <v>264</v>
      </c>
      <c r="I1611" s="35" t="str">
        <f>IF(E1609="","0",IF(AND(E1606="EUC",E1607=432), I1610+(203-E1608),IF(E1609=0,0,(E1609+(E1607-E1608)-1))))</f>
        <v>0</v>
      </c>
      <c r="J1611" s="286" t="str">
        <f>IFERROR(IF(OR(E1606="EUC",E1606="SS"),"---",IF(OR(P1605,S1605),"NO 2F Tethers for RPX!",IF(OR(P1607,S1607),"NO 6F Tethers for RPX!","---"))),"---")</f>
        <v>---</v>
      </c>
      <c r="K1611" s="287"/>
      <c r="L1611" s="288"/>
      <c r="M1611" s="286" t="str">
        <f>IF(E1608&gt;60,"Dead Count &gt;60: Consider Downsize","---")</f>
        <v>---</v>
      </c>
      <c r="N1611" s="287"/>
      <c r="O1611" s="287"/>
      <c r="P1611" s="287"/>
      <c r="Q1611" s="287"/>
      <c r="R1611" s="287"/>
      <c r="S1611" s="287"/>
      <c r="T1611" s="287"/>
      <c r="U1611" s="288"/>
      <c r="V1611" s="100"/>
      <c r="W1611" s="54">
        <f>SUM(P1611:U1611)</f>
        <v>0</v>
      </c>
      <c r="X1611" s="54"/>
      <c r="Y1611" s="25"/>
      <c r="Z1611" s="45">
        <v>4</v>
      </c>
      <c r="AA1611" s="46">
        <v>37</v>
      </c>
      <c r="AB1611" s="46">
        <v>48</v>
      </c>
      <c r="AC1611" s="25"/>
      <c r="AD1611" s="25"/>
      <c r="BA1611" s="227"/>
    </row>
    <row r="1612" spans="1:53" ht="15.6" thickTop="1" thickBot="1" x14ac:dyDescent="0.35">
      <c r="A1612" s="88"/>
      <c r="B1612" s="55" t="s">
        <v>265</v>
      </c>
      <c r="C1612" s="56">
        <f>SUM(C1606:C1611)+I1605</f>
        <v>0</v>
      </c>
      <c r="D1612" s="31" t="s">
        <v>266</v>
      </c>
      <c r="E1612" s="101" t="str">
        <f>IF(AS1606="Y","DBL",IF(AS1607="Y","TRPL",IF(AS1608="Y","QUAD","")))</f>
        <v/>
      </c>
      <c r="F1612" s="88"/>
      <c r="G1612" s="192"/>
      <c r="H1612" s="57"/>
      <c r="I1612" s="192"/>
      <c r="J1612" s="286"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7"/>
      <c r="L1612" s="288"/>
      <c r="M1612" s="286" t="str">
        <f>IF(AND(OR(E1606="SS",E1606="RPX",E1606="EUC",E1606="RPX-T"),(OR(C1616="",C1616="Field SPL"))),"Cannot have FlexNap cables without tethers","---")</f>
        <v>---</v>
      </c>
      <c r="N1612" s="287"/>
      <c r="O1612" s="287"/>
      <c r="P1612" s="287"/>
      <c r="Q1612" s="287"/>
      <c r="R1612" s="287"/>
      <c r="S1612" s="287"/>
      <c r="T1612" s="287"/>
      <c r="U1612" s="288"/>
      <c r="V1612" s="25"/>
      <c r="W1612" s="58"/>
      <c r="X1612" s="58"/>
      <c r="Y1612" s="25"/>
      <c r="Z1612" s="45">
        <v>5</v>
      </c>
      <c r="AA1612" s="46">
        <v>49</v>
      </c>
      <c r="AB1612" s="46">
        <v>60</v>
      </c>
      <c r="AC1612" s="25"/>
      <c r="AD1612" s="25"/>
      <c r="BA1612" s="227"/>
    </row>
    <row r="1613" spans="1:53" ht="15.6" thickTop="1" thickBot="1" x14ac:dyDescent="0.35">
      <c r="A1613" s="88"/>
      <c r="B1613" s="59"/>
      <c r="C1613" s="60"/>
      <c r="D1613" s="61"/>
      <c r="E1613" s="62"/>
      <c r="F1613" s="88"/>
      <c r="G1613" s="63"/>
      <c r="H1613" s="64"/>
      <c r="I1613" s="63"/>
      <c r="J1613" s="286" t="str">
        <f>IF(AND(OR(E1606="RPX", E1606="RPX-T", E1606="SS"),E1607=216),"NO 216 For RPX, RPX-T, OR SS CABLE","---")</f>
        <v>---</v>
      </c>
      <c r="K1613" s="287"/>
      <c r="L1613" s="288"/>
      <c r="M1613" s="286" t="str" cm="1">
        <f t="array" ref="M1613">IF(AND(E1606="",OR(C1616:C1640="FST",C1616:C1640="REV T",C1616:C1640="DBL REV",C1616:C1640="TPL REV", C1616:C1640="QD REV")),"Non-FlexNap cables cannot have tethers","---")</f>
        <v>---</v>
      </c>
      <c r="N1613" s="287"/>
      <c r="O1613" s="287"/>
      <c r="P1613" s="287"/>
      <c r="Q1613" s="287"/>
      <c r="R1613" s="287"/>
      <c r="S1613" s="287"/>
      <c r="T1613" s="287"/>
      <c r="U1613" s="288"/>
      <c r="V1613" s="25"/>
      <c r="W1613" s="58"/>
      <c r="X1613" s="58"/>
      <c r="Y1613" s="25"/>
      <c r="Z1613" s="45">
        <v>6</v>
      </c>
      <c r="AA1613" s="65">
        <v>61</v>
      </c>
      <c r="AB1613" s="65">
        <v>72</v>
      </c>
      <c r="AC1613" s="25"/>
      <c r="AD1613" s="25"/>
      <c r="BA1613" s="226"/>
    </row>
    <row r="1614" spans="1:53" ht="15.75" customHeight="1" thickBot="1" x14ac:dyDescent="0.35">
      <c r="A1614" s="88"/>
      <c r="B1614" s="321" t="s">
        <v>267</v>
      </c>
      <c r="C1614" s="293" t="s">
        <v>268</v>
      </c>
      <c r="D1614" s="293" t="s">
        <v>269</v>
      </c>
      <c r="E1614" s="306" t="s">
        <v>270</v>
      </c>
      <c r="F1614" s="293" t="s">
        <v>271</v>
      </c>
      <c r="G1614" s="308" t="s">
        <v>272</v>
      </c>
      <c r="H1614" s="308" t="s">
        <v>273</v>
      </c>
      <c r="I1614" s="308" t="s">
        <v>274</v>
      </c>
      <c r="J1614" s="310" t="s">
        <v>275</v>
      </c>
      <c r="K1614" s="293" t="s">
        <v>276</v>
      </c>
      <c r="L1614" s="280" t="s">
        <v>277</v>
      </c>
      <c r="M1614" s="282" t="s">
        <v>278</v>
      </c>
      <c r="N1614" s="282"/>
      <c r="O1614" s="282"/>
      <c r="P1614" s="282"/>
      <c r="Q1614" s="282"/>
      <c r="R1614" s="282"/>
      <c r="S1614" s="282"/>
      <c r="T1614" s="282"/>
      <c r="U1614" s="283"/>
      <c r="V1614" s="107"/>
      <c r="W1614" s="72"/>
      <c r="X1614" s="72"/>
      <c r="Y1614" s="72"/>
      <c r="Z1614" s="45">
        <v>7</v>
      </c>
      <c r="AA1614" s="65">
        <v>73</v>
      </c>
      <c r="AB1614" s="65">
        <v>84</v>
      </c>
      <c r="AC1614" s="25"/>
      <c r="AD1614" s="25"/>
      <c r="BA1614" s="228"/>
    </row>
    <row r="1615" spans="1:53" ht="15" thickBot="1" x14ac:dyDescent="0.35">
      <c r="A1615" s="88"/>
      <c r="B1615" s="322"/>
      <c r="C1615" s="294"/>
      <c r="D1615" s="294"/>
      <c r="E1615" s="307"/>
      <c r="F1615" s="294"/>
      <c r="G1615" s="309"/>
      <c r="H1615" s="309"/>
      <c r="I1615" s="309"/>
      <c r="J1615" s="311"/>
      <c r="K1615" s="294"/>
      <c r="L1615" s="281"/>
      <c r="M1615" s="284"/>
      <c r="N1615" s="284"/>
      <c r="O1615" s="284"/>
      <c r="P1615" s="284"/>
      <c r="Q1615" s="284"/>
      <c r="R1615" s="284"/>
      <c r="S1615" s="284"/>
      <c r="T1615" s="284"/>
      <c r="U1615" s="285"/>
      <c r="V1615" s="107"/>
      <c r="W1615" s="72"/>
      <c r="X1615" s="72"/>
      <c r="Y1615" s="72"/>
      <c r="Z1615" s="45">
        <v>8</v>
      </c>
      <c r="AA1615" s="46">
        <v>85</v>
      </c>
      <c r="AB1615" s="46">
        <v>96</v>
      </c>
      <c r="AC1615" s="25"/>
      <c r="AD1615" s="25"/>
      <c r="AI1615" s="109" t="s">
        <v>279</v>
      </c>
      <c r="AJ1615" s="109" t="s">
        <v>280</v>
      </c>
      <c r="AK1615" s="109" t="s">
        <v>281</v>
      </c>
      <c r="AL1615" s="109" t="s">
        <v>282</v>
      </c>
      <c r="BA1615" s="228"/>
    </row>
    <row r="1616" spans="1:53" ht="15" thickBot="1" x14ac:dyDescent="0.35">
      <c r="A1616" s="88"/>
      <c r="B1616" s="66" t="s">
        <v>283</v>
      </c>
      <c r="C1616" s="67"/>
      <c r="D1616" s="102"/>
      <c r="E1616" s="32"/>
      <c r="F1616" s="32"/>
      <c r="G1616" s="68" t="s">
        <v>285</v>
      </c>
      <c r="H1616" s="69">
        <f>IF(I1616=0,0,I1616-(E1616-1))</f>
        <v>0</v>
      </c>
      <c r="I1616" s="70">
        <f>IF(E1616=0,0,I1611)</f>
        <v>0</v>
      </c>
      <c r="J1616" s="71" t="s">
        <v>286</v>
      </c>
      <c r="K1616" s="32"/>
      <c r="L1616" s="233"/>
      <c r="M1616" s="278"/>
      <c r="N1616" s="278"/>
      <c r="O1616" s="278"/>
      <c r="P1616" s="278"/>
      <c r="Q1616" s="278"/>
      <c r="R1616" s="278"/>
      <c r="S1616" s="278"/>
      <c r="T1616" s="278"/>
      <c r="U1616" s="27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 thickBot="1" x14ac:dyDescent="0.35">
      <c r="A1617" s="88"/>
      <c r="B1617" s="66" t="s">
        <v>288</v>
      </c>
      <c r="C1617" s="67"/>
      <c r="D1617" s="102"/>
      <c r="E1617" s="32"/>
      <c r="F1617" s="32"/>
      <c r="G1617" s="68" t="s">
        <v>285</v>
      </c>
      <c r="H1617" s="69">
        <f t="shared" ref="H1617:H1640" si="672">IF(E1617=0,0,I1617-(E1617-1))</f>
        <v>0</v>
      </c>
      <c r="I1617" s="70">
        <f t="shared" ref="I1617:I1640" si="673">IF(E1617=0,0,H1616-1)</f>
        <v>0</v>
      </c>
      <c r="J1617" s="73" t="str">
        <f>IF(C1617="","--",IF(AND(C1617&lt;&gt;"FST",C1617&lt;&gt;"TCF",BA1616&lt;&gt;0),BA1616,"--"))</f>
        <v>--</v>
      </c>
      <c r="K1617" s="32"/>
      <c r="L1617" s="233"/>
      <c r="M1617" s="278"/>
      <c r="N1617" s="278"/>
      <c r="O1617" s="278"/>
      <c r="P1617" s="278"/>
      <c r="Q1617" s="278"/>
      <c r="R1617" s="278"/>
      <c r="S1617" s="278"/>
      <c r="T1617" s="278"/>
      <c r="U1617" s="27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 thickBot="1" x14ac:dyDescent="0.35">
      <c r="A1618" s="88"/>
      <c r="B1618" s="74" t="s">
        <v>290</v>
      </c>
      <c r="C1618" s="67"/>
      <c r="D1618" s="102"/>
      <c r="E1618" s="32"/>
      <c r="F1618" s="32"/>
      <c r="G1618" s="75" t="s">
        <v>285</v>
      </c>
      <c r="H1618" s="69">
        <f t="shared" si="672"/>
        <v>0</v>
      </c>
      <c r="I1618" s="70">
        <f t="shared" si="673"/>
        <v>0</v>
      </c>
      <c r="J1618" s="73" t="str">
        <f t="shared" ref="J1618:J1640" si="674">IF(C1618="","--",IF(AND(C1618&lt;&gt;"FST",C1618&lt;&gt;"TCF",BA1617&lt;&gt;0),BA1617,"--"))</f>
        <v>--</v>
      </c>
      <c r="K1618" s="32"/>
      <c r="L1618" s="233"/>
      <c r="M1618" s="278"/>
      <c r="N1618" s="278"/>
      <c r="O1618" s="278"/>
      <c r="P1618" s="278"/>
      <c r="Q1618" s="278"/>
      <c r="R1618" s="278"/>
      <c r="S1618" s="278"/>
      <c r="T1618" s="278"/>
      <c r="U1618" s="27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 thickBot="1" x14ac:dyDescent="0.35">
      <c r="A1619" s="88"/>
      <c r="B1619" s="66" t="s">
        <v>292</v>
      </c>
      <c r="C1619" s="67"/>
      <c r="D1619" s="102"/>
      <c r="E1619" s="32"/>
      <c r="F1619" s="32"/>
      <c r="G1619" s="68" t="s">
        <v>285</v>
      </c>
      <c r="H1619" s="69">
        <f t="shared" si="672"/>
        <v>0</v>
      </c>
      <c r="I1619" s="70">
        <f t="shared" si="673"/>
        <v>0</v>
      </c>
      <c r="J1619" s="73" t="str">
        <f t="shared" si="674"/>
        <v>--</v>
      </c>
      <c r="K1619" s="32"/>
      <c r="L1619" s="233"/>
      <c r="M1619" s="278"/>
      <c r="N1619" s="278"/>
      <c r="O1619" s="278"/>
      <c r="P1619" s="278"/>
      <c r="Q1619" s="278"/>
      <c r="R1619" s="278"/>
      <c r="S1619" s="278"/>
      <c r="T1619" s="278"/>
      <c r="U1619" s="27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 thickBot="1" x14ac:dyDescent="0.35">
      <c r="A1620" s="88"/>
      <c r="B1620" s="66" t="s">
        <v>293</v>
      </c>
      <c r="C1620" s="67"/>
      <c r="D1620" s="102"/>
      <c r="E1620" s="32"/>
      <c r="F1620" s="32"/>
      <c r="G1620" s="68" t="s">
        <v>285</v>
      </c>
      <c r="H1620" s="69">
        <f t="shared" si="672"/>
        <v>0</v>
      </c>
      <c r="I1620" s="70">
        <f t="shared" si="673"/>
        <v>0</v>
      </c>
      <c r="J1620" s="73" t="str">
        <f t="shared" si="674"/>
        <v>--</v>
      </c>
      <c r="K1620" s="32"/>
      <c r="L1620" s="233"/>
      <c r="M1620" s="278"/>
      <c r="N1620" s="278"/>
      <c r="O1620" s="278"/>
      <c r="P1620" s="278"/>
      <c r="Q1620" s="278"/>
      <c r="R1620" s="278"/>
      <c r="S1620" s="278"/>
      <c r="T1620" s="278"/>
      <c r="U1620" s="27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 thickBot="1" x14ac:dyDescent="0.35">
      <c r="A1621" s="88"/>
      <c r="B1621" s="66" t="s">
        <v>294</v>
      </c>
      <c r="C1621" s="67"/>
      <c r="D1621" s="102"/>
      <c r="E1621" s="32"/>
      <c r="F1621" s="32"/>
      <c r="G1621" s="68" t="s">
        <v>285</v>
      </c>
      <c r="H1621" s="69">
        <f t="shared" si="672"/>
        <v>0</v>
      </c>
      <c r="I1621" s="70">
        <f t="shared" si="673"/>
        <v>0</v>
      </c>
      <c r="J1621" s="73" t="str">
        <f t="shared" si="674"/>
        <v>--</v>
      </c>
      <c r="K1621" s="32"/>
      <c r="L1621" s="233"/>
      <c r="M1621" s="278"/>
      <c r="N1621" s="278"/>
      <c r="O1621" s="278"/>
      <c r="P1621" s="278"/>
      <c r="Q1621" s="278"/>
      <c r="R1621" s="278"/>
      <c r="S1621" s="278"/>
      <c r="T1621" s="278"/>
      <c r="U1621" s="27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 thickBot="1" x14ac:dyDescent="0.35">
      <c r="A1622" s="88"/>
      <c r="B1622" s="66" t="s">
        <v>295</v>
      </c>
      <c r="C1622" s="67"/>
      <c r="D1622" s="102"/>
      <c r="E1622" s="32"/>
      <c r="F1622" s="32"/>
      <c r="G1622" s="68" t="s">
        <v>285</v>
      </c>
      <c r="H1622" s="69">
        <f t="shared" si="672"/>
        <v>0</v>
      </c>
      <c r="I1622" s="70">
        <f t="shared" si="673"/>
        <v>0</v>
      </c>
      <c r="J1622" s="73" t="str">
        <f t="shared" si="674"/>
        <v>--</v>
      </c>
      <c r="K1622" s="32"/>
      <c r="L1622" s="233"/>
      <c r="M1622" s="278"/>
      <c r="N1622" s="278"/>
      <c r="O1622" s="278"/>
      <c r="P1622" s="278"/>
      <c r="Q1622" s="278"/>
      <c r="R1622" s="278"/>
      <c r="S1622" s="278"/>
      <c r="T1622" s="278"/>
      <c r="U1622" s="27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 thickBot="1" x14ac:dyDescent="0.35">
      <c r="A1623" s="88"/>
      <c r="B1623" s="66" t="s">
        <v>296</v>
      </c>
      <c r="C1623" s="67"/>
      <c r="D1623" s="102"/>
      <c r="E1623" s="32"/>
      <c r="F1623" s="32"/>
      <c r="G1623" s="68" t="s">
        <v>285</v>
      </c>
      <c r="H1623" s="69">
        <f t="shared" si="672"/>
        <v>0</v>
      </c>
      <c r="I1623" s="70">
        <f t="shared" si="673"/>
        <v>0</v>
      </c>
      <c r="J1623" s="73" t="str">
        <f t="shared" si="674"/>
        <v>--</v>
      </c>
      <c r="K1623" s="32"/>
      <c r="L1623" s="233"/>
      <c r="M1623" s="278"/>
      <c r="N1623" s="278"/>
      <c r="O1623" s="278"/>
      <c r="P1623" s="278"/>
      <c r="Q1623" s="278"/>
      <c r="R1623" s="278"/>
      <c r="S1623" s="278"/>
      <c r="T1623" s="278"/>
      <c r="U1623" s="27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 thickBot="1" x14ac:dyDescent="0.35">
      <c r="A1624" s="88"/>
      <c r="B1624" s="66" t="s">
        <v>297</v>
      </c>
      <c r="C1624" s="67"/>
      <c r="D1624" s="102"/>
      <c r="E1624" s="32"/>
      <c r="F1624" s="32"/>
      <c r="G1624" s="68" t="s">
        <v>285</v>
      </c>
      <c r="H1624" s="69">
        <f t="shared" si="672"/>
        <v>0</v>
      </c>
      <c r="I1624" s="70">
        <f t="shared" si="673"/>
        <v>0</v>
      </c>
      <c r="J1624" s="73" t="str">
        <f t="shared" si="674"/>
        <v>--</v>
      </c>
      <c r="K1624" s="32"/>
      <c r="L1624" s="233"/>
      <c r="M1624" s="278"/>
      <c r="N1624" s="278"/>
      <c r="O1624" s="278"/>
      <c r="P1624" s="278"/>
      <c r="Q1624" s="278"/>
      <c r="R1624" s="278"/>
      <c r="S1624" s="278"/>
      <c r="T1624" s="278"/>
      <c r="U1624" s="27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 thickBot="1" x14ac:dyDescent="0.35">
      <c r="A1625" s="88"/>
      <c r="B1625" s="66" t="s">
        <v>298</v>
      </c>
      <c r="C1625" s="67"/>
      <c r="D1625" s="102"/>
      <c r="E1625" s="32"/>
      <c r="F1625" s="32"/>
      <c r="G1625" s="68" t="s">
        <v>285</v>
      </c>
      <c r="H1625" s="69">
        <f t="shared" si="672"/>
        <v>0</v>
      </c>
      <c r="I1625" s="70">
        <f t="shared" si="673"/>
        <v>0</v>
      </c>
      <c r="J1625" s="73" t="str">
        <f t="shared" si="674"/>
        <v>--</v>
      </c>
      <c r="K1625" s="32"/>
      <c r="L1625" s="233"/>
      <c r="M1625" s="278"/>
      <c r="N1625" s="278"/>
      <c r="O1625" s="278"/>
      <c r="P1625" s="278"/>
      <c r="Q1625" s="278"/>
      <c r="R1625" s="278"/>
      <c r="S1625" s="278"/>
      <c r="T1625" s="278"/>
      <c r="U1625" s="27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 thickBot="1" x14ac:dyDescent="0.35">
      <c r="A1626" s="88"/>
      <c r="B1626" s="66" t="s">
        <v>299</v>
      </c>
      <c r="C1626" s="67"/>
      <c r="D1626" s="102"/>
      <c r="E1626" s="32"/>
      <c r="F1626" s="32"/>
      <c r="G1626" s="68" t="s">
        <v>285</v>
      </c>
      <c r="H1626" s="69">
        <f t="shared" si="672"/>
        <v>0</v>
      </c>
      <c r="I1626" s="70">
        <f t="shared" si="673"/>
        <v>0</v>
      </c>
      <c r="J1626" s="73" t="str">
        <f t="shared" si="674"/>
        <v>--</v>
      </c>
      <c r="K1626" s="32"/>
      <c r="L1626" s="233"/>
      <c r="M1626" s="278"/>
      <c r="N1626" s="278"/>
      <c r="O1626" s="278"/>
      <c r="P1626" s="278"/>
      <c r="Q1626" s="278"/>
      <c r="R1626" s="278"/>
      <c r="S1626" s="278"/>
      <c r="T1626" s="278"/>
      <c r="U1626" s="27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 thickBot="1" x14ac:dyDescent="0.35">
      <c r="A1627" s="88"/>
      <c r="B1627" s="66" t="s">
        <v>300</v>
      </c>
      <c r="C1627" s="67"/>
      <c r="D1627" s="102"/>
      <c r="E1627" s="32"/>
      <c r="F1627" s="32"/>
      <c r="G1627" s="68" t="s">
        <v>285</v>
      </c>
      <c r="H1627" s="69">
        <f t="shared" si="672"/>
        <v>0</v>
      </c>
      <c r="I1627" s="70">
        <f t="shared" si="673"/>
        <v>0</v>
      </c>
      <c r="J1627" s="73" t="str">
        <f t="shared" si="674"/>
        <v>--</v>
      </c>
      <c r="K1627" s="32"/>
      <c r="L1627" s="233"/>
      <c r="M1627" s="278"/>
      <c r="N1627" s="278"/>
      <c r="O1627" s="278"/>
      <c r="P1627" s="278"/>
      <c r="Q1627" s="278"/>
      <c r="R1627" s="278"/>
      <c r="S1627" s="278"/>
      <c r="T1627" s="278"/>
      <c r="U1627" s="27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 thickBot="1" x14ac:dyDescent="0.35">
      <c r="A1628" s="88"/>
      <c r="B1628" s="66" t="s">
        <v>301</v>
      </c>
      <c r="C1628" s="67"/>
      <c r="D1628" s="102"/>
      <c r="E1628" s="32"/>
      <c r="F1628" s="32"/>
      <c r="G1628" s="68" t="s">
        <v>285</v>
      </c>
      <c r="H1628" s="69">
        <f t="shared" si="672"/>
        <v>0</v>
      </c>
      <c r="I1628" s="70">
        <f t="shared" si="673"/>
        <v>0</v>
      </c>
      <c r="J1628" s="73" t="str">
        <f t="shared" si="674"/>
        <v>--</v>
      </c>
      <c r="K1628" s="32"/>
      <c r="L1628" s="233"/>
      <c r="M1628" s="278"/>
      <c r="N1628" s="278"/>
      <c r="O1628" s="278"/>
      <c r="P1628" s="278"/>
      <c r="Q1628" s="278"/>
      <c r="R1628" s="278"/>
      <c r="S1628" s="278"/>
      <c r="T1628" s="278"/>
      <c r="U1628" s="27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 thickBot="1" x14ac:dyDescent="0.35">
      <c r="A1629" s="88"/>
      <c r="B1629" s="66" t="s">
        <v>302</v>
      </c>
      <c r="C1629" s="67"/>
      <c r="D1629" s="102"/>
      <c r="E1629" s="32"/>
      <c r="F1629" s="32"/>
      <c r="G1629" s="68" t="s">
        <v>285</v>
      </c>
      <c r="H1629" s="69">
        <f t="shared" si="672"/>
        <v>0</v>
      </c>
      <c r="I1629" s="70">
        <f t="shared" si="673"/>
        <v>0</v>
      </c>
      <c r="J1629" s="73" t="str">
        <f t="shared" si="674"/>
        <v>--</v>
      </c>
      <c r="K1629" s="32"/>
      <c r="L1629" s="233"/>
      <c r="M1629" s="278"/>
      <c r="N1629" s="278"/>
      <c r="O1629" s="278"/>
      <c r="P1629" s="278"/>
      <c r="Q1629" s="278"/>
      <c r="R1629" s="278"/>
      <c r="S1629" s="278"/>
      <c r="T1629" s="278"/>
      <c r="U1629" s="27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 thickBot="1" x14ac:dyDescent="0.35">
      <c r="A1630" s="88"/>
      <c r="B1630" s="66" t="s">
        <v>303</v>
      </c>
      <c r="C1630" s="67"/>
      <c r="D1630" s="102"/>
      <c r="E1630" s="32"/>
      <c r="F1630" s="32"/>
      <c r="G1630" s="68" t="s">
        <v>285</v>
      </c>
      <c r="H1630" s="69">
        <f t="shared" si="672"/>
        <v>0</v>
      </c>
      <c r="I1630" s="70">
        <f t="shared" si="673"/>
        <v>0</v>
      </c>
      <c r="J1630" s="73" t="str">
        <f t="shared" si="674"/>
        <v>--</v>
      </c>
      <c r="K1630" s="32"/>
      <c r="L1630" s="233"/>
      <c r="M1630" s="278"/>
      <c r="N1630" s="278"/>
      <c r="O1630" s="278"/>
      <c r="P1630" s="278"/>
      <c r="Q1630" s="278"/>
      <c r="R1630" s="278"/>
      <c r="S1630" s="278"/>
      <c r="T1630" s="278"/>
      <c r="U1630" s="27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 thickBot="1" x14ac:dyDescent="0.35">
      <c r="A1631" s="88"/>
      <c r="B1631" s="66" t="s">
        <v>304</v>
      </c>
      <c r="C1631" s="67"/>
      <c r="D1631" s="102"/>
      <c r="E1631" s="32"/>
      <c r="F1631" s="32"/>
      <c r="G1631" s="68" t="s">
        <v>285</v>
      </c>
      <c r="H1631" s="69">
        <f t="shared" si="672"/>
        <v>0</v>
      </c>
      <c r="I1631" s="70">
        <f t="shared" si="673"/>
        <v>0</v>
      </c>
      <c r="J1631" s="73" t="str">
        <f t="shared" si="674"/>
        <v>--</v>
      </c>
      <c r="K1631" s="32"/>
      <c r="L1631" s="233"/>
      <c r="M1631" s="278"/>
      <c r="N1631" s="278"/>
      <c r="O1631" s="278"/>
      <c r="P1631" s="278"/>
      <c r="Q1631" s="278"/>
      <c r="R1631" s="278"/>
      <c r="S1631" s="278"/>
      <c r="T1631" s="278"/>
      <c r="U1631" s="27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 thickBot="1" x14ac:dyDescent="0.35">
      <c r="A1632" s="88"/>
      <c r="B1632" s="66" t="s">
        <v>305</v>
      </c>
      <c r="C1632" s="67"/>
      <c r="D1632" s="102"/>
      <c r="E1632" s="32"/>
      <c r="F1632" s="32"/>
      <c r="G1632" s="68" t="s">
        <v>285</v>
      </c>
      <c r="H1632" s="69">
        <f t="shared" si="672"/>
        <v>0</v>
      </c>
      <c r="I1632" s="70">
        <f t="shared" si="673"/>
        <v>0</v>
      </c>
      <c r="J1632" s="73" t="str">
        <f t="shared" si="674"/>
        <v>--</v>
      </c>
      <c r="K1632" s="32"/>
      <c r="L1632" s="233"/>
      <c r="M1632" s="278"/>
      <c r="N1632" s="278"/>
      <c r="O1632" s="278"/>
      <c r="P1632" s="278"/>
      <c r="Q1632" s="278"/>
      <c r="R1632" s="278"/>
      <c r="S1632" s="278"/>
      <c r="T1632" s="278"/>
      <c r="U1632" s="27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 thickBot="1" x14ac:dyDescent="0.35">
      <c r="A1633" s="88"/>
      <c r="B1633" s="66" t="s">
        <v>306</v>
      </c>
      <c r="C1633" s="67"/>
      <c r="D1633" s="102"/>
      <c r="E1633" s="32"/>
      <c r="F1633" s="32"/>
      <c r="G1633" s="68" t="s">
        <v>285</v>
      </c>
      <c r="H1633" s="69">
        <f t="shared" si="672"/>
        <v>0</v>
      </c>
      <c r="I1633" s="70">
        <f t="shared" si="673"/>
        <v>0</v>
      </c>
      <c r="J1633" s="73" t="str">
        <f t="shared" si="674"/>
        <v>--</v>
      </c>
      <c r="K1633" s="32"/>
      <c r="L1633" s="233"/>
      <c r="M1633" s="278"/>
      <c r="N1633" s="278"/>
      <c r="O1633" s="278"/>
      <c r="P1633" s="278"/>
      <c r="Q1633" s="278"/>
      <c r="R1633" s="278"/>
      <c r="S1633" s="278"/>
      <c r="T1633" s="278"/>
      <c r="U1633" s="27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 thickBot="1" x14ac:dyDescent="0.35">
      <c r="A1634" s="88"/>
      <c r="B1634" s="66" t="s">
        <v>307</v>
      </c>
      <c r="C1634" s="67"/>
      <c r="D1634" s="102"/>
      <c r="E1634" s="32"/>
      <c r="F1634" s="32"/>
      <c r="G1634" s="68" t="s">
        <v>285</v>
      </c>
      <c r="H1634" s="69">
        <f t="shared" si="672"/>
        <v>0</v>
      </c>
      <c r="I1634" s="70">
        <f t="shared" si="673"/>
        <v>0</v>
      </c>
      <c r="J1634" s="73" t="str">
        <f t="shared" si="674"/>
        <v>--</v>
      </c>
      <c r="K1634" s="32"/>
      <c r="L1634" s="233"/>
      <c r="M1634" s="278"/>
      <c r="N1634" s="278"/>
      <c r="O1634" s="278"/>
      <c r="P1634" s="278"/>
      <c r="Q1634" s="278"/>
      <c r="R1634" s="278"/>
      <c r="S1634" s="278"/>
      <c r="T1634" s="278"/>
      <c r="U1634" s="27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 thickBot="1" x14ac:dyDescent="0.35">
      <c r="A1635" s="88"/>
      <c r="B1635" s="66" t="s">
        <v>308</v>
      </c>
      <c r="C1635" s="67"/>
      <c r="D1635" s="102"/>
      <c r="E1635" s="32"/>
      <c r="F1635" s="32"/>
      <c r="G1635" s="68" t="s">
        <v>285</v>
      </c>
      <c r="H1635" s="69">
        <f t="shared" si="672"/>
        <v>0</v>
      </c>
      <c r="I1635" s="70">
        <f t="shared" si="673"/>
        <v>0</v>
      </c>
      <c r="J1635" s="73" t="str">
        <f t="shared" si="674"/>
        <v>--</v>
      </c>
      <c r="K1635" s="32"/>
      <c r="L1635" s="233"/>
      <c r="M1635" s="278"/>
      <c r="N1635" s="278"/>
      <c r="O1635" s="278"/>
      <c r="P1635" s="278"/>
      <c r="Q1635" s="278"/>
      <c r="R1635" s="278"/>
      <c r="S1635" s="278"/>
      <c r="T1635" s="278"/>
      <c r="U1635" s="27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 thickBot="1" x14ac:dyDescent="0.35">
      <c r="A1636" s="88"/>
      <c r="B1636" s="66" t="s">
        <v>309</v>
      </c>
      <c r="C1636" s="67"/>
      <c r="D1636" s="102"/>
      <c r="E1636" s="32"/>
      <c r="F1636" s="32"/>
      <c r="G1636" s="68" t="s">
        <v>285</v>
      </c>
      <c r="H1636" s="69">
        <f t="shared" si="672"/>
        <v>0</v>
      </c>
      <c r="I1636" s="70">
        <f t="shared" si="673"/>
        <v>0</v>
      </c>
      <c r="J1636" s="73" t="str">
        <f t="shared" si="674"/>
        <v>--</v>
      </c>
      <c r="K1636" s="32"/>
      <c r="L1636" s="233"/>
      <c r="M1636" s="278"/>
      <c r="N1636" s="278"/>
      <c r="O1636" s="278"/>
      <c r="P1636" s="278"/>
      <c r="Q1636" s="278"/>
      <c r="R1636" s="278"/>
      <c r="S1636" s="278"/>
      <c r="T1636" s="278"/>
      <c r="U1636" s="27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 thickBot="1" x14ac:dyDescent="0.35">
      <c r="A1637" s="88"/>
      <c r="B1637" s="66" t="s">
        <v>310</v>
      </c>
      <c r="C1637" s="67"/>
      <c r="D1637" s="102"/>
      <c r="E1637" s="32"/>
      <c r="F1637" s="32"/>
      <c r="G1637" s="68" t="s">
        <v>285</v>
      </c>
      <c r="H1637" s="69">
        <f t="shared" si="672"/>
        <v>0</v>
      </c>
      <c r="I1637" s="70">
        <f t="shared" si="673"/>
        <v>0</v>
      </c>
      <c r="J1637" s="73" t="str">
        <f t="shared" si="674"/>
        <v>--</v>
      </c>
      <c r="K1637" s="32"/>
      <c r="L1637" s="233"/>
      <c r="M1637" s="278"/>
      <c r="N1637" s="278"/>
      <c r="O1637" s="278"/>
      <c r="P1637" s="278"/>
      <c r="Q1637" s="278"/>
      <c r="R1637" s="278"/>
      <c r="S1637" s="278"/>
      <c r="T1637" s="278"/>
      <c r="U1637" s="27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 thickBot="1" x14ac:dyDescent="0.35">
      <c r="A1638" s="88"/>
      <c r="B1638" s="66" t="s">
        <v>311</v>
      </c>
      <c r="C1638" s="67"/>
      <c r="D1638" s="102"/>
      <c r="E1638" s="32"/>
      <c r="F1638" s="32"/>
      <c r="G1638" s="68" t="s">
        <v>285</v>
      </c>
      <c r="H1638" s="69">
        <f t="shared" si="672"/>
        <v>0</v>
      </c>
      <c r="I1638" s="70">
        <f t="shared" si="673"/>
        <v>0</v>
      </c>
      <c r="J1638" s="73" t="str">
        <f t="shared" si="674"/>
        <v>--</v>
      </c>
      <c r="K1638" s="32"/>
      <c r="L1638" s="233"/>
      <c r="M1638" s="278"/>
      <c r="N1638" s="278"/>
      <c r="O1638" s="278"/>
      <c r="P1638" s="278"/>
      <c r="Q1638" s="278"/>
      <c r="R1638" s="278"/>
      <c r="S1638" s="278"/>
      <c r="T1638" s="278"/>
      <c r="U1638" s="27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 thickBot="1" x14ac:dyDescent="0.35">
      <c r="A1639" s="88"/>
      <c r="B1639" s="66" t="s">
        <v>312</v>
      </c>
      <c r="C1639" s="67"/>
      <c r="D1639" s="102"/>
      <c r="E1639" s="32"/>
      <c r="F1639" s="32"/>
      <c r="G1639" s="68" t="s">
        <v>285</v>
      </c>
      <c r="H1639" s="69">
        <f t="shared" si="672"/>
        <v>0</v>
      </c>
      <c r="I1639" s="70">
        <f t="shared" si="673"/>
        <v>0</v>
      </c>
      <c r="J1639" s="73" t="str">
        <f t="shared" si="674"/>
        <v>--</v>
      </c>
      <c r="K1639" s="32"/>
      <c r="L1639" s="233"/>
      <c r="M1639" s="278"/>
      <c r="N1639" s="278"/>
      <c r="O1639" s="278"/>
      <c r="P1639" s="278"/>
      <c r="Q1639" s="278"/>
      <c r="R1639" s="278"/>
      <c r="S1639" s="278"/>
      <c r="T1639" s="278"/>
      <c r="U1639" s="27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 thickBot="1" x14ac:dyDescent="0.35">
      <c r="A1640" s="88"/>
      <c r="B1640" s="66" t="s">
        <v>313</v>
      </c>
      <c r="C1640" s="67"/>
      <c r="D1640" s="102"/>
      <c r="E1640" s="32"/>
      <c r="F1640" s="32"/>
      <c r="G1640" s="68" t="s">
        <v>285</v>
      </c>
      <c r="H1640" s="69">
        <f t="shared" si="672"/>
        <v>0</v>
      </c>
      <c r="I1640" s="70">
        <f t="shared" si="673"/>
        <v>0</v>
      </c>
      <c r="J1640" s="73" t="str">
        <f t="shared" si="674"/>
        <v>--</v>
      </c>
      <c r="K1640" s="32"/>
      <c r="L1640" s="234"/>
      <c r="M1640" s="278"/>
      <c r="N1640" s="278"/>
      <c r="O1640" s="278"/>
      <c r="P1640" s="278"/>
      <c r="Q1640" s="278"/>
      <c r="R1640" s="278"/>
      <c r="S1640" s="278"/>
      <c r="T1640" s="278"/>
      <c r="U1640" s="27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2" thickBot="1" x14ac:dyDescent="0.35">
      <c r="A1641" s="88"/>
      <c r="B1641" s="319" t="s">
        <v>454</v>
      </c>
      <c r="C1641" s="320"/>
      <c r="D1641" s="79"/>
      <c r="E1641" s="80"/>
      <c r="F1641" s="80"/>
      <c r="G1641" s="81"/>
      <c r="H1641" s="192"/>
      <c r="I1641" s="192"/>
      <c r="J1641" s="192"/>
      <c r="K1641" s="82"/>
      <c r="L1641" s="319" t="s">
        <v>319</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2" thickBot="1" x14ac:dyDescent="0.35">
      <c r="A1642" s="88"/>
      <c r="B1642" s="319" t="s">
        <v>320</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3">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 thickBot="1" x14ac:dyDescent="0.35">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5">
      <c r="A1645" s="88"/>
      <c r="B1645" s="85" t="s">
        <v>455</v>
      </c>
      <c r="C1645" s="25"/>
      <c r="D1645" s="25"/>
      <c r="E1645" s="25"/>
      <c r="F1645" s="88"/>
      <c r="G1645" s="25"/>
      <c r="H1645" s="25"/>
      <c r="I1645" s="87"/>
      <c r="J1645" s="26"/>
      <c r="K1645" s="25"/>
      <c r="L1645" s="25"/>
      <c r="M1645" s="196" t="s">
        <v>217</v>
      </c>
      <c r="N1645" s="196" t="s">
        <v>218</v>
      </c>
      <c r="O1645" s="196" t="s">
        <v>219</v>
      </c>
      <c r="P1645" s="196" t="s">
        <v>220</v>
      </c>
      <c r="Q1645" s="196" t="s">
        <v>221</v>
      </c>
      <c r="R1645" s="196" t="s">
        <v>222</v>
      </c>
      <c r="S1645" s="196" t="s">
        <v>223</v>
      </c>
      <c r="T1645" s="196" t="s">
        <v>224</v>
      </c>
      <c r="U1645" s="196" t="s">
        <v>225</v>
      </c>
      <c r="V1645" s="196" t="s">
        <v>226</v>
      </c>
      <c r="W1645" s="113" t="s">
        <v>227</v>
      </c>
      <c r="X1645" s="196" t="s">
        <v>228</v>
      </c>
      <c r="Y1645" s="25"/>
      <c r="Z1645" s="25"/>
      <c r="AA1645" s="25"/>
      <c r="AB1645" s="25"/>
      <c r="AC1645" s="25"/>
      <c r="AD1645" s="25"/>
      <c r="BA1645" s="226"/>
    </row>
    <row r="1646" spans="1:53" ht="15.6" thickTop="1" thickBot="1" x14ac:dyDescent="0.35">
      <c r="A1646" s="88"/>
      <c r="B1646" s="312" t="s">
        <v>229</v>
      </c>
      <c r="C1646" s="313"/>
      <c r="D1646" s="314" t="s">
        <v>230</v>
      </c>
      <c r="E1646" s="305"/>
      <c r="F1646" s="88"/>
      <c r="G1646" s="315" t="s">
        <v>231</v>
      </c>
      <c r="H1646" s="316"/>
      <c r="I1646" s="28">
        <f>SUM(E1657:E1681)</f>
        <v>0</v>
      </c>
      <c r="J1646" s="317" t="s">
        <v>232</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233</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234</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5">
      <c r="A1647" s="88"/>
      <c r="B1647" s="29" t="s">
        <v>235</v>
      </c>
      <c r="C1647" s="30">
        <v>0</v>
      </c>
      <c r="D1647" s="31" t="s">
        <v>236</v>
      </c>
      <c r="E1647" s="66" t="str">
        <f>TEXT(IF('Cable Calculator'!GV7="","",'Cable Calculator'!GV7),)</f>
        <v/>
      </c>
      <c r="F1647" s="88"/>
      <c r="G1647" s="304" t="s">
        <v>237</v>
      </c>
      <c r="H1647" s="305"/>
      <c r="I1647" s="33">
        <f>E1648-I1646</f>
        <v>0</v>
      </c>
      <c r="J1647" s="289" t="s">
        <v>238</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239</v>
      </c>
      <c r="AA1647" s="300" t="s">
        <v>240</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241</v>
      </c>
      <c r="AU1647" s="109">
        <f>COUNTIFS($E1647,"SS",$AS1647,"Y")</f>
        <v>0</v>
      </c>
      <c r="AV1647" s="111">
        <f>COUNTIFS($E1647,"RPX",$AS1647,"Y")</f>
        <v>0</v>
      </c>
      <c r="AW1647" s="111">
        <f>COUNTIFS($E1647,"EUC",$AS1647,"Y")</f>
        <v>0</v>
      </c>
      <c r="AX1647" s="109">
        <f>COUNTIFS($E1647,"RPX-T",$AS1647,"Y")</f>
        <v>0</v>
      </c>
      <c r="BA1647" s="227"/>
    </row>
    <row r="1648" spans="1:53" ht="15.6" thickTop="1" thickBot="1" x14ac:dyDescent="0.35">
      <c r="A1648" s="88"/>
      <c r="B1648" s="36" t="s">
        <v>242</v>
      </c>
      <c r="C1648" s="37">
        <v>0</v>
      </c>
      <c r="D1648" s="38" t="s">
        <v>243</v>
      </c>
      <c r="E1648" s="32"/>
      <c r="F1648" s="88"/>
      <c r="G1648" s="291" t="s">
        <v>244</v>
      </c>
      <c r="H1648" s="292"/>
      <c r="I1648" s="35">
        <f>IF(E1648=0,0,12-(MOD(I1646,12)))</f>
        <v>0</v>
      </c>
      <c r="J1648" s="289" t="s">
        <v>245</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246</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5">
      <c r="A1649" s="88"/>
      <c r="B1649" s="40" t="s">
        <v>247</v>
      </c>
      <c r="C1649" s="30">
        <v>0</v>
      </c>
      <c r="D1649" s="41" t="s">
        <v>248</v>
      </c>
      <c r="E1649" s="42"/>
      <c r="F1649" s="88"/>
      <c r="G1649" s="321" t="s">
        <v>249</v>
      </c>
      <c r="H1649" s="43" t="s">
        <v>250</v>
      </c>
      <c r="I1649" s="35">
        <f>IF(E1649&lt;&gt;0,1,0)</f>
        <v>0</v>
      </c>
      <c r="J1649" s="291" t="s">
        <v>251</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252</v>
      </c>
      <c r="AU1649" s="109">
        <f>COUNTIFS($E1647,"SS",$AS1649,"Y")</f>
        <v>0</v>
      </c>
      <c r="AV1649" s="108">
        <f>COUNTIFS($E1647,"RPX",$AS1649,"Y")</f>
        <v>0</v>
      </c>
      <c r="AW1649" s="108">
        <f>COUNTIFS($E1647,"EUC",$AS1649,"Y")</f>
        <v>0</v>
      </c>
      <c r="AX1649" s="109">
        <f>COUNTIFS($E1647,"RPX-T",$AS1649,"Y")</f>
        <v>0</v>
      </c>
      <c r="BA1649" s="227"/>
    </row>
    <row r="1650" spans="1:53" ht="15.6" thickTop="1" thickBot="1" x14ac:dyDescent="0.35">
      <c r="A1650" s="88"/>
      <c r="B1650" s="29" t="s">
        <v>253</v>
      </c>
      <c r="C1650" s="37">
        <v>0</v>
      </c>
      <c r="D1650" s="41" t="s">
        <v>254</v>
      </c>
      <c r="E1650" s="42"/>
      <c r="F1650" s="88"/>
      <c r="G1650" s="322"/>
      <c r="H1650" s="47" t="s">
        <v>255</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5">
      <c r="A1651" s="88"/>
      <c r="B1651" s="36" t="s">
        <v>256</v>
      </c>
      <c r="C1651" s="30">
        <v>0</v>
      </c>
      <c r="D1651" s="49" t="s">
        <v>257</v>
      </c>
      <c r="E1651" s="50">
        <f>E1648/12</f>
        <v>0</v>
      </c>
      <c r="F1651" s="88"/>
      <c r="G1651" s="321" t="s">
        <v>258</v>
      </c>
      <c r="H1651" s="51" t="s">
        <v>259</v>
      </c>
      <c r="I1651" s="112">
        <f>E1650</f>
        <v>0</v>
      </c>
      <c r="J1651" s="323" t="s">
        <v>260</v>
      </c>
      <c r="K1651" s="324"/>
      <c r="L1651" s="325"/>
      <c r="M1651" s="52" t="s">
        <v>261</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5.6" thickTop="1" thickBot="1" x14ac:dyDescent="0.35">
      <c r="A1652" s="88"/>
      <c r="B1652" s="36" t="s">
        <v>262</v>
      </c>
      <c r="C1652" s="30">
        <v>0</v>
      </c>
      <c r="D1652" s="31" t="s">
        <v>263</v>
      </c>
      <c r="E1652" s="101" t="str">
        <f>IF('Cable Calculator'!GV5="","",'Cable Calculator'!GV5)</f>
        <v/>
      </c>
      <c r="F1652" s="88"/>
      <c r="G1652" s="322"/>
      <c r="H1652" s="47" t="s">
        <v>264</v>
      </c>
      <c r="I1652" s="35" t="str">
        <f>IF(E1650="","0",IF(AND(E1647="EUC",E1648=432), I1651+(203-E1649),IF(E1650=0,0,(E1650+(E1648-E1649)-1))))</f>
        <v>0</v>
      </c>
      <c r="J1652" s="286" t="str">
        <f>IFERROR(IF(OR(E1647="EUC",E1647="SS"),"---",IF(OR(P1646,S1646),"NO 2F Tethers for RPX!",IF(OR(P1648,S1648),"NO 6F Tethers for RPX!","---"))),"---")</f>
        <v>---</v>
      </c>
      <c r="K1652" s="287"/>
      <c r="L1652" s="288"/>
      <c r="M1652" s="286" t="str">
        <f>IF(E1649&gt;60,"Dead Count &gt;60: Consider Downsize","---")</f>
        <v>---</v>
      </c>
      <c r="N1652" s="287"/>
      <c r="O1652" s="287"/>
      <c r="P1652" s="287"/>
      <c r="Q1652" s="287"/>
      <c r="R1652" s="287"/>
      <c r="S1652" s="287"/>
      <c r="T1652" s="287"/>
      <c r="U1652" s="288"/>
      <c r="V1652" s="100"/>
      <c r="W1652" s="54">
        <f>SUM(P1652:U1652)</f>
        <v>0</v>
      </c>
      <c r="X1652" s="54"/>
      <c r="Y1652" s="25"/>
      <c r="Z1652" s="45">
        <v>4</v>
      </c>
      <c r="AA1652" s="46">
        <v>37</v>
      </c>
      <c r="AB1652" s="46">
        <v>48</v>
      </c>
      <c r="AC1652" s="25"/>
      <c r="AD1652" s="25"/>
      <c r="BA1652" s="227"/>
    </row>
    <row r="1653" spans="1:53" ht="15.6" thickTop="1" thickBot="1" x14ac:dyDescent="0.35">
      <c r="A1653" s="88"/>
      <c r="B1653" s="55" t="s">
        <v>265</v>
      </c>
      <c r="C1653" s="56">
        <f>SUM(C1647:C1652)+I1646</f>
        <v>0</v>
      </c>
      <c r="D1653" s="31" t="s">
        <v>266</v>
      </c>
      <c r="E1653" s="101" t="str">
        <f>IF(AS1647="Y","DBL",IF(AS1648="Y","TRPL",IF(AS1649="Y","QUAD","")))</f>
        <v/>
      </c>
      <c r="F1653" s="88"/>
      <c r="G1653" s="192"/>
      <c r="H1653" s="57"/>
      <c r="I1653" s="192"/>
      <c r="J1653" s="286"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7"/>
      <c r="L1653" s="288"/>
      <c r="M1653" s="286" t="str">
        <f>IF(AND(OR(E1647="SS",E1647="RPX",E1647="EUC",E1647="RPX-T"),(OR(C1657="",C1657="Field SPL"))),"Cannot have FlexNap cables without tethers","---")</f>
        <v>---</v>
      </c>
      <c r="N1653" s="287"/>
      <c r="O1653" s="287"/>
      <c r="P1653" s="287"/>
      <c r="Q1653" s="287"/>
      <c r="R1653" s="287"/>
      <c r="S1653" s="287"/>
      <c r="T1653" s="287"/>
      <c r="U1653" s="288"/>
      <c r="V1653" s="25"/>
      <c r="W1653" s="58"/>
      <c r="X1653" s="58"/>
      <c r="Y1653" s="25"/>
      <c r="Z1653" s="45">
        <v>5</v>
      </c>
      <c r="AA1653" s="46">
        <v>49</v>
      </c>
      <c r="AB1653" s="46">
        <v>60</v>
      </c>
      <c r="AC1653" s="25"/>
      <c r="AD1653" s="25"/>
      <c r="BA1653" s="227"/>
    </row>
    <row r="1654" spans="1:53" ht="15.6" thickTop="1" thickBot="1" x14ac:dyDescent="0.35">
      <c r="A1654" s="88"/>
      <c r="B1654" s="59"/>
      <c r="C1654" s="60"/>
      <c r="D1654" s="61"/>
      <c r="E1654" s="62"/>
      <c r="F1654" s="88"/>
      <c r="G1654" s="63"/>
      <c r="H1654" s="64"/>
      <c r="I1654" s="63"/>
      <c r="J1654" s="286" t="str">
        <f>IF(AND(OR(E1647="RPX", E1647="RPX-T", E1647="SS"),E1648=216),"NO 216 For RPX, RPX-T, OR SS CABLE","---")</f>
        <v>---</v>
      </c>
      <c r="K1654" s="287"/>
      <c r="L1654" s="288"/>
      <c r="M1654" s="286" t="str" cm="1">
        <f t="array" ref="M1654">IF(AND(E1647="",OR(C1657:C1681="FST",C1657:C1681="REV T",C1657:C1681="DBL REV",C1657:C1681="TPL REV", C1657:C1681="QD REV")),"Non-FlexNap cables cannot have tethers","---")</f>
        <v>---</v>
      </c>
      <c r="N1654" s="287"/>
      <c r="O1654" s="287"/>
      <c r="P1654" s="287"/>
      <c r="Q1654" s="287"/>
      <c r="R1654" s="287"/>
      <c r="S1654" s="287"/>
      <c r="T1654" s="287"/>
      <c r="U1654" s="288"/>
      <c r="V1654" s="25"/>
      <c r="W1654" s="58"/>
      <c r="X1654" s="58"/>
      <c r="Y1654" s="25"/>
      <c r="Z1654" s="45">
        <v>6</v>
      </c>
      <c r="AA1654" s="65">
        <v>61</v>
      </c>
      <c r="AB1654" s="65">
        <v>72</v>
      </c>
      <c r="AC1654" s="25"/>
      <c r="AD1654" s="25"/>
      <c r="BA1654" s="226"/>
    </row>
    <row r="1655" spans="1:53" ht="15.75" customHeight="1" thickBot="1" x14ac:dyDescent="0.35">
      <c r="A1655" s="88"/>
      <c r="B1655" s="321" t="s">
        <v>267</v>
      </c>
      <c r="C1655" s="293" t="s">
        <v>268</v>
      </c>
      <c r="D1655" s="293" t="s">
        <v>269</v>
      </c>
      <c r="E1655" s="306" t="s">
        <v>270</v>
      </c>
      <c r="F1655" s="293" t="s">
        <v>271</v>
      </c>
      <c r="G1655" s="308" t="s">
        <v>272</v>
      </c>
      <c r="H1655" s="308" t="s">
        <v>273</v>
      </c>
      <c r="I1655" s="308" t="s">
        <v>274</v>
      </c>
      <c r="J1655" s="310" t="s">
        <v>275</v>
      </c>
      <c r="K1655" s="293" t="s">
        <v>276</v>
      </c>
      <c r="L1655" s="280" t="s">
        <v>277</v>
      </c>
      <c r="M1655" s="282" t="s">
        <v>278</v>
      </c>
      <c r="N1655" s="282"/>
      <c r="O1655" s="282"/>
      <c r="P1655" s="282"/>
      <c r="Q1655" s="282"/>
      <c r="R1655" s="282"/>
      <c r="S1655" s="282"/>
      <c r="T1655" s="282"/>
      <c r="U1655" s="283"/>
      <c r="V1655" s="107"/>
      <c r="W1655" s="72"/>
      <c r="X1655" s="72"/>
      <c r="Y1655" s="72"/>
      <c r="Z1655" s="45">
        <v>7</v>
      </c>
      <c r="AA1655" s="65">
        <v>73</v>
      </c>
      <c r="AB1655" s="65">
        <v>84</v>
      </c>
      <c r="AC1655" s="25"/>
      <c r="AD1655" s="25"/>
      <c r="BA1655" s="228"/>
    </row>
    <row r="1656" spans="1:53" ht="15" thickBot="1" x14ac:dyDescent="0.35">
      <c r="A1656" s="88"/>
      <c r="B1656" s="322"/>
      <c r="C1656" s="294"/>
      <c r="D1656" s="294"/>
      <c r="E1656" s="307"/>
      <c r="F1656" s="294"/>
      <c r="G1656" s="309"/>
      <c r="H1656" s="309"/>
      <c r="I1656" s="309"/>
      <c r="J1656" s="311"/>
      <c r="K1656" s="294"/>
      <c r="L1656" s="281"/>
      <c r="M1656" s="284"/>
      <c r="N1656" s="284"/>
      <c r="O1656" s="284"/>
      <c r="P1656" s="284"/>
      <c r="Q1656" s="284"/>
      <c r="R1656" s="284"/>
      <c r="S1656" s="284"/>
      <c r="T1656" s="284"/>
      <c r="U1656" s="285"/>
      <c r="V1656" s="107"/>
      <c r="W1656" s="72"/>
      <c r="X1656" s="72"/>
      <c r="Y1656" s="72"/>
      <c r="Z1656" s="45">
        <v>8</v>
      </c>
      <c r="AA1656" s="46">
        <v>85</v>
      </c>
      <c r="AB1656" s="46">
        <v>96</v>
      </c>
      <c r="AC1656" s="25"/>
      <c r="AD1656" s="25"/>
      <c r="AI1656" s="109" t="s">
        <v>279</v>
      </c>
      <c r="AJ1656" s="109" t="s">
        <v>280</v>
      </c>
      <c r="AK1656" s="109" t="s">
        <v>281</v>
      </c>
      <c r="AL1656" s="109" t="s">
        <v>282</v>
      </c>
      <c r="BA1656" s="228"/>
    </row>
    <row r="1657" spans="1:53" ht="15" thickBot="1" x14ac:dyDescent="0.35">
      <c r="A1657" s="88"/>
      <c r="B1657" s="66" t="s">
        <v>283</v>
      </c>
      <c r="C1657" s="67"/>
      <c r="D1657" s="102"/>
      <c r="E1657" s="32"/>
      <c r="F1657" s="32"/>
      <c r="G1657" s="68" t="s">
        <v>285</v>
      </c>
      <c r="H1657" s="69">
        <f>IF(I1657=0,0,I1657-(E1657-1))</f>
        <v>0</v>
      </c>
      <c r="I1657" s="70">
        <f>IF(E1657=0,0,I1652)</f>
        <v>0</v>
      </c>
      <c r="J1657" s="71" t="s">
        <v>286</v>
      </c>
      <c r="K1657" s="32"/>
      <c r="L1657" s="233"/>
      <c r="M1657" s="278"/>
      <c r="N1657" s="278"/>
      <c r="O1657" s="278"/>
      <c r="P1657" s="278"/>
      <c r="Q1657" s="278"/>
      <c r="R1657" s="278"/>
      <c r="S1657" s="278"/>
      <c r="T1657" s="278"/>
      <c r="U1657" s="27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 thickBot="1" x14ac:dyDescent="0.35">
      <c r="A1658" s="88"/>
      <c r="B1658" s="66" t="s">
        <v>288</v>
      </c>
      <c r="C1658" s="67"/>
      <c r="D1658" s="102"/>
      <c r="E1658" s="32"/>
      <c r="F1658" s="32"/>
      <c r="G1658" s="68" t="s">
        <v>285</v>
      </c>
      <c r="H1658" s="69">
        <f t="shared" ref="H1658:H1681" si="689">IF(E1658=0,0,I1658-(E1658-1))</f>
        <v>0</v>
      </c>
      <c r="I1658" s="70">
        <f t="shared" ref="I1658:I1681" si="690">IF(E1658=0,0,H1657-1)</f>
        <v>0</v>
      </c>
      <c r="J1658" s="73" t="str">
        <f>IF(C1658="","--",IF(AND(C1658&lt;&gt;"FST",C1658&lt;&gt;"TCF",BA1657&lt;&gt;0),BA1657,"--"))</f>
        <v>--</v>
      </c>
      <c r="K1658" s="32"/>
      <c r="L1658" s="233"/>
      <c r="M1658" s="278"/>
      <c r="N1658" s="278"/>
      <c r="O1658" s="278"/>
      <c r="P1658" s="278"/>
      <c r="Q1658" s="278"/>
      <c r="R1658" s="278"/>
      <c r="S1658" s="278"/>
      <c r="T1658" s="278"/>
      <c r="U1658" s="27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 thickBot="1" x14ac:dyDescent="0.35">
      <c r="A1659" s="88"/>
      <c r="B1659" s="74" t="s">
        <v>290</v>
      </c>
      <c r="C1659" s="67"/>
      <c r="D1659" s="102"/>
      <c r="E1659" s="32"/>
      <c r="F1659" s="32"/>
      <c r="G1659" s="75" t="s">
        <v>285</v>
      </c>
      <c r="H1659" s="69">
        <f t="shared" si="689"/>
        <v>0</v>
      </c>
      <c r="I1659" s="70">
        <f t="shared" si="690"/>
        <v>0</v>
      </c>
      <c r="J1659" s="73" t="str">
        <f t="shared" ref="J1659:J1681" si="691">IF(C1659="","--",IF(AND(C1659&lt;&gt;"FST",C1659&lt;&gt;"TCF",BA1658&lt;&gt;0),BA1658,"--"))</f>
        <v>--</v>
      </c>
      <c r="K1659" s="32"/>
      <c r="L1659" s="233"/>
      <c r="M1659" s="278"/>
      <c r="N1659" s="278"/>
      <c r="O1659" s="278"/>
      <c r="P1659" s="278"/>
      <c r="Q1659" s="278"/>
      <c r="R1659" s="278"/>
      <c r="S1659" s="278"/>
      <c r="T1659" s="278"/>
      <c r="U1659" s="27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 thickBot="1" x14ac:dyDescent="0.35">
      <c r="A1660" s="88"/>
      <c r="B1660" s="66" t="s">
        <v>292</v>
      </c>
      <c r="C1660" s="67"/>
      <c r="D1660" s="102"/>
      <c r="E1660" s="32"/>
      <c r="F1660" s="32"/>
      <c r="G1660" s="68" t="s">
        <v>285</v>
      </c>
      <c r="H1660" s="69">
        <f t="shared" si="689"/>
        <v>0</v>
      </c>
      <c r="I1660" s="70">
        <f t="shared" si="690"/>
        <v>0</v>
      </c>
      <c r="J1660" s="73" t="str">
        <f t="shared" si="691"/>
        <v>--</v>
      </c>
      <c r="K1660" s="32"/>
      <c r="L1660" s="233"/>
      <c r="M1660" s="278"/>
      <c r="N1660" s="278"/>
      <c r="O1660" s="278"/>
      <c r="P1660" s="278"/>
      <c r="Q1660" s="278"/>
      <c r="R1660" s="278"/>
      <c r="S1660" s="278"/>
      <c r="T1660" s="278"/>
      <c r="U1660" s="27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 thickBot="1" x14ac:dyDescent="0.35">
      <c r="A1661" s="88"/>
      <c r="B1661" s="66" t="s">
        <v>293</v>
      </c>
      <c r="C1661" s="67"/>
      <c r="D1661" s="102"/>
      <c r="E1661" s="32"/>
      <c r="F1661" s="32"/>
      <c r="G1661" s="68" t="s">
        <v>285</v>
      </c>
      <c r="H1661" s="69">
        <f t="shared" si="689"/>
        <v>0</v>
      </c>
      <c r="I1661" s="70">
        <f t="shared" si="690"/>
        <v>0</v>
      </c>
      <c r="J1661" s="73" t="str">
        <f t="shared" si="691"/>
        <v>--</v>
      </c>
      <c r="K1661" s="32"/>
      <c r="L1661" s="233"/>
      <c r="M1661" s="278"/>
      <c r="N1661" s="278"/>
      <c r="O1661" s="278"/>
      <c r="P1661" s="278"/>
      <c r="Q1661" s="278"/>
      <c r="R1661" s="278"/>
      <c r="S1661" s="278"/>
      <c r="T1661" s="278"/>
      <c r="U1661" s="27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 thickBot="1" x14ac:dyDescent="0.35">
      <c r="A1662" s="88"/>
      <c r="B1662" s="66" t="s">
        <v>294</v>
      </c>
      <c r="C1662" s="67"/>
      <c r="D1662" s="102"/>
      <c r="E1662" s="32"/>
      <c r="F1662" s="32"/>
      <c r="G1662" s="68" t="s">
        <v>285</v>
      </c>
      <c r="H1662" s="69">
        <f t="shared" si="689"/>
        <v>0</v>
      </c>
      <c r="I1662" s="70">
        <f t="shared" si="690"/>
        <v>0</v>
      </c>
      <c r="J1662" s="73" t="str">
        <f t="shared" si="691"/>
        <v>--</v>
      </c>
      <c r="K1662" s="32"/>
      <c r="L1662" s="233"/>
      <c r="M1662" s="278"/>
      <c r="N1662" s="278"/>
      <c r="O1662" s="278"/>
      <c r="P1662" s="278"/>
      <c r="Q1662" s="278"/>
      <c r="R1662" s="278"/>
      <c r="S1662" s="278"/>
      <c r="T1662" s="278"/>
      <c r="U1662" s="27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 thickBot="1" x14ac:dyDescent="0.35">
      <c r="A1663" s="88"/>
      <c r="B1663" s="66" t="s">
        <v>295</v>
      </c>
      <c r="C1663" s="67"/>
      <c r="D1663" s="102"/>
      <c r="E1663" s="32"/>
      <c r="F1663" s="32"/>
      <c r="G1663" s="68" t="s">
        <v>285</v>
      </c>
      <c r="H1663" s="69">
        <f t="shared" si="689"/>
        <v>0</v>
      </c>
      <c r="I1663" s="70">
        <f t="shared" si="690"/>
        <v>0</v>
      </c>
      <c r="J1663" s="73" t="str">
        <f t="shared" si="691"/>
        <v>--</v>
      </c>
      <c r="K1663" s="32"/>
      <c r="L1663" s="233"/>
      <c r="M1663" s="278"/>
      <c r="N1663" s="278"/>
      <c r="O1663" s="278"/>
      <c r="P1663" s="278"/>
      <c r="Q1663" s="278"/>
      <c r="R1663" s="278"/>
      <c r="S1663" s="278"/>
      <c r="T1663" s="278"/>
      <c r="U1663" s="27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 thickBot="1" x14ac:dyDescent="0.35">
      <c r="A1664" s="88"/>
      <c r="B1664" s="66" t="s">
        <v>296</v>
      </c>
      <c r="C1664" s="67"/>
      <c r="D1664" s="102"/>
      <c r="E1664" s="32"/>
      <c r="F1664" s="32"/>
      <c r="G1664" s="68" t="s">
        <v>285</v>
      </c>
      <c r="H1664" s="69">
        <f t="shared" si="689"/>
        <v>0</v>
      </c>
      <c r="I1664" s="70">
        <f t="shared" si="690"/>
        <v>0</v>
      </c>
      <c r="J1664" s="73" t="str">
        <f t="shared" si="691"/>
        <v>--</v>
      </c>
      <c r="K1664" s="32"/>
      <c r="L1664" s="233"/>
      <c r="M1664" s="278"/>
      <c r="N1664" s="278"/>
      <c r="O1664" s="278"/>
      <c r="P1664" s="278"/>
      <c r="Q1664" s="278"/>
      <c r="R1664" s="278"/>
      <c r="S1664" s="278"/>
      <c r="T1664" s="278"/>
      <c r="U1664" s="27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 thickBot="1" x14ac:dyDescent="0.35">
      <c r="A1665" s="88"/>
      <c r="B1665" s="66" t="s">
        <v>297</v>
      </c>
      <c r="C1665" s="67"/>
      <c r="D1665" s="102"/>
      <c r="E1665" s="32"/>
      <c r="F1665" s="32"/>
      <c r="G1665" s="68" t="s">
        <v>285</v>
      </c>
      <c r="H1665" s="69">
        <f t="shared" si="689"/>
        <v>0</v>
      </c>
      <c r="I1665" s="70">
        <f t="shared" si="690"/>
        <v>0</v>
      </c>
      <c r="J1665" s="73" t="str">
        <f t="shared" si="691"/>
        <v>--</v>
      </c>
      <c r="K1665" s="32"/>
      <c r="L1665" s="233"/>
      <c r="M1665" s="278"/>
      <c r="N1665" s="278"/>
      <c r="O1665" s="278"/>
      <c r="P1665" s="278"/>
      <c r="Q1665" s="278"/>
      <c r="R1665" s="278"/>
      <c r="S1665" s="278"/>
      <c r="T1665" s="278"/>
      <c r="U1665" s="27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 thickBot="1" x14ac:dyDescent="0.35">
      <c r="A1666" s="88"/>
      <c r="B1666" s="66" t="s">
        <v>298</v>
      </c>
      <c r="C1666" s="67"/>
      <c r="D1666" s="102"/>
      <c r="E1666" s="32"/>
      <c r="F1666" s="32"/>
      <c r="G1666" s="68" t="s">
        <v>285</v>
      </c>
      <c r="H1666" s="69">
        <f t="shared" si="689"/>
        <v>0</v>
      </c>
      <c r="I1666" s="70">
        <f t="shared" si="690"/>
        <v>0</v>
      </c>
      <c r="J1666" s="73" t="str">
        <f t="shared" si="691"/>
        <v>--</v>
      </c>
      <c r="K1666" s="32"/>
      <c r="L1666" s="233"/>
      <c r="M1666" s="278"/>
      <c r="N1666" s="278"/>
      <c r="O1666" s="278"/>
      <c r="P1666" s="278"/>
      <c r="Q1666" s="278"/>
      <c r="R1666" s="278"/>
      <c r="S1666" s="278"/>
      <c r="T1666" s="278"/>
      <c r="U1666" s="27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 thickBot="1" x14ac:dyDescent="0.35">
      <c r="A1667" s="88"/>
      <c r="B1667" s="66" t="s">
        <v>299</v>
      </c>
      <c r="C1667" s="67"/>
      <c r="D1667" s="102"/>
      <c r="E1667" s="32"/>
      <c r="F1667" s="32"/>
      <c r="G1667" s="68" t="s">
        <v>285</v>
      </c>
      <c r="H1667" s="69">
        <f t="shared" si="689"/>
        <v>0</v>
      </c>
      <c r="I1667" s="70">
        <f t="shared" si="690"/>
        <v>0</v>
      </c>
      <c r="J1667" s="73" t="str">
        <f t="shared" si="691"/>
        <v>--</v>
      </c>
      <c r="K1667" s="32"/>
      <c r="L1667" s="233"/>
      <c r="M1667" s="278"/>
      <c r="N1667" s="278"/>
      <c r="O1667" s="278"/>
      <c r="P1667" s="278"/>
      <c r="Q1667" s="278"/>
      <c r="R1667" s="278"/>
      <c r="S1667" s="278"/>
      <c r="T1667" s="278"/>
      <c r="U1667" s="27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 thickBot="1" x14ac:dyDescent="0.35">
      <c r="A1668" s="88"/>
      <c r="B1668" s="66" t="s">
        <v>300</v>
      </c>
      <c r="C1668" s="67"/>
      <c r="D1668" s="102"/>
      <c r="E1668" s="32"/>
      <c r="F1668" s="32"/>
      <c r="G1668" s="68" t="s">
        <v>285</v>
      </c>
      <c r="H1668" s="69">
        <f t="shared" si="689"/>
        <v>0</v>
      </c>
      <c r="I1668" s="70">
        <f t="shared" si="690"/>
        <v>0</v>
      </c>
      <c r="J1668" s="73" t="str">
        <f t="shared" si="691"/>
        <v>--</v>
      </c>
      <c r="K1668" s="32"/>
      <c r="L1668" s="233"/>
      <c r="M1668" s="278"/>
      <c r="N1668" s="278"/>
      <c r="O1668" s="278"/>
      <c r="P1668" s="278"/>
      <c r="Q1668" s="278"/>
      <c r="R1668" s="278"/>
      <c r="S1668" s="278"/>
      <c r="T1668" s="278"/>
      <c r="U1668" s="27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 thickBot="1" x14ac:dyDescent="0.35">
      <c r="A1669" s="88"/>
      <c r="B1669" s="66" t="s">
        <v>301</v>
      </c>
      <c r="C1669" s="67"/>
      <c r="D1669" s="102"/>
      <c r="E1669" s="32"/>
      <c r="F1669" s="32"/>
      <c r="G1669" s="68" t="s">
        <v>285</v>
      </c>
      <c r="H1669" s="69">
        <f t="shared" si="689"/>
        <v>0</v>
      </c>
      <c r="I1669" s="70">
        <f t="shared" si="690"/>
        <v>0</v>
      </c>
      <c r="J1669" s="73" t="str">
        <f t="shared" si="691"/>
        <v>--</v>
      </c>
      <c r="K1669" s="32"/>
      <c r="L1669" s="233"/>
      <c r="M1669" s="278"/>
      <c r="N1669" s="278"/>
      <c r="O1669" s="278"/>
      <c r="P1669" s="278"/>
      <c r="Q1669" s="278"/>
      <c r="R1669" s="278"/>
      <c r="S1669" s="278"/>
      <c r="T1669" s="278"/>
      <c r="U1669" s="27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 thickBot="1" x14ac:dyDescent="0.35">
      <c r="A1670" s="88"/>
      <c r="B1670" s="66" t="s">
        <v>302</v>
      </c>
      <c r="C1670" s="67"/>
      <c r="D1670" s="102"/>
      <c r="E1670" s="32"/>
      <c r="F1670" s="32"/>
      <c r="G1670" s="68" t="s">
        <v>285</v>
      </c>
      <c r="H1670" s="69">
        <f t="shared" si="689"/>
        <v>0</v>
      </c>
      <c r="I1670" s="70">
        <f t="shared" si="690"/>
        <v>0</v>
      </c>
      <c r="J1670" s="73" t="str">
        <f t="shared" si="691"/>
        <v>--</v>
      </c>
      <c r="K1670" s="32"/>
      <c r="L1670" s="233"/>
      <c r="M1670" s="278"/>
      <c r="N1670" s="278"/>
      <c r="O1670" s="278"/>
      <c r="P1670" s="278"/>
      <c r="Q1670" s="278"/>
      <c r="R1670" s="278"/>
      <c r="S1670" s="278"/>
      <c r="T1670" s="278"/>
      <c r="U1670" s="27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 thickBot="1" x14ac:dyDescent="0.35">
      <c r="A1671" s="88"/>
      <c r="B1671" s="66" t="s">
        <v>303</v>
      </c>
      <c r="C1671" s="67"/>
      <c r="D1671" s="102"/>
      <c r="E1671" s="32"/>
      <c r="F1671" s="32"/>
      <c r="G1671" s="68" t="s">
        <v>285</v>
      </c>
      <c r="H1671" s="69">
        <f t="shared" si="689"/>
        <v>0</v>
      </c>
      <c r="I1671" s="70">
        <f t="shared" si="690"/>
        <v>0</v>
      </c>
      <c r="J1671" s="73" t="str">
        <f t="shared" si="691"/>
        <v>--</v>
      </c>
      <c r="K1671" s="32"/>
      <c r="L1671" s="233"/>
      <c r="M1671" s="278"/>
      <c r="N1671" s="278"/>
      <c r="O1671" s="278"/>
      <c r="P1671" s="278"/>
      <c r="Q1671" s="278"/>
      <c r="R1671" s="278"/>
      <c r="S1671" s="278"/>
      <c r="T1671" s="278"/>
      <c r="U1671" s="27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 thickBot="1" x14ac:dyDescent="0.35">
      <c r="A1672" s="88"/>
      <c r="B1672" s="66" t="s">
        <v>304</v>
      </c>
      <c r="C1672" s="67"/>
      <c r="D1672" s="102"/>
      <c r="E1672" s="32"/>
      <c r="F1672" s="32"/>
      <c r="G1672" s="68" t="s">
        <v>285</v>
      </c>
      <c r="H1672" s="69">
        <f t="shared" si="689"/>
        <v>0</v>
      </c>
      <c r="I1672" s="70">
        <f t="shared" si="690"/>
        <v>0</v>
      </c>
      <c r="J1672" s="73" t="str">
        <f t="shared" si="691"/>
        <v>--</v>
      </c>
      <c r="K1672" s="32"/>
      <c r="L1672" s="233"/>
      <c r="M1672" s="278"/>
      <c r="N1672" s="278"/>
      <c r="O1672" s="278"/>
      <c r="P1672" s="278"/>
      <c r="Q1672" s="278"/>
      <c r="R1672" s="278"/>
      <c r="S1672" s="278"/>
      <c r="T1672" s="278"/>
      <c r="U1672" s="27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 thickBot="1" x14ac:dyDescent="0.35">
      <c r="A1673" s="88"/>
      <c r="B1673" s="66" t="s">
        <v>305</v>
      </c>
      <c r="C1673" s="67"/>
      <c r="D1673" s="102"/>
      <c r="E1673" s="32"/>
      <c r="F1673" s="32"/>
      <c r="G1673" s="68" t="s">
        <v>285</v>
      </c>
      <c r="H1673" s="69">
        <f t="shared" si="689"/>
        <v>0</v>
      </c>
      <c r="I1673" s="70">
        <f t="shared" si="690"/>
        <v>0</v>
      </c>
      <c r="J1673" s="73" t="str">
        <f t="shared" si="691"/>
        <v>--</v>
      </c>
      <c r="K1673" s="32"/>
      <c r="L1673" s="233"/>
      <c r="M1673" s="278"/>
      <c r="N1673" s="278"/>
      <c r="O1673" s="278"/>
      <c r="P1673" s="278"/>
      <c r="Q1673" s="278"/>
      <c r="R1673" s="278"/>
      <c r="S1673" s="278"/>
      <c r="T1673" s="278"/>
      <c r="U1673" s="27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 thickBot="1" x14ac:dyDescent="0.35">
      <c r="A1674" s="88"/>
      <c r="B1674" s="66" t="s">
        <v>306</v>
      </c>
      <c r="C1674" s="67"/>
      <c r="D1674" s="102"/>
      <c r="E1674" s="32"/>
      <c r="F1674" s="32"/>
      <c r="G1674" s="68" t="s">
        <v>285</v>
      </c>
      <c r="H1674" s="69">
        <f t="shared" si="689"/>
        <v>0</v>
      </c>
      <c r="I1674" s="70">
        <f t="shared" si="690"/>
        <v>0</v>
      </c>
      <c r="J1674" s="73" t="str">
        <f t="shared" si="691"/>
        <v>--</v>
      </c>
      <c r="K1674" s="32"/>
      <c r="L1674" s="233"/>
      <c r="M1674" s="278"/>
      <c r="N1674" s="278"/>
      <c r="O1674" s="278"/>
      <c r="P1674" s="278"/>
      <c r="Q1674" s="278"/>
      <c r="R1674" s="278"/>
      <c r="S1674" s="278"/>
      <c r="T1674" s="278"/>
      <c r="U1674" s="27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 thickBot="1" x14ac:dyDescent="0.35">
      <c r="A1675" s="88"/>
      <c r="B1675" s="66" t="s">
        <v>307</v>
      </c>
      <c r="C1675" s="67"/>
      <c r="D1675" s="102"/>
      <c r="E1675" s="32"/>
      <c r="F1675" s="32"/>
      <c r="G1675" s="68" t="s">
        <v>285</v>
      </c>
      <c r="H1675" s="69">
        <f t="shared" si="689"/>
        <v>0</v>
      </c>
      <c r="I1675" s="70">
        <f t="shared" si="690"/>
        <v>0</v>
      </c>
      <c r="J1675" s="73" t="str">
        <f t="shared" si="691"/>
        <v>--</v>
      </c>
      <c r="K1675" s="32"/>
      <c r="L1675" s="233"/>
      <c r="M1675" s="278"/>
      <c r="N1675" s="278"/>
      <c r="O1675" s="278"/>
      <c r="P1675" s="278"/>
      <c r="Q1675" s="278"/>
      <c r="R1675" s="278"/>
      <c r="S1675" s="278"/>
      <c r="T1675" s="278"/>
      <c r="U1675" s="27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 thickBot="1" x14ac:dyDescent="0.35">
      <c r="A1676" s="88"/>
      <c r="B1676" s="66" t="s">
        <v>308</v>
      </c>
      <c r="C1676" s="67"/>
      <c r="D1676" s="102"/>
      <c r="E1676" s="32"/>
      <c r="F1676" s="32"/>
      <c r="G1676" s="68" t="s">
        <v>285</v>
      </c>
      <c r="H1676" s="69">
        <f t="shared" si="689"/>
        <v>0</v>
      </c>
      <c r="I1676" s="70">
        <f t="shared" si="690"/>
        <v>0</v>
      </c>
      <c r="J1676" s="73" t="str">
        <f t="shared" si="691"/>
        <v>--</v>
      </c>
      <c r="K1676" s="32"/>
      <c r="L1676" s="233"/>
      <c r="M1676" s="278"/>
      <c r="N1676" s="278"/>
      <c r="O1676" s="278"/>
      <c r="P1676" s="278"/>
      <c r="Q1676" s="278"/>
      <c r="R1676" s="278"/>
      <c r="S1676" s="278"/>
      <c r="T1676" s="278"/>
      <c r="U1676" s="27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 thickBot="1" x14ac:dyDescent="0.35">
      <c r="A1677" s="88"/>
      <c r="B1677" s="66" t="s">
        <v>309</v>
      </c>
      <c r="C1677" s="67"/>
      <c r="D1677" s="102"/>
      <c r="E1677" s="32"/>
      <c r="F1677" s="32"/>
      <c r="G1677" s="68" t="s">
        <v>285</v>
      </c>
      <c r="H1677" s="69">
        <f t="shared" si="689"/>
        <v>0</v>
      </c>
      <c r="I1677" s="70">
        <f t="shared" si="690"/>
        <v>0</v>
      </c>
      <c r="J1677" s="73" t="str">
        <f t="shared" si="691"/>
        <v>--</v>
      </c>
      <c r="K1677" s="32"/>
      <c r="L1677" s="233"/>
      <c r="M1677" s="278"/>
      <c r="N1677" s="278"/>
      <c r="O1677" s="278"/>
      <c r="P1677" s="278"/>
      <c r="Q1677" s="278"/>
      <c r="R1677" s="278"/>
      <c r="S1677" s="278"/>
      <c r="T1677" s="278"/>
      <c r="U1677" s="27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 thickBot="1" x14ac:dyDescent="0.35">
      <c r="A1678" s="88"/>
      <c r="B1678" s="66" t="s">
        <v>310</v>
      </c>
      <c r="C1678" s="67"/>
      <c r="D1678" s="102"/>
      <c r="E1678" s="32"/>
      <c r="F1678" s="32"/>
      <c r="G1678" s="68" t="s">
        <v>285</v>
      </c>
      <c r="H1678" s="69">
        <f t="shared" si="689"/>
        <v>0</v>
      </c>
      <c r="I1678" s="70">
        <f t="shared" si="690"/>
        <v>0</v>
      </c>
      <c r="J1678" s="73" t="str">
        <f t="shared" si="691"/>
        <v>--</v>
      </c>
      <c r="K1678" s="32"/>
      <c r="L1678" s="233"/>
      <c r="M1678" s="278"/>
      <c r="N1678" s="278"/>
      <c r="O1678" s="278"/>
      <c r="P1678" s="278"/>
      <c r="Q1678" s="278"/>
      <c r="R1678" s="278"/>
      <c r="S1678" s="278"/>
      <c r="T1678" s="278"/>
      <c r="U1678" s="27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 thickBot="1" x14ac:dyDescent="0.35">
      <c r="A1679" s="88"/>
      <c r="B1679" s="66" t="s">
        <v>311</v>
      </c>
      <c r="C1679" s="67"/>
      <c r="D1679" s="102"/>
      <c r="E1679" s="32"/>
      <c r="F1679" s="32"/>
      <c r="G1679" s="68" t="s">
        <v>285</v>
      </c>
      <c r="H1679" s="69">
        <f t="shared" si="689"/>
        <v>0</v>
      </c>
      <c r="I1679" s="70">
        <f t="shared" si="690"/>
        <v>0</v>
      </c>
      <c r="J1679" s="73" t="str">
        <f t="shared" si="691"/>
        <v>--</v>
      </c>
      <c r="K1679" s="32"/>
      <c r="L1679" s="233"/>
      <c r="M1679" s="278"/>
      <c r="N1679" s="278"/>
      <c r="O1679" s="278"/>
      <c r="P1679" s="278"/>
      <c r="Q1679" s="278"/>
      <c r="R1679" s="278"/>
      <c r="S1679" s="278"/>
      <c r="T1679" s="278"/>
      <c r="U1679" s="27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 thickBot="1" x14ac:dyDescent="0.35">
      <c r="A1680" s="88"/>
      <c r="B1680" s="66" t="s">
        <v>312</v>
      </c>
      <c r="C1680" s="67"/>
      <c r="D1680" s="102"/>
      <c r="E1680" s="32"/>
      <c r="F1680" s="32"/>
      <c r="G1680" s="68" t="s">
        <v>285</v>
      </c>
      <c r="H1680" s="69">
        <f t="shared" si="689"/>
        <v>0</v>
      </c>
      <c r="I1680" s="70">
        <f t="shared" si="690"/>
        <v>0</v>
      </c>
      <c r="J1680" s="73" t="str">
        <f t="shared" si="691"/>
        <v>--</v>
      </c>
      <c r="K1680" s="32"/>
      <c r="L1680" s="233"/>
      <c r="M1680" s="278"/>
      <c r="N1680" s="278"/>
      <c r="O1680" s="278"/>
      <c r="P1680" s="278"/>
      <c r="Q1680" s="278"/>
      <c r="R1680" s="278"/>
      <c r="S1680" s="278"/>
      <c r="T1680" s="278"/>
      <c r="U1680" s="27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 thickBot="1" x14ac:dyDescent="0.35">
      <c r="A1681" s="88"/>
      <c r="B1681" s="66" t="s">
        <v>313</v>
      </c>
      <c r="C1681" s="67"/>
      <c r="D1681" s="102"/>
      <c r="E1681" s="32"/>
      <c r="F1681" s="32"/>
      <c r="G1681" s="68" t="s">
        <v>285</v>
      </c>
      <c r="H1681" s="69">
        <f t="shared" si="689"/>
        <v>0</v>
      </c>
      <c r="I1681" s="70">
        <f t="shared" si="690"/>
        <v>0</v>
      </c>
      <c r="J1681" s="73" t="str">
        <f t="shared" si="691"/>
        <v>--</v>
      </c>
      <c r="K1681" s="32"/>
      <c r="L1681" s="234"/>
      <c r="M1681" s="278"/>
      <c r="N1681" s="278"/>
      <c r="O1681" s="278"/>
      <c r="P1681" s="278"/>
      <c r="Q1681" s="278"/>
      <c r="R1681" s="278"/>
      <c r="S1681" s="278"/>
      <c r="T1681" s="278"/>
      <c r="U1681" s="27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2" thickBot="1" x14ac:dyDescent="0.35">
      <c r="A1682" s="88"/>
      <c r="B1682" s="319" t="s">
        <v>456</v>
      </c>
      <c r="C1682" s="320"/>
      <c r="D1682" s="79"/>
      <c r="E1682" s="80"/>
      <c r="F1682" s="80"/>
      <c r="G1682" s="81"/>
      <c r="H1682" s="192"/>
      <c r="I1682" s="192"/>
      <c r="J1682" s="192"/>
      <c r="K1682" s="82"/>
      <c r="L1682" s="319" t="s">
        <v>319</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2" thickBot="1" x14ac:dyDescent="0.35">
      <c r="A1683" s="88"/>
      <c r="B1683" s="319" t="s">
        <v>320</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3">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 thickBot="1" x14ac:dyDescent="0.35">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5">
      <c r="A1686" s="88"/>
      <c r="B1686" s="85" t="s">
        <v>457</v>
      </c>
      <c r="C1686" s="25"/>
      <c r="D1686" s="25"/>
      <c r="E1686" s="25"/>
      <c r="F1686" s="88"/>
      <c r="G1686" s="25"/>
      <c r="H1686" s="25"/>
      <c r="I1686" s="87"/>
      <c r="J1686" s="26"/>
      <c r="K1686" s="25"/>
      <c r="L1686" s="25"/>
      <c r="M1686" s="196" t="s">
        <v>217</v>
      </c>
      <c r="N1686" s="196" t="s">
        <v>218</v>
      </c>
      <c r="O1686" s="196" t="s">
        <v>219</v>
      </c>
      <c r="P1686" s="196" t="s">
        <v>220</v>
      </c>
      <c r="Q1686" s="196" t="s">
        <v>221</v>
      </c>
      <c r="R1686" s="196" t="s">
        <v>222</v>
      </c>
      <c r="S1686" s="196" t="s">
        <v>223</v>
      </c>
      <c r="T1686" s="196" t="s">
        <v>224</v>
      </c>
      <c r="U1686" s="196" t="s">
        <v>225</v>
      </c>
      <c r="V1686" s="196" t="s">
        <v>226</v>
      </c>
      <c r="W1686" s="113" t="s">
        <v>227</v>
      </c>
      <c r="X1686" s="196" t="s">
        <v>228</v>
      </c>
      <c r="Y1686" s="25"/>
      <c r="Z1686" s="25"/>
      <c r="AA1686" s="25"/>
      <c r="AB1686" s="25"/>
      <c r="AC1686" s="25"/>
      <c r="AD1686" s="25"/>
      <c r="BA1686" s="226"/>
    </row>
    <row r="1687" spans="1:53" ht="15.6" thickTop="1" thickBot="1" x14ac:dyDescent="0.35">
      <c r="A1687" s="88"/>
      <c r="B1687" s="312" t="s">
        <v>229</v>
      </c>
      <c r="C1687" s="313"/>
      <c r="D1687" s="314" t="s">
        <v>230</v>
      </c>
      <c r="E1687" s="305"/>
      <c r="F1687" s="88"/>
      <c r="G1687" s="315" t="s">
        <v>231</v>
      </c>
      <c r="H1687" s="316"/>
      <c r="I1687" s="28">
        <f>SUM(E1698:E1722)</f>
        <v>0</v>
      </c>
      <c r="J1687" s="317" t="s">
        <v>232</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233</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234</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5">
      <c r="A1688" s="88"/>
      <c r="B1688" s="29" t="s">
        <v>235</v>
      </c>
      <c r="C1688" s="30">
        <v>0</v>
      </c>
      <c r="D1688" s="31" t="s">
        <v>236</v>
      </c>
      <c r="E1688" s="66" t="str">
        <f>TEXT(IF('Cable Calculator'!HA7="","",'Cable Calculator'!HA7),)</f>
        <v/>
      </c>
      <c r="F1688" s="88"/>
      <c r="G1688" s="304" t="s">
        <v>237</v>
      </c>
      <c r="H1688" s="305"/>
      <c r="I1688" s="33">
        <f>E1689-I1687</f>
        <v>0</v>
      </c>
      <c r="J1688" s="289" t="s">
        <v>238</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239</v>
      </c>
      <c r="AA1688" s="300" t="s">
        <v>240</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241</v>
      </c>
      <c r="AU1688" s="109">
        <f>COUNTIFS($E1688,"SS",$AS1688,"Y")</f>
        <v>0</v>
      </c>
      <c r="AV1688" s="111">
        <f>COUNTIFS($E1688,"RPX",$AS1688,"Y")</f>
        <v>0</v>
      </c>
      <c r="AW1688" s="111">
        <f>COUNTIFS($E1688,"EUC",$AS1688,"Y")</f>
        <v>0</v>
      </c>
      <c r="AX1688" s="109">
        <f>COUNTIFS($E1688,"RPX-T",$AS1688,"Y")</f>
        <v>0</v>
      </c>
      <c r="BA1688" s="227"/>
    </row>
    <row r="1689" spans="1:53" ht="15.6" thickTop="1" thickBot="1" x14ac:dyDescent="0.35">
      <c r="A1689" s="88"/>
      <c r="B1689" s="36" t="s">
        <v>242</v>
      </c>
      <c r="C1689" s="37">
        <v>0</v>
      </c>
      <c r="D1689" s="38" t="s">
        <v>243</v>
      </c>
      <c r="E1689" s="32"/>
      <c r="F1689" s="88"/>
      <c r="G1689" s="291" t="s">
        <v>244</v>
      </c>
      <c r="H1689" s="292"/>
      <c r="I1689" s="35">
        <f>IF(E1689=0,0,12-(MOD(I1687,12)))</f>
        <v>0</v>
      </c>
      <c r="J1689" s="289" t="s">
        <v>245</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246</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5">
      <c r="A1690" s="88"/>
      <c r="B1690" s="40" t="s">
        <v>247</v>
      </c>
      <c r="C1690" s="30">
        <v>0</v>
      </c>
      <c r="D1690" s="41" t="s">
        <v>248</v>
      </c>
      <c r="E1690" s="42"/>
      <c r="F1690" s="88"/>
      <c r="G1690" s="321" t="s">
        <v>249</v>
      </c>
      <c r="H1690" s="43" t="s">
        <v>250</v>
      </c>
      <c r="I1690" s="35">
        <f>IF(E1690&lt;&gt;0,1,0)</f>
        <v>0</v>
      </c>
      <c r="J1690" s="291" t="s">
        <v>251</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252</v>
      </c>
      <c r="AU1690" s="109">
        <f>COUNTIFS($E1688,"SS",$AS1690,"Y")</f>
        <v>0</v>
      </c>
      <c r="AV1690" s="108">
        <f>COUNTIFS($E1688,"RPX",$AS1690,"Y")</f>
        <v>0</v>
      </c>
      <c r="AW1690" s="108">
        <f>COUNTIFS($E1688,"EUC",$AS1690,"Y")</f>
        <v>0</v>
      </c>
      <c r="AX1690" s="109">
        <f>COUNTIFS($E1688,"RPX-T",$AS1690,"Y")</f>
        <v>0</v>
      </c>
      <c r="BA1690" s="227"/>
    </row>
    <row r="1691" spans="1:53" ht="15.6" thickTop="1" thickBot="1" x14ac:dyDescent="0.35">
      <c r="A1691" s="88"/>
      <c r="B1691" s="29" t="s">
        <v>253</v>
      </c>
      <c r="C1691" s="37">
        <v>0</v>
      </c>
      <c r="D1691" s="41" t="s">
        <v>254</v>
      </c>
      <c r="E1691" s="42"/>
      <c r="F1691" s="88"/>
      <c r="G1691" s="322"/>
      <c r="H1691" s="47" t="s">
        <v>255</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5">
      <c r="A1692" s="88"/>
      <c r="B1692" s="36" t="s">
        <v>256</v>
      </c>
      <c r="C1692" s="30">
        <v>0</v>
      </c>
      <c r="D1692" s="49" t="s">
        <v>257</v>
      </c>
      <c r="E1692" s="50">
        <f>E1689/12</f>
        <v>0</v>
      </c>
      <c r="F1692" s="88"/>
      <c r="G1692" s="321" t="s">
        <v>258</v>
      </c>
      <c r="H1692" s="51" t="s">
        <v>259</v>
      </c>
      <c r="I1692" s="112">
        <f>E1691</f>
        <v>0</v>
      </c>
      <c r="J1692" s="323" t="s">
        <v>260</v>
      </c>
      <c r="K1692" s="324"/>
      <c r="L1692" s="325"/>
      <c r="M1692" s="52" t="s">
        <v>261</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5.6" thickTop="1" thickBot="1" x14ac:dyDescent="0.35">
      <c r="A1693" s="88"/>
      <c r="B1693" s="36" t="s">
        <v>262</v>
      </c>
      <c r="C1693" s="30">
        <v>0</v>
      </c>
      <c r="D1693" s="31" t="s">
        <v>263</v>
      </c>
      <c r="E1693" s="101" t="str">
        <f>IF('Cable Calculator'!HA5="","",'Cable Calculator'!HA5)</f>
        <v/>
      </c>
      <c r="F1693" s="88"/>
      <c r="G1693" s="322"/>
      <c r="H1693" s="47" t="s">
        <v>264</v>
      </c>
      <c r="I1693" s="35" t="str">
        <f>IF(E1691="","0",IF(AND(E1688="EUC",E1689=432), I1692+(203-E1690),IF(E1691=0,0,(E1691+(E1689-E1690)-1))))</f>
        <v>0</v>
      </c>
      <c r="J1693" s="286" t="str">
        <f>IFERROR(IF(OR(E1688="EUC",E1688="SS"),"---",IF(OR(P1687,S1687),"NO 2F Tethers for RPX!",IF(OR(P1689,S1689),"NO 6F Tethers for RPX!","---"))),"---")</f>
        <v>---</v>
      </c>
      <c r="K1693" s="287"/>
      <c r="L1693" s="288"/>
      <c r="M1693" s="286" t="str">
        <f>IF(E1690&gt;60,"Dead Count &gt;60: Consider Downsize","---")</f>
        <v>---</v>
      </c>
      <c r="N1693" s="287"/>
      <c r="O1693" s="287"/>
      <c r="P1693" s="287"/>
      <c r="Q1693" s="287"/>
      <c r="R1693" s="287"/>
      <c r="S1693" s="287"/>
      <c r="T1693" s="287"/>
      <c r="U1693" s="288"/>
      <c r="V1693" s="100"/>
      <c r="W1693" s="54">
        <f>SUM(P1693:U1693)</f>
        <v>0</v>
      </c>
      <c r="X1693" s="54"/>
      <c r="Y1693" s="25"/>
      <c r="Z1693" s="45">
        <v>4</v>
      </c>
      <c r="AA1693" s="46">
        <v>37</v>
      </c>
      <c r="AB1693" s="46">
        <v>48</v>
      </c>
      <c r="AC1693" s="25"/>
      <c r="AD1693" s="25"/>
      <c r="BA1693" s="227"/>
    </row>
    <row r="1694" spans="1:53" ht="15.6" thickTop="1" thickBot="1" x14ac:dyDescent="0.35">
      <c r="A1694" s="88"/>
      <c r="B1694" s="55" t="s">
        <v>265</v>
      </c>
      <c r="C1694" s="56">
        <f>SUM(C1688:C1693)+I1687</f>
        <v>0</v>
      </c>
      <c r="D1694" s="31" t="s">
        <v>266</v>
      </c>
      <c r="E1694" s="101" t="str">
        <f>IF(AS1688="Y","DBL",IF(AS1689="Y","TRPL",IF(AS1690="Y","QUAD","")))</f>
        <v/>
      </c>
      <c r="F1694" s="88"/>
      <c r="G1694" s="192"/>
      <c r="H1694" s="57"/>
      <c r="I1694" s="192"/>
      <c r="J1694" s="286"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7"/>
      <c r="L1694" s="288"/>
      <c r="M1694" s="286" t="str">
        <f>IF(AND(OR(E1688="SS",E1688="RPX",E1688="EUC",E1688="RPX-T"),(OR(C1698="",C1698="Field SPL"))),"Cannot have FlexNap cables without tethers","---")</f>
        <v>---</v>
      </c>
      <c r="N1694" s="287"/>
      <c r="O1694" s="287"/>
      <c r="P1694" s="287"/>
      <c r="Q1694" s="287"/>
      <c r="R1694" s="287"/>
      <c r="S1694" s="287"/>
      <c r="T1694" s="287"/>
      <c r="U1694" s="288"/>
      <c r="V1694" s="25"/>
      <c r="W1694" s="58"/>
      <c r="X1694" s="58"/>
      <c r="Y1694" s="25"/>
      <c r="Z1694" s="45">
        <v>5</v>
      </c>
      <c r="AA1694" s="46">
        <v>49</v>
      </c>
      <c r="AB1694" s="46">
        <v>60</v>
      </c>
      <c r="AC1694" s="25"/>
      <c r="AD1694" s="25"/>
      <c r="BA1694" s="227"/>
    </row>
    <row r="1695" spans="1:53" ht="15.6" thickTop="1" thickBot="1" x14ac:dyDescent="0.35">
      <c r="A1695" s="88"/>
      <c r="B1695" s="59"/>
      <c r="C1695" s="60"/>
      <c r="D1695" s="61"/>
      <c r="E1695" s="62"/>
      <c r="F1695" s="88"/>
      <c r="G1695" s="63"/>
      <c r="H1695" s="64"/>
      <c r="I1695" s="63"/>
      <c r="J1695" s="286" t="str">
        <f>IF(AND(OR(E1688="RPX", E1688="RPX-T", E1688="SS"),E1689=216),"NO 216 For RPX, RPX-T, OR SS CABLE","---")</f>
        <v>---</v>
      </c>
      <c r="K1695" s="287"/>
      <c r="L1695" s="288"/>
      <c r="M1695" s="286" t="str" cm="1">
        <f t="array" ref="M1695">IF(AND(E1688="",OR(C1698:C1722="FST",C1698:C1722="REV T",C1698:C1722="DBL REV",C1698:C1722="TPL REV", C1698:C1722="QD REV")),"Non-FlexNap cables cannot have tethers","---")</f>
        <v>---</v>
      </c>
      <c r="N1695" s="287"/>
      <c r="O1695" s="287"/>
      <c r="P1695" s="287"/>
      <c r="Q1695" s="287"/>
      <c r="R1695" s="287"/>
      <c r="S1695" s="287"/>
      <c r="T1695" s="287"/>
      <c r="U1695" s="288"/>
      <c r="V1695" s="25"/>
      <c r="W1695" s="58"/>
      <c r="X1695" s="58"/>
      <c r="Y1695" s="25"/>
      <c r="Z1695" s="45">
        <v>6</v>
      </c>
      <c r="AA1695" s="65">
        <v>61</v>
      </c>
      <c r="AB1695" s="65">
        <v>72</v>
      </c>
      <c r="AC1695" s="25"/>
      <c r="AD1695" s="25"/>
      <c r="BA1695" s="226"/>
    </row>
    <row r="1696" spans="1:53" ht="15.75" customHeight="1" thickBot="1" x14ac:dyDescent="0.35">
      <c r="A1696" s="88"/>
      <c r="B1696" s="321" t="s">
        <v>267</v>
      </c>
      <c r="C1696" s="293" t="s">
        <v>268</v>
      </c>
      <c r="D1696" s="293" t="s">
        <v>269</v>
      </c>
      <c r="E1696" s="306" t="s">
        <v>270</v>
      </c>
      <c r="F1696" s="293" t="s">
        <v>271</v>
      </c>
      <c r="G1696" s="308" t="s">
        <v>272</v>
      </c>
      <c r="H1696" s="308" t="s">
        <v>273</v>
      </c>
      <c r="I1696" s="308" t="s">
        <v>274</v>
      </c>
      <c r="J1696" s="310" t="s">
        <v>275</v>
      </c>
      <c r="K1696" s="293" t="s">
        <v>276</v>
      </c>
      <c r="L1696" s="280" t="s">
        <v>277</v>
      </c>
      <c r="M1696" s="282" t="s">
        <v>278</v>
      </c>
      <c r="N1696" s="282"/>
      <c r="O1696" s="282"/>
      <c r="P1696" s="282"/>
      <c r="Q1696" s="282"/>
      <c r="R1696" s="282"/>
      <c r="S1696" s="282"/>
      <c r="T1696" s="282"/>
      <c r="U1696" s="283"/>
      <c r="V1696" s="107"/>
      <c r="W1696" s="72"/>
      <c r="X1696" s="72"/>
      <c r="Y1696" s="72"/>
      <c r="Z1696" s="45">
        <v>7</v>
      </c>
      <c r="AA1696" s="65">
        <v>73</v>
      </c>
      <c r="AB1696" s="65">
        <v>84</v>
      </c>
      <c r="AC1696" s="25"/>
      <c r="AD1696" s="25"/>
      <c r="BA1696" s="228"/>
    </row>
    <row r="1697" spans="1:53" ht="15" thickBot="1" x14ac:dyDescent="0.35">
      <c r="A1697" s="88"/>
      <c r="B1697" s="322"/>
      <c r="C1697" s="294"/>
      <c r="D1697" s="294"/>
      <c r="E1697" s="307"/>
      <c r="F1697" s="294"/>
      <c r="G1697" s="309"/>
      <c r="H1697" s="309"/>
      <c r="I1697" s="309"/>
      <c r="J1697" s="311"/>
      <c r="K1697" s="294"/>
      <c r="L1697" s="281"/>
      <c r="M1697" s="284"/>
      <c r="N1697" s="284"/>
      <c r="O1697" s="284"/>
      <c r="P1697" s="284"/>
      <c r="Q1697" s="284"/>
      <c r="R1697" s="284"/>
      <c r="S1697" s="284"/>
      <c r="T1697" s="284"/>
      <c r="U1697" s="285"/>
      <c r="V1697" s="107"/>
      <c r="W1697" s="72"/>
      <c r="X1697" s="72"/>
      <c r="Y1697" s="72"/>
      <c r="Z1697" s="45">
        <v>8</v>
      </c>
      <c r="AA1697" s="46">
        <v>85</v>
      </c>
      <c r="AB1697" s="46">
        <v>96</v>
      </c>
      <c r="AC1697" s="25"/>
      <c r="AD1697" s="25"/>
      <c r="AI1697" s="109" t="s">
        <v>279</v>
      </c>
      <c r="AJ1697" s="109" t="s">
        <v>280</v>
      </c>
      <c r="AK1697" s="109" t="s">
        <v>281</v>
      </c>
      <c r="AL1697" s="109" t="s">
        <v>282</v>
      </c>
      <c r="BA1697" s="228"/>
    </row>
    <row r="1698" spans="1:53" ht="15" thickBot="1" x14ac:dyDescent="0.35">
      <c r="A1698" s="88"/>
      <c r="B1698" s="66" t="s">
        <v>283</v>
      </c>
      <c r="C1698" s="67"/>
      <c r="D1698" s="102"/>
      <c r="E1698" s="32"/>
      <c r="F1698" s="32"/>
      <c r="G1698" s="68" t="s">
        <v>285</v>
      </c>
      <c r="H1698" s="69">
        <f>IF(I1698=0,0,I1698-(E1698-1))</f>
        <v>0</v>
      </c>
      <c r="I1698" s="70">
        <f>IF(E1698=0,0,I1693)</f>
        <v>0</v>
      </c>
      <c r="J1698" s="71" t="s">
        <v>286</v>
      </c>
      <c r="K1698" s="32"/>
      <c r="L1698" s="233"/>
      <c r="M1698" s="278"/>
      <c r="N1698" s="278"/>
      <c r="O1698" s="278"/>
      <c r="P1698" s="278"/>
      <c r="Q1698" s="278"/>
      <c r="R1698" s="278"/>
      <c r="S1698" s="278"/>
      <c r="T1698" s="278"/>
      <c r="U1698" s="27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 thickBot="1" x14ac:dyDescent="0.35">
      <c r="A1699" s="88"/>
      <c r="B1699" s="66" t="s">
        <v>288</v>
      </c>
      <c r="C1699" s="67"/>
      <c r="D1699" s="102"/>
      <c r="E1699" s="32"/>
      <c r="F1699" s="32"/>
      <c r="G1699" s="68" t="s">
        <v>285</v>
      </c>
      <c r="H1699" s="69">
        <f t="shared" ref="H1699:H1722" si="706">IF(E1699=0,0,I1699-(E1699-1))</f>
        <v>0</v>
      </c>
      <c r="I1699" s="70">
        <f t="shared" ref="I1699:I1722" si="707">IF(E1699=0,0,H1698-1)</f>
        <v>0</v>
      </c>
      <c r="J1699" s="73" t="str">
        <f>IF(C1699="","--",IF(AND(C1699&lt;&gt;"FST",C1699&lt;&gt;"TCF",BA1698&lt;&gt;0),BA1698,"--"))</f>
        <v>--</v>
      </c>
      <c r="K1699" s="32"/>
      <c r="L1699" s="233"/>
      <c r="M1699" s="278"/>
      <c r="N1699" s="278"/>
      <c r="O1699" s="278"/>
      <c r="P1699" s="278"/>
      <c r="Q1699" s="278"/>
      <c r="R1699" s="278"/>
      <c r="S1699" s="278"/>
      <c r="T1699" s="278"/>
      <c r="U1699" s="27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 thickBot="1" x14ac:dyDescent="0.35">
      <c r="A1700" s="88"/>
      <c r="B1700" s="74" t="s">
        <v>290</v>
      </c>
      <c r="C1700" s="67"/>
      <c r="D1700" s="102"/>
      <c r="E1700" s="32"/>
      <c r="F1700" s="32"/>
      <c r="G1700" s="75" t="s">
        <v>285</v>
      </c>
      <c r="H1700" s="69">
        <f t="shared" si="706"/>
        <v>0</v>
      </c>
      <c r="I1700" s="70">
        <f t="shared" si="707"/>
        <v>0</v>
      </c>
      <c r="J1700" s="73" t="str">
        <f t="shared" ref="J1700:J1722" si="708">IF(C1700="","--",IF(AND(C1700&lt;&gt;"FST",C1700&lt;&gt;"TCF",BA1699&lt;&gt;0),BA1699,"--"))</f>
        <v>--</v>
      </c>
      <c r="K1700" s="32"/>
      <c r="L1700" s="233"/>
      <c r="M1700" s="278"/>
      <c r="N1700" s="278"/>
      <c r="O1700" s="278"/>
      <c r="P1700" s="278"/>
      <c r="Q1700" s="278"/>
      <c r="R1700" s="278"/>
      <c r="S1700" s="278"/>
      <c r="T1700" s="278"/>
      <c r="U1700" s="27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 thickBot="1" x14ac:dyDescent="0.35">
      <c r="A1701" s="88"/>
      <c r="B1701" s="66" t="s">
        <v>292</v>
      </c>
      <c r="C1701" s="67"/>
      <c r="D1701" s="102"/>
      <c r="E1701" s="32"/>
      <c r="F1701" s="32"/>
      <c r="G1701" s="68" t="s">
        <v>285</v>
      </c>
      <c r="H1701" s="69">
        <f t="shared" si="706"/>
        <v>0</v>
      </c>
      <c r="I1701" s="70">
        <f t="shared" si="707"/>
        <v>0</v>
      </c>
      <c r="J1701" s="73" t="str">
        <f t="shared" si="708"/>
        <v>--</v>
      </c>
      <c r="K1701" s="32"/>
      <c r="L1701" s="233"/>
      <c r="M1701" s="278"/>
      <c r="N1701" s="278"/>
      <c r="O1701" s="278"/>
      <c r="P1701" s="278"/>
      <c r="Q1701" s="278"/>
      <c r="R1701" s="278"/>
      <c r="S1701" s="278"/>
      <c r="T1701" s="278"/>
      <c r="U1701" s="27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 thickBot="1" x14ac:dyDescent="0.35">
      <c r="A1702" s="88"/>
      <c r="B1702" s="66" t="s">
        <v>293</v>
      </c>
      <c r="C1702" s="67"/>
      <c r="D1702" s="102"/>
      <c r="E1702" s="32"/>
      <c r="F1702" s="32"/>
      <c r="G1702" s="68" t="s">
        <v>285</v>
      </c>
      <c r="H1702" s="69">
        <f t="shared" si="706"/>
        <v>0</v>
      </c>
      <c r="I1702" s="70">
        <f t="shared" si="707"/>
        <v>0</v>
      </c>
      <c r="J1702" s="73" t="str">
        <f t="shared" si="708"/>
        <v>--</v>
      </c>
      <c r="K1702" s="32"/>
      <c r="L1702" s="233"/>
      <c r="M1702" s="278"/>
      <c r="N1702" s="278"/>
      <c r="O1702" s="278"/>
      <c r="P1702" s="278"/>
      <c r="Q1702" s="278"/>
      <c r="R1702" s="278"/>
      <c r="S1702" s="278"/>
      <c r="T1702" s="278"/>
      <c r="U1702" s="27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 thickBot="1" x14ac:dyDescent="0.35">
      <c r="A1703" s="88"/>
      <c r="B1703" s="66" t="s">
        <v>294</v>
      </c>
      <c r="C1703" s="67"/>
      <c r="D1703" s="102"/>
      <c r="E1703" s="32"/>
      <c r="F1703" s="32"/>
      <c r="G1703" s="68" t="s">
        <v>285</v>
      </c>
      <c r="H1703" s="69">
        <f t="shared" si="706"/>
        <v>0</v>
      </c>
      <c r="I1703" s="70">
        <f t="shared" si="707"/>
        <v>0</v>
      </c>
      <c r="J1703" s="73" t="str">
        <f t="shared" si="708"/>
        <v>--</v>
      </c>
      <c r="K1703" s="32"/>
      <c r="L1703" s="233"/>
      <c r="M1703" s="278"/>
      <c r="N1703" s="278"/>
      <c r="O1703" s="278"/>
      <c r="P1703" s="278"/>
      <c r="Q1703" s="278"/>
      <c r="R1703" s="278"/>
      <c r="S1703" s="278"/>
      <c r="T1703" s="278"/>
      <c r="U1703" s="27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 thickBot="1" x14ac:dyDescent="0.35">
      <c r="A1704" s="88"/>
      <c r="B1704" s="66" t="s">
        <v>295</v>
      </c>
      <c r="C1704" s="67"/>
      <c r="D1704" s="102"/>
      <c r="E1704" s="32"/>
      <c r="F1704" s="32"/>
      <c r="G1704" s="68" t="s">
        <v>285</v>
      </c>
      <c r="H1704" s="69">
        <f t="shared" si="706"/>
        <v>0</v>
      </c>
      <c r="I1704" s="70">
        <f t="shared" si="707"/>
        <v>0</v>
      </c>
      <c r="J1704" s="73" t="str">
        <f t="shared" si="708"/>
        <v>--</v>
      </c>
      <c r="K1704" s="32"/>
      <c r="L1704" s="233"/>
      <c r="M1704" s="278"/>
      <c r="N1704" s="278"/>
      <c r="O1704" s="278"/>
      <c r="P1704" s="278"/>
      <c r="Q1704" s="278"/>
      <c r="R1704" s="278"/>
      <c r="S1704" s="278"/>
      <c r="T1704" s="278"/>
      <c r="U1704" s="27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 thickBot="1" x14ac:dyDescent="0.35">
      <c r="A1705" s="88"/>
      <c r="B1705" s="66" t="s">
        <v>296</v>
      </c>
      <c r="C1705" s="67"/>
      <c r="D1705" s="102"/>
      <c r="E1705" s="32"/>
      <c r="F1705" s="32"/>
      <c r="G1705" s="68" t="s">
        <v>285</v>
      </c>
      <c r="H1705" s="69">
        <f t="shared" si="706"/>
        <v>0</v>
      </c>
      <c r="I1705" s="70">
        <f t="shared" si="707"/>
        <v>0</v>
      </c>
      <c r="J1705" s="73" t="str">
        <f t="shared" si="708"/>
        <v>--</v>
      </c>
      <c r="K1705" s="32"/>
      <c r="L1705" s="233"/>
      <c r="M1705" s="278"/>
      <c r="N1705" s="278"/>
      <c r="O1705" s="278"/>
      <c r="P1705" s="278"/>
      <c r="Q1705" s="278"/>
      <c r="R1705" s="278"/>
      <c r="S1705" s="278"/>
      <c r="T1705" s="278"/>
      <c r="U1705" s="27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 thickBot="1" x14ac:dyDescent="0.35">
      <c r="A1706" s="88"/>
      <c r="B1706" s="66" t="s">
        <v>297</v>
      </c>
      <c r="C1706" s="67"/>
      <c r="D1706" s="102"/>
      <c r="E1706" s="32"/>
      <c r="F1706" s="32"/>
      <c r="G1706" s="68" t="s">
        <v>285</v>
      </c>
      <c r="H1706" s="69">
        <f t="shared" si="706"/>
        <v>0</v>
      </c>
      <c r="I1706" s="70">
        <f t="shared" si="707"/>
        <v>0</v>
      </c>
      <c r="J1706" s="73" t="str">
        <f t="shared" si="708"/>
        <v>--</v>
      </c>
      <c r="K1706" s="32"/>
      <c r="L1706" s="233"/>
      <c r="M1706" s="278"/>
      <c r="N1706" s="278"/>
      <c r="O1706" s="278"/>
      <c r="P1706" s="278"/>
      <c r="Q1706" s="278"/>
      <c r="R1706" s="278"/>
      <c r="S1706" s="278"/>
      <c r="T1706" s="278"/>
      <c r="U1706" s="27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 thickBot="1" x14ac:dyDescent="0.35">
      <c r="A1707" s="88"/>
      <c r="B1707" s="66" t="s">
        <v>298</v>
      </c>
      <c r="C1707" s="67"/>
      <c r="D1707" s="102"/>
      <c r="E1707" s="32"/>
      <c r="F1707" s="32"/>
      <c r="G1707" s="68" t="s">
        <v>285</v>
      </c>
      <c r="H1707" s="69">
        <f t="shared" si="706"/>
        <v>0</v>
      </c>
      <c r="I1707" s="70">
        <f t="shared" si="707"/>
        <v>0</v>
      </c>
      <c r="J1707" s="73" t="str">
        <f t="shared" si="708"/>
        <v>--</v>
      </c>
      <c r="K1707" s="32"/>
      <c r="L1707" s="233"/>
      <c r="M1707" s="278"/>
      <c r="N1707" s="278"/>
      <c r="O1707" s="278"/>
      <c r="P1707" s="278"/>
      <c r="Q1707" s="278"/>
      <c r="R1707" s="278"/>
      <c r="S1707" s="278"/>
      <c r="T1707" s="278"/>
      <c r="U1707" s="27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 thickBot="1" x14ac:dyDescent="0.35">
      <c r="A1708" s="88"/>
      <c r="B1708" s="66" t="s">
        <v>299</v>
      </c>
      <c r="C1708" s="67"/>
      <c r="D1708" s="102"/>
      <c r="E1708" s="32"/>
      <c r="F1708" s="32"/>
      <c r="G1708" s="68" t="s">
        <v>285</v>
      </c>
      <c r="H1708" s="69">
        <f t="shared" si="706"/>
        <v>0</v>
      </c>
      <c r="I1708" s="70">
        <f t="shared" si="707"/>
        <v>0</v>
      </c>
      <c r="J1708" s="73" t="str">
        <f t="shared" si="708"/>
        <v>--</v>
      </c>
      <c r="K1708" s="32"/>
      <c r="L1708" s="233"/>
      <c r="M1708" s="278"/>
      <c r="N1708" s="278"/>
      <c r="O1708" s="278"/>
      <c r="P1708" s="278"/>
      <c r="Q1708" s="278"/>
      <c r="R1708" s="278"/>
      <c r="S1708" s="278"/>
      <c r="T1708" s="278"/>
      <c r="U1708" s="27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 thickBot="1" x14ac:dyDescent="0.35">
      <c r="A1709" s="88"/>
      <c r="B1709" s="66" t="s">
        <v>300</v>
      </c>
      <c r="C1709" s="67"/>
      <c r="D1709" s="102"/>
      <c r="E1709" s="32"/>
      <c r="F1709" s="32"/>
      <c r="G1709" s="68" t="s">
        <v>285</v>
      </c>
      <c r="H1709" s="69">
        <f t="shared" si="706"/>
        <v>0</v>
      </c>
      <c r="I1709" s="70">
        <f t="shared" si="707"/>
        <v>0</v>
      </c>
      <c r="J1709" s="73" t="str">
        <f t="shared" si="708"/>
        <v>--</v>
      </c>
      <c r="K1709" s="32"/>
      <c r="L1709" s="233"/>
      <c r="M1709" s="278"/>
      <c r="N1709" s="278"/>
      <c r="O1709" s="278"/>
      <c r="P1709" s="278"/>
      <c r="Q1709" s="278"/>
      <c r="R1709" s="278"/>
      <c r="S1709" s="278"/>
      <c r="T1709" s="278"/>
      <c r="U1709" s="27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 thickBot="1" x14ac:dyDescent="0.35">
      <c r="A1710" s="88"/>
      <c r="B1710" s="66" t="s">
        <v>301</v>
      </c>
      <c r="C1710" s="67"/>
      <c r="D1710" s="102"/>
      <c r="E1710" s="32"/>
      <c r="F1710" s="32"/>
      <c r="G1710" s="68" t="s">
        <v>285</v>
      </c>
      <c r="H1710" s="69">
        <f t="shared" si="706"/>
        <v>0</v>
      </c>
      <c r="I1710" s="70">
        <f t="shared" si="707"/>
        <v>0</v>
      </c>
      <c r="J1710" s="73" t="str">
        <f t="shared" si="708"/>
        <v>--</v>
      </c>
      <c r="K1710" s="32"/>
      <c r="L1710" s="233"/>
      <c r="M1710" s="278"/>
      <c r="N1710" s="278"/>
      <c r="O1710" s="278"/>
      <c r="P1710" s="278"/>
      <c r="Q1710" s="278"/>
      <c r="R1710" s="278"/>
      <c r="S1710" s="278"/>
      <c r="T1710" s="278"/>
      <c r="U1710" s="27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 thickBot="1" x14ac:dyDescent="0.35">
      <c r="A1711" s="88"/>
      <c r="B1711" s="66" t="s">
        <v>302</v>
      </c>
      <c r="C1711" s="67"/>
      <c r="D1711" s="102"/>
      <c r="E1711" s="32"/>
      <c r="F1711" s="32"/>
      <c r="G1711" s="68" t="s">
        <v>285</v>
      </c>
      <c r="H1711" s="69">
        <f t="shared" si="706"/>
        <v>0</v>
      </c>
      <c r="I1711" s="70">
        <f t="shared" si="707"/>
        <v>0</v>
      </c>
      <c r="J1711" s="73" t="str">
        <f t="shared" si="708"/>
        <v>--</v>
      </c>
      <c r="K1711" s="32"/>
      <c r="L1711" s="233"/>
      <c r="M1711" s="278"/>
      <c r="N1711" s="278"/>
      <c r="O1711" s="278"/>
      <c r="P1711" s="278"/>
      <c r="Q1711" s="278"/>
      <c r="R1711" s="278"/>
      <c r="S1711" s="278"/>
      <c r="T1711" s="278"/>
      <c r="U1711" s="27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 thickBot="1" x14ac:dyDescent="0.35">
      <c r="A1712" s="88"/>
      <c r="B1712" s="66" t="s">
        <v>303</v>
      </c>
      <c r="C1712" s="67"/>
      <c r="D1712" s="102"/>
      <c r="E1712" s="32"/>
      <c r="F1712" s="32"/>
      <c r="G1712" s="68" t="s">
        <v>285</v>
      </c>
      <c r="H1712" s="69">
        <f t="shared" si="706"/>
        <v>0</v>
      </c>
      <c r="I1712" s="70">
        <f t="shared" si="707"/>
        <v>0</v>
      </c>
      <c r="J1712" s="73" t="str">
        <f t="shared" si="708"/>
        <v>--</v>
      </c>
      <c r="K1712" s="32"/>
      <c r="L1712" s="233"/>
      <c r="M1712" s="278"/>
      <c r="N1712" s="278"/>
      <c r="O1712" s="278"/>
      <c r="P1712" s="278"/>
      <c r="Q1712" s="278"/>
      <c r="R1712" s="278"/>
      <c r="S1712" s="278"/>
      <c r="T1712" s="278"/>
      <c r="U1712" s="27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 thickBot="1" x14ac:dyDescent="0.35">
      <c r="A1713" s="88"/>
      <c r="B1713" s="66" t="s">
        <v>304</v>
      </c>
      <c r="C1713" s="67"/>
      <c r="D1713" s="102"/>
      <c r="E1713" s="32"/>
      <c r="F1713" s="32"/>
      <c r="G1713" s="68" t="s">
        <v>285</v>
      </c>
      <c r="H1713" s="69">
        <f t="shared" si="706"/>
        <v>0</v>
      </c>
      <c r="I1713" s="70">
        <f t="shared" si="707"/>
        <v>0</v>
      </c>
      <c r="J1713" s="73" t="str">
        <f t="shared" si="708"/>
        <v>--</v>
      </c>
      <c r="K1713" s="32"/>
      <c r="L1713" s="233"/>
      <c r="M1713" s="278"/>
      <c r="N1713" s="278"/>
      <c r="O1713" s="278"/>
      <c r="P1713" s="278"/>
      <c r="Q1713" s="278"/>
      <c r="R1713" s="278"/>
      <c r="S1713" s="278"/>
      <c r="T1713" s="278"/>
      <c r="U1713" s="27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 thickBot="1" x14ac:dyDescent="0.35">
      <c r="A1714" s="88"/>
      <c r="B1714" s="66" t="s">
        <v>305</v>
      </c>
      <c r="C1714" s="67"/>
      <c r="D1714" s="102"/>
      <c r="E1714" s="32"/>
      <c r="F1714" s="32"/>
      <c r="G1714" s="68" t="s">
        <v>285</v>
      </c>
      <c r="H1714" s="69">
        <f t="shared" si="706"/>
        <v>0</v>
      </c>
      <c r="I1714" s="70">
        <f t="shared" si="707"/>
        <v>0</v>
      </c>
      <c r="J1714" s="73" t="str">
        <f t="shared" si="708"/>
        <v>--</v>
      </c>
      <c r="K1714" s="32"/>
      <c r="L1714" s="233"/>
      <c r="M1714" s="278"/>
      <c r="N1714" s="278"/>
      <c r="O1714" s="278"/>
      <c r="P1714" s="278"/>
      <c r="Q1714" s="278"/>
      <c r="R1714" s="278"/>
      <c r="S1714" s="278"/>
      <c r="T1714" s="278"/>
      <c r="U1714" s="27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 thickBot="1" x14ac:dyDescent="0.35">
      <c r="A1715" s="88"/>
      <c r="B1715" s="66" t="s">
        <v>306</v>
      </c>
      <c r="C1715" s="67"/>
      <c r="D1715" s="102"/>
      <c r="E1715" s="32"/>
      <c r="F1715" s="32"/>
      <c r="G1715" s="68" t="s">
        <v>285</v>
      </c>
      <c r="H1715" s="69">
        <f t="shared" si="706"/>
        <v>0</v>
      </c>
      <c r="I1715" s="70">
        <f t="shared" si="707"/>
        <v>0</v>
      </c>
      <c r="J1715" s="73" t="str">
        <f t="shared" si="708"/>
        <v>--</v>
      </c>
      <c r="K1715" s="32"/>
      <c r="L1715" s="233"/>
      <c r="M1715" s="278"/>
      <c r="N1715" s="278"/>
      <c r="O1715" s="278"/>
      <c r="P1715" s="278"/>
      <c r="Q1715" s="278"/>
      <c r="R1715" s="278"/>
      <c r="S1715" s="278"/>
      <c r="T1715" s="278"/>
      <c r="U1715" s="27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 thickBot="1" x14ac:dyDescent="0.35">
      <c r="A1716" s="88"/>
      <c r="B1716" s="66" t="s">
        <v>307</v>
      </c>
      <c r="C1716" s="67"/>
      <c r="D1716" s="102"/>
      <c r="E1716" s="32"/>
      <c r="F1716" s="32"/>
      <c r="G1716" s="68" t="s">
        <v>285</v>
      </c>
      <c r="H1716" s="69">
        <f t="shared" si="706"/>
        <v>0</v>
      </c>
      <c r="I1716" s="70">
        <f t="shared" si="707"/>
        <v>0</v>
      </c>
      <c r="J1716" s="73" t="str">
        <f t="shared" si="708"/>
        <v>--</v>
      </c>
      <c r="K1716" s="32"/>
      <c r="L1716" s="233"/>
      <c r="M1716" s="278"/>
      <c r="N1716" s="278"/>
      <c r="O1716" s="278"/>
      <c r="P1716" s="278"/>
      <c r="Q1716" s="278"/>
      <c r="R1716" s="278"/>
      <c r="S1716" s="278"/>
      <c r="T1716" s="278"/>
      <c r="U1716" s="27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 thickBot="1" x14ac:dyDescent="0.35">
      <c r="A1717" s="88"/>
      <c r="B1717" s="66" t="s">
        <v>308</v>
      </c>
      <c r="C1717" s="67"/>
      <c r="D1717" s="102"/>
      <c r="E1717" s="32"/>
      <c r="F1717" s="32"/>
      <c r="G1717" s="68" t="s">
        <v>285</v>
      </c>
      <c r="H1717" s="69">
        <f t="shared" si="706"/>
        <v>0</v>
      </c>
      <c r="I1717" s="70">
        <f t="shared" si="707"/>
        <v>0</v>
      </c>
      <c r="J1717" s="73" t="str">
        <f t="shared" si="708"/>
        <v>--</v>
      </c>
      <c r="K1717" s="32"/>
      <c r="L1717" s="233"/>
      <c r="M1717" s="278"/>
      <c r="N1717" s="278"/>
      <c r="O1717" s="278"/>
      <c r="P1717" s="278"/>
      <c r="Q1717" s="278"/>
      <c r="R1717" s="278"/>
      <c r="S1717" s="278"/>
      <c r="T1717" s="278"/>
      <c r="U1717" s="27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 thickBot="1" x14ac:dyDescent="0.35">
      <c r="A1718" s="88"/>
      <c r="B1718" s="66" t="s">
        <v>309</v>
      </c>
      <c r="C1718" s="67"/>
      <c r="D1718" s="102"/>
      <c r="E1718" s="32"/>
      <c r="F1718" s="32"/>
      <c r="G1718" s="68" t="s">
        <v>285</v>
      </c>
      <c r="H1718" s="69">
        <f t="shared" si="706"/>
        <v>0</v>
      </c>
      <c r="I1718" s="70">
        <f t="shared" si="707"/>
        <v>0</v>
      </c>
      <c r="J1718" s="73" t="str">
        <f t="shared" si="708"/>
        <v>--</v>
      </c>
      <c r="K1718" s="32"/>
      <c r="L1718" s="233"/>
      <c r="M1718" s="278"/>
      <c r="N1718" s="278"/>
      <c r="O1718" s="278"/>
      <c r="P1718" s="278"/>
      <c r="Q1718" s="278"/>
      <c r="R1718" s="278"/>
      <c r="S1718" s="278"/>
      <c r="T1718" s="278"/>
      <c r="U1718" s="27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 thickBot="1" x14ac:dyDescent="0.35">
      <c r="A1719" s="88"/>
      <c r="B1719" s="66" t="s">
        <v>310</v>
      </c>
      <c r="C1719" s="67"/>
      <c r="D1719" s="102"/>
      <c r="E1719" s="32"/>
      <c r="F1719" s="32"/>
      <c r="G1719" s="68" t="s">
        <v>285</v>
      </c>
      <c r="H1719" s="69">
        <f t="shared" si="706"/>
        <v>0</v>
      </c>
      <c r="I1719" s="70">
        <f t="shared" si="707"/>
        <v>0</v>
      </c>
      <c r="J1719" s="73" t="str">
        <f t="shared" si="708"/>
        <v>--</v>
      </c>
      <c r="K1719" s="32"/>
      <c r="L1719" s="233"/>
      <c r="M1719" s="278"/>
      <c r="N1719" s="278"/>
      <c r="O1719" s="278"/>
      <c r="P1719" s="278"/>
      <c r="Q1719" s="278"/>
      <c r="R1719" s="278"/>
      <c r="S1719" s="278"/>
      <c r="T1719" s="278"/>
      <c r="U1719" s="27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 thickBot="1" x14ac:dyDescent="0.35">
      <c r="A1720" s="88"/>
      <c r="B1720" s="66" t="s">
        <v>311</v>
      </c>
      <c r="C1720" s="67"/>
      <c r="D1720" s="102"/>
      <c r="E1720" s="32"/>
      <c r="F1720" s="32"/>
      <c r="G1720" s="68" t="s">
        <v>285</v>
      </c>
      <c r="H1720" s="69">
        <f t="shared" si="706"/>
        <v>0</v>
      </c>
      <c r="I1720" s="70">
        <f t="shared" si="707"/>
        <v>0</v>
      </c>
      <c r="J1720" s="73" t="str">
        <f t="shared" si="708"/>
        <v>--</v>
      </c>
      <c r="K1720" s="32"/>
      <c r="L1720" s="233"/>
      <c r="M1720" s="278"/>
      <c r="N1720" s="278"/>
      <c r="O1720" s="278"/>
      <c r="P1720" s="278"/>
      <c r="Q1720" s="278"/>
      <c r="R1720" s="278"/>
      <c r="S1720" s="278"/>
      <c r="T1720" s="278"/>
      <c r="U1720" s="27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 thickBot="1" x14ac:dyDescent="0.35">
      <c r="A1721" s="88"/>
      <c r="B1721" s="66" t="s">
        <v>312</v>
      </c>
      <c r="C1721" s="67"/>
      <c r="D1721" s="102"/>
      <c r="E1721" s="32"/>
      <c r="F1721" s="32"/>
      <c r="G1721" s="68" t="s">
        <v>285</v>
      </c>
      <c r="H1721" s="69">
        <f t="shared" si="706"/>
        <v>0</v>
      </c>
      <c r="I1721" s="70">
        <f t="shared" si="707"/>
        <v>0</v>
      </c>
      <c r="J1721" s="73" t="str">
        <f t="shared" si="708"/>
        <v>--</v>
      </c>
      <c r="K1721" s="32"/>
      <c r="L1721" s="233"/>
      <c r="M1721" s="278"/>
      <c r="N1721" s="278"/>
      <c r="O1721" s="278"/>
      <c r="P1721" s="278"/>
      <c r="Q1721" s="278"/>
      <c r="R1721" s="278"/>
      <c r="S1721" s="278"/>
      <c r="T1721" s="278"/>
      <c r="U1721" s="27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 thickBot="1" x14ac:dyDescent="0.35">
      <c r="A1722" s="88"/>
      <c r="B1722" s="66" t="s">
        <v>313</v>
      </c>
      <c r="C1722" s="67"/>
      <c r="D1722" s="102"/>
      <c r="E1722" s="32"/>
      <c r="F1722" s="32"/>
      <c r="G1722" s="68" t="s">
        <v>285</v>
      </c>
      <c r="H1722" s="69">
        <f t="shared" si="706"/>
        <v>0</v>
      </c>
      <c r="I1722" s="70">
        <f t="shared" si="707"/>
        <v>0</v>
      </c>
      <c r="J1722" s="73" t="str">
        <f t="shared" si="708"/>
        <v>--</v>
      </c>
      <c r="K1722" s="32"/>
      <c r="L1722" s="234"/>
      <c r="M1722" s="278"/>
      <c r="N1722" s="278"/>
      <c r="O1722" s="278"/>
      <c r="P1722" s="278"/>
      <c r="Q1722" s="278"/>
      <c r="R1722" s="278"/>
      <c r="S1722" s="278"/>
      <c r="T1722" s="278"/>
      <c r="U1722" s="27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2" thickBot="1" x14ac:dyDescent="0.35">
      <c r="A1723" s="88"/>
      <c r="B1723" s="319" t="s">
        <v>458</v>
      </c>
      <c r="C1723" s="320"/>
      <c r="D1723" s="79"/>
      <c r="E1723" s="80"/>
      <c r="F1723" s="80"/>
      <c r="G1723" s="81"/>
      <c r="H1723" s="192"/>
      <c r="I1723" s="192"/>
      <c r="J1723" s="192"/>
      <c r="K1723" s="82"/>
      <c r="L1723" s="319" t="s">
        <v>319</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2" thickBot="1" x14ac:dyDescent="0.35">
      <c r="A1724" s="88"/>
      <c r="B1724" s="319" t="s">
        <v>320</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3">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 thickBot="1" x14ac:dyDescent="0.35">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5">
      <c r="A1727" s="88"/>
      <c r="B1727" s="85" t="s">
        <v>459</v>
      </c>
      <c r="C1727" s="25"/>
      <c r="D1727" s="25"/>
      <c r="E1727" s="25"/>
      <c r="F1727" s="88"/>
      <c r="G1727" s="25"/>
      <c r="H1727" s="25"/>
      <c r="I1727" s="87"/>
      <c r="J1727" s="26"/>
      <c r="K1727" s="25"/>
      <c r="L1727" s="25"/>
      <c r="M1727" s="196" t="s">
        <v>217</v>
      </c>
      <c r="N1727" s="196" t="s">
        <v>218</v>
      </c>
      <c r="O1727" s="196" t="s">
        <v>219</v>
      </c>
      <c r="P1727" s="196" t="s">
        <v>220</v>
      </c>
      <c r="Q1727" s="196" t="s">
        <v>221</v>
      </c>
      <c r="R1727" s="196" t="s">
        <v>222</v>
      </c>
      <c r="S1727" s="196" t="s">
        <v>223</v>
      </c>
      <c r="T1727" s="196" t="s">
        <v>224</v>
      </c>
      <c r="U1727" s="196" t="s">
        <v>225</v>
      </c>
      <c r="V1727" s="196" t="s">
        <v>226</v>
      </c>
      <c r="W1727" s="113" t="s">
        <v>227</v>
      </c>
      <c r="X1727" s="196" t="s">
        <v>228</v>
      </c>
      <c r="Y1727" s="25"/>
      <c r="Z1727" s="25"/>
      <c r="AA1727" s="25"/>
      <c r="AB1727" s="25"/>
      <c r="AC1727" s="25"/>
      <c r="AD1727" s="25"/>
      <c r="BA1727" s="226"/>
    </row>
    <row r="1728" spans="1:53" ht="15.6" thickTop="1" thickBot="1" x14ac:dyDescent="0.35">
      <c r="A1728" s="88"/>
      <c r="B1728" s="312" t="s">
        <v>229</v>
      </c>
      <c r="C1728" s="313"/>
      <c r="D1728" s="314" t="s">
        <v>230</v>
      </c>
      <c r="E1728" s="305"/>
      <c r="F1728" s="88"/>
      <c r="G1728" s="315" t="s">
        <v>231</v>
      </c>
      <c r="H1728" s="316"/>
      <c r="I1728" s="28">
        <f>SUM(E1739:E1763)</f>
        <v>0</v>
      </c>
      <c r="J1728" s="317" t="s">
        <v>232</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233</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234</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5">
      <c r="A1729" s="88"/>
      <c r="B1729" s="29" t="s">
        <v>235</v>
      </c>
      <c r="C1729" s="30">
        <v>0</v>
      </c>
      <c r="D1729" s="31" t="s">
        <v>236</v>
      </c>
      <c r="E1729" s="66" t="str">
        <f>TEXT(IF('Cable Calculator'!HF7="","",'Cable Calculator'!HF7),)</f>
        <v/>
      </c>
      <c r="F1729" s="88"/>
      <c r="G1729" s="304" t="s">
        <v>237</v>
      </c>
      <c r="H1729" s="305"/>
      <c r="I1729" s="33">
        <f>E1730-I1728</f>
        <v>0</v>
      </c>
      <c r="J1729" s="289" t="s">
        <v>238</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239</v>
      </c>
      <c r="AA1729" s="300" t="s">
        <v>240</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241</v>
      </c>
      <c r="AU1729" s="109">
        <f>COUNTIFS($E1729,"SS",$AS1729,"Y")</f>
        <v>0</v>
      </c>
      <c r="AV1729" s="111">
        <f>COUNTIFS($E1729,"RPX",$AS1729,"Y")</f>
        <v>0</v>
      </c>
      <c r="AW1729" s="111">
        <f>COUNTIFS($E1729,"EUC",$AS1729,"Y")</f>
        <v>0</v>
      </c>
      <c r="AX1729" s="109">
        <f>COUNTIFS($E1729,"RPX-T",$AS1729,"Y")</f>
        <v>0</v>
      </c>
      <c r="BA1729" s="227"/>
    </row>
    <row r="1730" spans="1:53" ht="15.6" thickTop="1" thickBot="1" x14ac:dyDescent="0.35">
      <c r="A1730" s="88"/>
      <c r="B1730" s="36" t="s">
        <v>242</v>
      </c>
      <c r="C1730" s="37">
        <v>0</v>
      </c>
      <c r="D1730" s="38" t="s">
        <v>243</v>
      </c>
      <c r="E1730" s="32"/>
      <c r="F1730" s="88"/>
      <c r="G1730" s="291" t="s">
        <v>244</v>
      </c>
      <c r="H1730" s="292"/>
      <c r="I1730" s="35">
        <f>IF(E1730=0,0,12-(MOD(I1728,12)))</f>
        <v>0</v>
      </c>
      <c r="J1730" s="289" t="s">
        <v>245</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246</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5">
      <c r="A1731" s="88"/>
      <c r="B1731" s="40" t="s">
        <v>247</v>
      </c>
      <c r="C1731" s="30">
        <v>0</v>
      </c>
      <c r="D1731" s="41" t="s">
        <v>248</v>
      </c>
      <c r="E1731" s="42"/>
      <c r="F1731" s="88"/>
      <c r="G1731" s="321" t="s">
        <v>249</v>
      </c>
      <c r="H1731" s="43" t="s">
        <v>250</v>
      </c>
      <c r="I1731" s="35">
        <f>IF(E1731&lt;&gt;0,1,0)</f>
        <v>0</v>
      </c>
      <c r="J1731" s="291" t="s">
        <v>251</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252</v>
      </c>
      <c r="AU1731" s="109">
        <f>COUNTIFS($E1729,"SS",$AS1731,"Y")</f>
        <v>0</v>
      </c>
      <c r="AV1731" s="108">
        <f>COUNTIFS($E1729,"RPX",$AS1731,"Y")</f>
        <v>0</v>
      </c>
      <c r="AW1731" s="108">
        <f>COUNTIFS($E1729,"EUC",$AS1731,"Y")</f>
        <v>0</v>
      </c>
      <c r="AX1731" s="109">
        <f>COUNTIFS($E1729,"RPX-T",$AS1731,"Y")</f>
        <v>0</v>
      </c>
      <c r="BA1731" s="227"/>
    </row>
    <row r="1732" spans="1:53" ht="15.6" thickTop="1" thickBot="1" x14ac:dyDescent="0.35">
      <c r="A1732" s="88"/>
      <c r="B1732" s="29" t="s">
        <v>253</v>
      </c>
      <c r="C1732" s="37">
        <v>0</v>
      </c>
      <c r="D1732" s="41" t="s">
        <v>254</v>
      </c>
      <c r="E1732" s="42"/>
      <c r="F1732" s="88"/>
      <c r="G1732" s="322"/>
      <c r="H1732" s="47" t="s">
        <v>255</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5">
      <c r="A1733" s="88"/>
      <c r="B1733" s="36" t="s">
        <v>256</v>
      </c>
      <c r="C1733" s="30">
        <v>0</v>
      </c>
      <c r="D1733" s="49" t="s">
        <v>257</v>
      </c>
      <c r="E1733" s="50">
        <f>E1730/12</f>
        <v>0</v>
      </c>
      <c r="F1733" s="88"/>
      <c r="G1733" s="321" t="s">
        <v>258</v>
      </c>
      <c r="H1733" s="51" t="s">
        <v>259</v>
      </c>
      <c r="I1733" s="112">
        <f>E1732</f>
        <v>0</v>
      </c>
      <c r="J1733" s="323" t="s">
        <v>260</v>
      </c>
      <c r="K1733" s="324"/>
      <c r="L1733" s="325"/>
      <c r="M1733" s="52" t="s">
        <v>261</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5.6" thickTop="1" thickBot="1" x14ac:dyDescent="0.35">
      <c r="A1734" s="88"/>
      <c r="B1734" s="36" t="s">
        <v>262</v>
      </c>
      <c r="C1734" s="30">
        <v>0</v>
      </c>
      <c r="D1734" s="31" t="s">
        <v>263</v>
      </c>
      <c r="E1734" s="101" t="str">
        <f>IF('Cable Calculator'!HF5="","",'Cable Calculator'!HF5)</f>
        <v/>
      </c>
      <c r="F1734" s="88"/>
      <c r="G1734" s="322"/>
      <c r="H1734" s="47" t="s">
        <v>264</v>
      </c>
      <c r="I1734" s="35" t="str">
        <f>IF(E1732="","0",IF(AND(E1729="EUC",E1730=432), I1733+(203-E1731),IF(E1732=0,0,(E1732+(E1730-E1731)-1))))</f>
        <v>0</v>
      </c>
      <c r="J1734" s="286" t="str">
        <f>IFERROR(IF(OR(E1729="EUC",E1729="SS"),"---",IF(OR(P1728,S1728),"NO 2F Tethers for RPX!",IF(OR(P1730,S1730),"NO 6F Tethers for RPX!","---"))),"---")</f>
        <v>---</v>
      </c>
      <c r="K1734" s="287"/>
      <c r="L1734" s="288"/>
      <c r="M1734" s="286" t="str">
        <f>IF(E1731&gt;60,"Dead Count &gt;60: Consider Downsize","---")</f>
        <v>---</v>
      </c>
      <c r="N1734" s="287"/>
      <c r="O1734" s="287"/>
      <c r="P1734" s="287"/>
      <c r="Q1734" s="287"/>
      <c r="R1734" s="287"/>
      <c r="S1734" s="287"/>
      <c r="T1734" s="287"/>
      <c r="U1734" s="288"/>
      <c r="V1734" s="100"/>
      <c r="W1734" s="54">
        <f>SUM(P1734:U1734)</f>
        <v>0</v>
      </c>
      <c r="X1734" s="54"/>
      <c r="Y1734" s="25"/>
      <c r="Z1734" s="45">
        <v>4</v>
      </c>
      <c r="AA1734" s="46">
        <v>37</v>
      </c>
      <c r="AB1734" s="46">
        <v>48</v>
      </c>
      <c r="AC1734" s="25"/>
      <c r="AD1734" s="25"/>
      <c r="BA1734" s="227"/>
    </row>
    <row r="1735" spans="1:53" ht="15.6" thickTop="1" thickBot="1" x14ac:dyDescent="0.35">
      <c r="A1735" s="88"/>
      <c r="B1735" s="55" t="s">
        <v>265</v>
      </c>
      <c r="C1735" s="56">
        <f>SUM(C1729:C1734)+I1728</f>
        <v>0</v>
      </c>
      <c r="D1735" s="31" t="s">
        <v>266</v>
      </c>
      <c r="E1735" s="101" t="str">
        <f>IF(AS1729="Y","DBL",IF(AS1730="Y","TRPL",IF(AS1731="Y","QUAD","")))</f>
        <v/>
      </c>
      <c r="F1735" s="88"/>
      <c r="G1735" s="192"/>
      <c r="H1735" s="57"/>
      <c r="I1735" s="192"/>
      <c r="J1735" s="286"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7"/>
      <c r="L1735" s="288"/>
      <c r="M1735" s="286" t="str">
        <f>IF(AND(OR(E1729="SS",E1729="RPX",E1729="EUC",E1729="RPX-T"),(OR(C1739="",C1739="Field SPL"))),"Cannot have FlexNap cables without tethers","---")</f>
        <v>---</v>
      </c>
      <c r="N1735" s="287"/>
      <c r="O1735" s="287"/>
      <c r="P1735" s="287"/>
      <c r="Q1735" s="287"/>
      <c r="R1735" s="287"/>
      <c r="S1735" s="287"/>
      <c r="T1735" s="287"/>
      <c r="U1735" s="288"/>
      <c r="V1735" s="25"/>
      <c r="W1735" s="58"/>
      <c r="X1735" s="58"/>
      <c r="Y1735" s="25"/>
      <c r="Z1735" s="45">
        <v>5</v>
      </c>
      <c r="AA1735" s="46">
        <v>49</v>
      </c>
      <c r="AB1735" s="46">
        <v>60</v>
      </c>
      <c r="AC1735" s="25"/>
      <c r="AD1735" s="25"/>
      <c r="BA1735" s="227"/>
    </row>
    <row r="1736" spans="1:53" ht="15.6" thickTop="1" thickBot="1" x14ac:dyDescent="0.35">
      <c r="A1736" s="88"/>
      <c r="B1736" s="59"/>
      <c r="C1736" s="60"/>
      <c r="D1736" s="61"/>
      <c r="E1736" s="62"/>
      <c r="F1736" s="88"/>
      <c r="G1736" s="63"/>
      <c r="H1736" s="64"/>
      <c r="I1736" s="63"/>
      <c r="J1736" s="286" t="str">
        <f>IF(AND(OR(E1729="RPX", E1729="RPX-T", E1729="SS"),E1730=216),"NO 216 For RPX, RPX-T, OR SS CABLE","---")</f>
        <v>---</v>
      </c>
      <c r="K1736" s="287"/>
      <c r="L1736" s="288"/>
      <c r="M1736" s="286" t="str" cm="1">
        <f t="array" ref="M1736">IF(AND(E1729="",OR(C1739:C1763="FST",C1739:C1763="REV T",C1739:C1763="DBL REV",C1739:C1763="TPL REV", C1739:C1763="QD REV")),"Non-FlexNap cables cannot have tethers","---")</f>
        <v>---</v>
      </c>
      <c r="N1736" s="287"/>
      <c r="O1736" s="287"/>
      <c r="P1736" s="287"/>
      <c r="Q1736" s="287"/>
      <c r="R1736" s="287"/>
      <c r="S1736" s="287"/>
      <c r="T1736" s="287"/>
      <c r="U1736" s="288"/>
      <c r="V1736" s="25"/>
      <c r="W1736" s="58"/>
      <c r="X1736" s="58"/>
      <c r="Y1736" s="25"/>
      <c r="Z1736" s="45">
        <v>6</v>
      </c>
      <c r="AA1736" s="65">
        <v>61</v>
      </c>
      <c r="AB1736" s="65">
        <v>72</v>
      </c>
      <c r="AC1736" s="25"/>
      <c r="AD1736" s="25"/>
      <c r="BA1736" s="226"/>
    </row>
    <row r="1737" spans="1:53" ht="15.75" customHeight="1" thickBot="1" x14ac:dyDescent="0.35">
      <c r="A1737" s="88"/>
      <c r="B1737" s="321" t="s">
        <v>267</v>
      </c>
      <c r="C1737" s="293" t="s">
        <v>268</v>
      </c>
      <c r="D1737" s="293" t="s">
        <v>269</v>
      </c>
      <c r="E1737" s="306" t="s">
        <v>270</v>
      </c>
      <c r="F1737" s="293" t="s">
        <v>271</v>
      </c>
      <c r="G1737" s="308" t="s">
        <v>272</v>
      </c>
      <c r="H1737" s="308" t="s">
        <v>273</v>
      </c>
      <c r="I1737" s="308" t="s">
        <v>274</v>
      </c>
      <c r="J1737" s="310" t="s">
        <v>275</v>
      </c>
      <c r="K1737" s="293" t="s">
        <v>276</v>
      </c>
      <c r="L1737" s="280" t="s">
        <v>277</v>
      </c>
      <c r="M1737" s="282" t="s">
        <v>278</v>
      </c>
      <c r="N1737" s="282"/>
      <c r="O1737" s="282"/>
      <c r="P1737" s="282"/>
      <c r="Q1737" s="282"/>
      <c r="R1737" s="282"/>
      <c r="S1737" s="282"/>
      <c r="T1737" s="282"/>
      <c r="U1737" s="283"/>
      <c r="V1737" s="107"/>
      <c r="W1737" s="72"/>
      <c r="X1737" s="72"/>
      <c r="Y1737" s="72"/>
      <c r="Z1737" s="45">
        <v>7</v>
      </c>
      <c r="AA1737" s="65">
        <v>73</v>
      </c>
      <c r="AB1737" s="65">
        <v>84</v>
      </c>
      <c r="AC1737" s="25"/>
      <c r="AD1737" s="25"/>
      <c r="BA1737" s="228"/>
    </row>
    <row r="1738" spans="1:53" ht="15" thickBot="1" x14ac:dyDescent="0.35">
      <c r="A1738" s="88"/>
      <c r="B1738" s="322"/>
      <c r="C1738" s="294"/>
      <c r="D1738" s="294"/>
      <c r="E1738" s="307"/>
      <c r="F1738" s="294"/>
      <c r="G1738" s="309"/>
      <c r="H1738" s="309"/>
      <c r="I1738" s="309"/>
      <c r="J1738" s="311"/>
      <c r="K1738" s="294"/>
      <c r="L1738" s="281"/>
      <c r="M1738" s="284"/>
      <c r="N1738" s="284"/>
      <c r="O1738" s="284"/>
      <c r="P1738" s="284"/>
      <c r="Q1738" s="284"/>
      <c r="R1738" s="284"/>
      <c r="S1738" s="284"/>
      <c r="T1738" s="284"/>
      <c r="U1738" s="285"/>
      <c r="V1738" s="107"/>
      <c r="W1738" s="72"/>
      <c r="X1738" s="72"/>
      <c r="Y1738" s="72"/>
      <c r="Z1738" s="45">
        <v>8</v>
      </c>
      <c r="AA1738" s="46">
        <v>85</v>
      </c>
      <c r="AB1738" s="46">
        <v>96</v>
      </c>
      <c r="AC1738" s="25"/>
      <c r="AD1738" s="25"/>
      <c r="AI1738" s="109" t="s">
        <v>279</v>
      </c>
      <c r="AJ1738" s="109" t="s">
        <v>280</v>
      </c>
      <c r="AK1738" s="109" t="s">
        <v>281</v>
      </c>
      <c r="AL1738" s="109" t="s">
        <v>282</v>
      </c>
      <c r="BA1738" s="228"/>
    </row>
    <row r="1739" spans="1:53" ht="15" thickBot="1" x14ac:dyDescent="0.35">
      <c r="A1739" s="88"/>
      <c r="B1739" s="66" t="s">
        <v>283</v>
      </c>
      <c r="C1739" s="67"/>
      <c r="D1739" s="102"/>
      <c r="E1739" s="32"/>
      <c r="F1739" s="32"/>
      <c r="G1739" s="68" t="s">
        <v>285</v>
      </c>
      <c r="H1739" s="69">
        <f>IF(I1739=0,0,I1739-(E1739-1))</f>
        <v>0</v>
      </c>
      <c r="I1739" s="70">
        <f>IF(E1739=0,0,I1734)</f>
        <v>0</v>
      </c>
      <c r="J1739" s="71" t="s">
        <v>286</v>
      </c>
      <c r="K1739" s="32"/>
      <c r="L1739" s="233"/>
      <c r="M1739" s="278"/>
      <c r="N1739" s="278"/>
      <c r="O1739" s="278"/>
      <c r="P1739" s="278"/>
      <c r="Q1739" s="278"/>
      <c r="R1739" s="278"/>
      <c r="S1739" s="278"/>
      <c r="T1739" s="278"/>
      <c r="U1739" s="27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 thickBot="1" x14ac:dyDescent="0.35">
      <c r="A1740" s="88"/>
      <c r="B1740" s="66" t="s">
        <v>288</v>
      </c>
      <c r="C1740" s="67"/>
      <c r="D1740" s="102"/>
      <c r="E1740" s="32"/>
      <c r="F1740" s="32"/>
      <c r="G1740" s="68" t="s">
        <v>285</v>
      </c>
      <c r="H1740" s="69">
        <f t="shared" ref="H1740:H1763" si="723">IF(E1740=0,0,I1740-(E1740-1))</f>
        <v>0</v>
      </c>
      <c r="I1740" s="70">
        <f t="shared" ref="I1740:I1763" si="724">IF(E1740=0,0,H1739-1)</f>
        <v>0</v>
      </c>
      <c r="J1740" s="73" t="str">
        <f>IF(C1740="","--",IF(AND(C1740&lt;&gt;"FST",C1740&lt;&gt;"TCF",BA1739&lt;&gt;0),BA1739,"--"))</f>
        <v>--</v>
      </c>
      <c r="K1740" s="32"/>
      <c r="L1740" s="233"/>
      <c r="M1740" s="278"/>
      <c r="N1740" s="278"/>
      <c r="O1740" s="278"/>
      <c r="P1740" s="278"/>
      <c r="Q1740" s="278"/>
      <c r="R1740" s="278"/>
      <c r="S1740" s="278"/>
      <c r="T1740" s="278"/>
      <c r="U1740" s="27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 thickBot="1" x14ac:dyDescent="0.35">
      <c r="A1741" s="88"/>
      <c r="B1741" s="74" t="s">
        <v>290</v>
      </c>
      <c r="C1741" s="67"/>
      <c r="D1741" s="102"/>
      <c r="E1741" s="32"/>
      <c r="F1741" s="32"/>
      <c r="G1741" s="75" t="s">
        <v>285</v>
      </c>
      <c r="H1741" s="69">
        <f t="shared" si="723"/>
        <v>0</v>
      </c>
      <c r="I1741" s="70">
        <f t="shared" si="724"/>
        <v>0</v>
      </c>
      <c r="J1741" s="73" t="str">
        <f t="shared" ref="J1741:J1763" si="725">IF(C1741="","--",IF(AND(C1741&lt;&gt;"FST",C1741&lt;&gt;"TCF",BA1740&lt;&gt;0),BA1740,"--"))</f>
        <v>--</v>
      </c>
      <c r="K1741" s="32"/>
      <c r="L1741" s="233"/>
      <c r="M1741" s="278"/>
      <c r="N1741" s="278"/>
      <c r="O1741" s="278"/>
      <c r="P1741" s="278"/>
      <c r="Q1741" s="278"/>
      <c r="R1741" s="278"/>
      <c r="S1741" s="278"/>
      <c r="T1741" s="278"/>
      <c r="U1741" s="27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 thickBot="1" x14ac:dyDescent="0.35">
      <c r="A1742" s="88"/>
      <c r="B1742" s="66" t="s">
        <v>292</v>
      </c>
      <c r="C1742" s="67"/>
      <c r="D1742" s="102"/>
      <c r="E1742" s="32"/>
      <c r="F1742" s="32"/>
      <c r="G1742" s="68" t="s">
        <v>285</v>
      </c>
      <c r="H1742" s="69">
        <f t="shared" si="723"/>
        <v>0</v>
      </c>
      <c r="I1742" s="70">
        <f t="shared" si="724"/>
        <v>0</v>
      </c>
      <c r="J1742" s="73" t="str">
        <f t="shared" si="725"/>
        <v>--</v>
      </c>
      <c r="K1742" s="32"/>
      <c r="L1742" s="233"/>
      <c r="M1742" s="278"/>
      <c r="N1742" s="278"/>
      <c r="O1742" s="278"/>
      <c r="P1742" s="278"/>
      <c r="Q1742" s="278"/>
      <c r="R1742" s="278"/>
      <c r="S1742" s="278"/>
      <c r="T1742" s="278"/>
      <c r="U1742" s="27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 thickBot="1" x14ac:dyDescent="0.35">
      <c r="A1743" s="88"/>
      <c r="B1743" s="66" t="s">
        <v>293</v>
      </c>
      <c r="C1743" s="67"/>
      <c r="D1743" s="102"/>
      <c r="E1743" s="32"/>
      <c r="F1743" s="32"/>
      <c r="G1743" s="68" t="s">
        <v>285</v>
      </c>
      <c r="H1743" s="69">
        <f t="shared" si="723"/>
        <v>0</v>
      </c>
      <c r="I1743" s="70">
        <f t="shared" si="724"/>
        <v>0</v>
      </c>
      <c r="J1743" s="73" t="str">
        <f t="shared" si="725"/>
        <v>--</v>
      </c>
      <c r="K1743" s="32"/>
      <c r="L1743" s="233"/>
      <c r="M1743" s="278"/>
      <c r="N1743" s="278"/>
      <c r="O1743" s="278"/>
      <c r="P1743" s="278"/>
      <c r="Q1743" s="278"/>
      <c r="R1743" s="278"/>
      <c r="S1743" s="278"/>
      <c r="T1743" s="278"/>
      <c r="U1743" s="27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 thickBot="1" x14ac:dyDescent="0.35">
      <c r="A1744" s="88"/>
      <c r="B1744" s="66" t="s">
        <v>294</v>
      </c>
      <c r="C1744" s="67"/>
      <c r="D1744" s="102"/>
      <c r="E1744" s="32"/>
      <c r="F1744" s="32"/>
      <c r="G1744" s="68" t="s">
        <v>285</v>
      </c>
      <c r="H1744" s="69">
        <f t="shared" si="723"/>
        <v>0</v>
      </c>
      <c r="I1744" s="70">
        <f t="shared" si="724"/>
        <v>0</v>
      </c>
      <c r="J1744" s="73" t="str">
        <f t="shared" si="725"/>
        <v>--</v>
      </c>
      <c r="K1744" s="32"/>
      <c r="L1744" s="233"/>
      <c r="M1744" s="278"/>
      <c r="N1744" s="278"/>
      <c r="O1744" s="278"/>
      <c r="P1744" s="278"/>
      <c r="Q1744" s="278"/>
      <c r="R1744" s="278"/>
      <c r="S1744" s="278"/>
      <c r="T1744" s="278"/>
      <c r="U1744" s="27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 thickBot="1" x14ac:dyDescent="0.35">
      <c r="A1745" s="88"/>
      <c r="B1745" s="66" t="s">
        <v>295</v>
      </c>
      <c r="C1745" s="67"/>
      <c r="D1745" s="102"/>
      <c r="E1745" s="32"/>
      <c r="F1745" s="32"/>
      <c r="G1745" s="68" t="s">
        <v>285</v>
      </c>
      <c r="H1745" s="69">
        <f t="shared" si="723"/>
        <v>0</v>
      </c>
      <c r="I1745" s="70">
        <f t="shared" si="724"/>
        <v>0</v>
      </c>
      <c r="J1745" s="73" t="str">
        <f t="shared" si="725"/>
        <v>--</v>
      </c>
      <c r="K1745" s="32"/>
      <c r="L1745" s="233"/>
      <c r="M1745" s="278"/>
      <c r="N1745" s="278"/>
      <c r="O1745" s="278"/>
      <c r="P1745" s="278"/>
      <c r="Q1745" s="278"/>
      <c r="R1745" s="278"/>
      <c r="S1745" s="278"/>
      <c r="T1745" s="278"/>
      <c r="U1745" s="27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 thickBot="1" x14ac:dyDescent="0.35">
      <c r="A1746" s="88"/>
      <c r="B1746" s="66" t="s">
        <v>296</v>
      </c>
      <c r="C1746" s="67"/>
      <c r="D1746" s="102"/>
      <c r="E1746" s="32"/>
      <c r="F1746" s="32"/>
      <c r="G1746" s="68" t="s">
        <v>285</v>
      </c>
      <c r="H1746" s="69">
        <f t="shared" si="723"/>
        <v>0</v>
      </c>
      <c r="I1746" s="70">
        <f t="shared" si="724"/>
        <v>0</v>
      </c>
      <c r="J1746" s="73" t="str">
        <f t="shared" si="725"/>
        <v>--</v>
      </c>
      <c r="K1746" s="32"/>
      <c r="L1746" s="233"/>
      <c r="M1746" s="278"/>
      <c r="N1746" s="278"/>
      <c r="O1746" s="278"/>
      <c r="P1746" s="278"/>
      <c r="Q1746" s="278"/>
      <c r="R1746" s="278"/>
      <c r="S1746" s="278"/>
      <c r="T1746" s="278"/>
      <c r="U1746" s="27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 thickBot="1" x14ac:dyDescent="0.35">
      <c r="A1747" s="88"/>
      <c r="B1747" s="66" t="s">
        <v>297</v>
      </c>
      <c r="C1747" s="67"/>
      <c r="D1747" s="102"/>
      <c r="E1747" s="32"/>
      <c r="F1747" s="32"/>
      <c r="G1747" s="68" t="s">
        <v>285</v>
      </c>
      <c r="H1747" s="69">
        <f t="shared" si="723"/>
        <v>0</v>
      </c>
      <c r="I1747" s="70">
        <f t="shared" si="724"/>
        <v>0</v>
      </c>
      <c r="J1747" s="73" t="str">
        <f t="shared" si="725"/>
        <v>--</v>
      </c>
      <c r="K1747" s="32"/>
      <c r="L1747" s="233"/>
      <c r="M1747" s="278"/>
      <c r="N1747" s="278"/>
      <c r="O1747" s="278"/>
      <c r="P1747" s="278"/>
      <c r="Q1747" s="278"/>
      <c r="R1747" s="278"/>
      <c r="S1747" s="278"/>
      <c r="T1747" s="278"/>
      <c r="U1747" s="27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 thickBot="1" x14ac:dyDescent="0.35">
      <c r="A1748" s="88"/>
      <c r="B1748" s="66" t="s">
        <v>298</v>
      </c>
      <c r="C1748" s="67"/>
      <c r="D1748" s="102"/>
      <c r="E1748" s="32"/>
      <c r="F1748" s="32"/>
      <c r="G1748" s="68" t="s">
        <v>285</v>
      </c>
      <c r="H1748" s="69">
        <f t="shared" si="723"/>
        <v>0</v>
      </c>
      <c r="I1748" s="70">
        <f t="shared" si="724"/>
        <v>0</v>
      </c>
      <c r="J1748" s="73" t="str">
        <f t="shared" si="725"/>
        <v>--</v>
      </c>
      <c r="K1748" s="32"/>
      <c r="L1748" s="233"/>
      <c r="M1748" s="278"/>
      <c r="N1748" s="278"/>
      <c r="O1748" s="278"/>
      <c r="P1748" s="278"/>
      <c r="Q1748" s="278"/>
      <c r="R1748" s="278"/>
      <c r="S1748" s="278"/>
      <c r="T1748" s="278"/>
      <c r="U1748" s="27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 thickBot="1" x14ac:dyDescent="0.35">
      <c r="A1749" s="88"/>
      <c r="B1749" s="66" t="s">
        <v>299</v>
      </c>
      <c r="C1749" s="67"/>
      <c r="D1749" s="102"/>
      <c r="E1749" s="32"/>
      <c r="F1749" s="32"/>
      <c r="G1749" s="68" t="s">
        <v>285</v>
      </c>
      <c r="H1749" s="69">
        <f t="shared" si="723"/>
        <v>0</v>
      </c>
      <c r="I1749" s="70">
        <f t="shared" si="724"/>
        <v>0</v>
      </c>
      <c r="J1749" s="73" t="str">
        <f t="shared" si="725"/>
        <v>--</v>
      </c>
      <c r="K1749" s="32"/>
      <c r="L1749" s="233"/>
      <c r="M1749" s="278"/>
      <c r="N1749" s="278"/>
      <c r="O1749" s="278"/>
      <c r="P1749" s="278"/>
      <c r="Q1749" s="278"/>
      <c r="R1749" s="278"/>
      <c r="S1749" s="278"/>
      <c r="T1749" s="278"/>
      <c r="U1749" s="27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 thickBot="1" x14ac:dyDescent="0.35">
      <c r="A1750" s="88"/>
      <c r="B1750" s="66" t="s">
        <v>300</v>
      </c>
      <c r="C1750" s="67"/>
      <c r="D1750" s="102"/>
      <c r="E1750" s="32"/>
      <c r="F1750" s="32"/>
      <c r="G1750" s="68" t="s">
        <v>285</v>
      </c>
      <c r="H1750" s="69">
        <f t="shared" si="723"/>
        <v>0</v>
      </c>
      <c r="I1750" s="70">
        <f t="shared" si="724"/>
        <v>0</v>
      </c>
      <c r="J1750" s="73" t="str">
        <f t="shared" si="725"/>
        <v>--</v>
      </c>
      <c r="K1750" s="32"/>
      <c r="L1750" s="233"/>
      <c r="M1750" s="278"/>
      <c r="N1750" s="278"/>
      <c r="O1750" s="278"/>
      <c r="P1750" s="278"/>
      <c r="Q1750" s="278"/>
      <c r="R1750" s="278"/>
      <c r="S1750" s="278"/>
      <c r="T1750" s="278"/>
      <c r="U1750" s="27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 thickBot="1" x14ac:dyDescent="0.35">
      <c r="A1751" s="88"/>
      <c r="B1751" s="66" t="s">
        <v>301</v>
      </c>
      <c r="C1751" s="67"/>
      <c r="D1751" s="102"/>
      <c r="E1751" s="32"/>
      <c r="F1751" s="32"/>
      <c r="G1751" s="68" t="s">
        <v>285</v>
      </c>
      <c r="H1751" s="69">
        <f t="shared" si="723"/>
        <v>0</v>
      </c>
      <c r="I1751" s="70">
        <f t="shared" si="724"/>
        <v>0</v>
      </c>
      <c r="J1751" s="73" t="str">
        <f t="shared" si="725"/>
        <v>--</v>
      </c>
      <c r="K1751" s="32"/>
      <c r="L1751" s="233"/>
      <c r="M1751" s="278"/>
      <c r="N1751" s="278"/>
      <c r="O1751" s="278"/>
      <c r="P1751" s="278"/>
      <c r="Q1751" s="278"/>
      <c r="R1751" s="278"/>
      <c r="S1751" s="278"/>
      <c r="T1751" s="278"/>
      <c r="U1751" s="27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 thickBot="1" x14ac:dyDescent="0.35">
      <c r="A1752" s="88"/>
      <c r="B1752" s="66" t="s">
        <v>302</v>
      </c>
      <c r="C1752" s="67"/>
      <c r="D1752" s="102"/>
      <c r="E1752" s="32"/>
      <c r="F1752" s="32"/>
      <c r="G1752" s="68" t="s">
        <v>285</v>
      </c>
      <c r="H1752" s="69">
        <f t="shared" si="723"/>
        <v>0</v>
      </c>
      <c r="I1752" s="70">
        <f t="shared" si="724"/>
        <v>0</v>
      </c>
      <c r="J1752" s="73" t="str">
        <f t="shared" si="725"/>
        <v>--</v>
      </c>
      <c r="K1752" s="32"/>
      <c r="L1752" s="233"/>
      <c r="M1752" s="278"/>
      <c r="N1752" s="278"/>
      <c r="O1752" s="278"/>
      <c r="P1752" s="278"/>
      <c r="Q1752" s="278"/>
      <c r="R1752" s="278"/>
      <c r="S1752" s="278"/>
      <c r="T1752" s="278"/>
      <c r="U1752" s="27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 thickBot="1" x14ac:dyDescent="0.35">
      <c r="A1753" s="88"/>
      <c r="B1753" s="66" t="s">
        <v>303</v>
      </c>
      <c r="C1753" s="67"/>
      <c r="D1753" s="102"/>
      <c r="E1753" s="32"/>
      <c r="F1753" s="32"/>
      <c r="G1753" s="68" t="s">
        <v>285</v>
      </c>
      <c r="H1753" s="69">
        <f t="shared" si="723"/>
        <v>0</v>
      </c>
      <c r="I1753" s="70">
        <f t="shared" si="724"/>
        <v>0</v>
      </c>
      <c r="J1753" s="73" t="str">
        <f t="shared" si="725"/>
        <v>--</v>
      </c>
      <c r="K1753" s="32"/>
      <c r="L1753" s="233"/>
      <c r="M1753" s="278"/>
      <c r="N1753" s="278"/>
      <c r="O1753" s="278"/>
      <c r="P1753" s="278"/>
      <c r="Q1753" s="278"/>
      <c r="R1753" s="278"/>
      <c r="S1753" s="278"/>
      <c r="T1753" s="278"/>
      <c r="U1753" s="27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 thickBot="1" x14ac:dyDescent="0.35">
      <c r="A1754" s="88"/>
      <c r="B1754" s="66" t="s">
        <v>304</v>
      </c>
      <c r="C1754" s="67"/>
      <c r="D1754" s="102"/>
      <c r="E1754" s="32"/>
      <c r="F1754" s="32"/>
      <c r="G1754" s="68" t="s">
        <v>285</v>
      </c>
      <c r="H1754" s="69">
        <f t="shared" si="723"/>
        <v>0</v>
      </c>
      <c r="I1754" s="70">
        <f t="shared" si="724"/>
        <v>0</v>
      </c>
      <c r="J1754" s="73" t="str">
        <f t="shared" si="725"/>
        <v>--</v>
      </c>
      <c r="K1754" s="32"/>
      <c r="L1754" s="233"/>
      <c r="M1754" s="278"/>
      <c r="N1754" s="278"/>
      <c r="O1754" s="278"/>
      <c r="P1754" s="278"/>
      <c r="Q1754" s="278"/>
      <c r="R1754" s="278"/>
      <c r="S1754" s="278"/>
      <c r="T1754" s="278"/>
      <c r="U1754" s="27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 thickBot="1" x14ac:dyDescent="0.35">
      <c r="A1755" s="88"/>
      <c r="B1755" s="66" t="s">
        <v>305</v>
      </c>
      <c r="C1755" s="67"/>
      <c r="D1755" s="102"/>
      <c r="E1755" s="32"/>
      <c r="F1755" s="32"/>
      <c r="G1755" s="68" t="s">
        <v>285</v>
      </c>
      <c r="H1755" s="69">
        <f t="shared" si="723"/>
        <v>0</v>
      </c>
      <c r="I1755" s="70">
        <f t="shared" si="724"/>
        <v>0</v>
      </c>
      <c r="J1755" s="73" t="str">
        <f t="shared" si="725"/>
        <v>--</v>
      </c>
      <c r="K1755" s="32"/>
      <c r="L1755" s="233"/>
      <c r="M1755" s="278"/>
      <c r="N1755" s="278"/>
      <c r="O1755" s="278"/>
      <c r="P1755" s="278"/>
      <c r="Q1755" s="278"/>
      <c r="R1755" s="278"/>
      <c r="S1755" s="278"/>
      <c r="T1755" s="278"/>
      <c r="U1755" s="27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 thickBot="1" x14ac:dyDescent="0.35">
      <c r="A1756" s="88"/>
      <c r="B1756" s="66" t="s">
        <v>306</v>
      </c>
      <c r="C1756" s="67"/>
      <c r="D1756" s="102"/>
      <c r="E1756" s="32"/>
      <c r="F1756" s="32"/>
      <c r="G1756" s="68" t="s">
        <v>285</v>
      </c>
      <c r="H1756" s="69">
        <f t="shared" si="723"/>
        <v>0</v>
      </c>
      <c r="I1756" s="70">
        <f t="shared" si="724"/>
        <v>0</v>
      </c>
      <c r="J1756" s="73" t="str">
        <f t="shared" si="725"/>
        <v>--</v>
      </c>
      <c r="K1756" s="32"/>
      <c r="L1756" s="233"/>
      <c r="M1756" s="278"/>
      <c r="N1756" s="278"/>
      <c r="O1756" s="278"/>
      <c r="P1756" s="278"/>
      <c r="Q1756" s="278"/>
      <c r="R1756" s="278"/>
      <c r="S1756" s="278"/>
      <c r="T1756" s="278"/>
      <c r="U1756" s="27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 thickBot="1" x14ac:dyDescent="0.35">
      <c r="A1757" s="88"/>
      <c r="B1757" s="66" t="s">
        <v>307</v>
      </c>
      <c r="C1757" s="67"/>
      <c r="D1757" s="102"/>
      <c r="E1757" s="32"/>
      <c r="F1757" s="32"/>
      <c r="G1757" s="68" t="s">
        <v>285</v>
      </c>
      <c r="H1757" s="69">
        <f t="shared" si="723"/>
        <v>0</v>
      </c>
      <c r="I1757" s="70">
        <f t="shared" si="724"/>
        <v>0</v>
      </c>
      <c r="J1757" s="73" t="str">
        <f t="shared" si="725"/>
        <v>--</v>
      </c>
      <c r="K1757" s="32"/>
      <c r="L1757" s="233"/>
      <c r="M1757" s="278"/>
      <c r="N1757" s="278"/>
      <c r="O1757" s="278"/>
      <c r="P1757" s="278"/>
      <c r="Q1757" s="278"/>
      <c r="R1757" s="278"/>
      <c r="S1757" s="278"/>
      <c r="T1757" s="278"/>
      <c r="U1757" s="27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 thickBot="1" x14ac:dyDescent="0.35">
      <c r="A1758" s="88"/>
      <c r="B1758" s="66" t="s">
        <v>308</v>
      </c>
      <c r="C1758" s="67"/>
      <c r="D1758" s="102"/>
      <c r="E1758" s="32"/>
      <c r="F1758" s="32"/>
      <c r="G1758" s="68" t="s">
        <v>285</v>
      </c>
      <c r="H1758" s="69">
        <f t="shared" si="723"/>
        <v>0</v>
      </c>
      <c r="I1758" s="70">
        <f t="shared" si="724"/>
        <v>0</v>
      </c>
      <c r="J1758" s="73" t="str">
        <f t="shared" si="725"/>
        <v>--</v>
      </c>
      <c r="K1758" s="32"/>
      <c r="L1758" s="233"/>
      <c r="M1758" s="278"/>
      <c r="N1758" s="278"/>
      <c r="O1758" s="278"/>
      <c r="P1758" s="278"/>
      <c r="Q1758" s="278"/>
      <c r="R1758" s="278"/>
      <c r="S1758" s="278"/>
      <c r="T1758" s="278"/>
      <c r="U1758" s="27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 thickBot="1" x14ac:dyDescent="0.35">
      <c r="A1759" s="88"/>
      <c r="B1759" s="66" t="s">
        <v>309</v>
      </c>
      <c r="C1759" s="67"/>
      <c r="D1759" s="102"/>
      <c r="E1759" s="32"/>
      <c r="F1759" s="32"/>
      <c r="G1759" s="68" t="s">
        <v>285</v>
      </c>
      <c r="H1759" s="69">
        <f t="shared" si="723"/>
        <v>0</v>
      </c>
      <c r="I1759" s="70">
        <f t="shared" si="724"/>
        <v>0</v>
      </c>
      <c r="J1759" s="73" t="str">
        <f t="shared" si="725"/>
        <v>--</v>
      </c>
      <c r="K1759" s="32"/>
      <c r="L1759" s="233"/>
      <c r="M1759" s="278"/>
      <c r="N1759" s="278"/>
      <c r="O1759" s="278"/>
      <c r="P1759" s="278"/>
      <c r="Q1759" s="278"/>
      <c r="R1759" s="278"/>
      <c r="S1759" s="278"/>
      <c r="T1759" s="278"/>
      <c r="U1759" s="27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 thickBot="1" x14ac:dyDescent="0.35">
      <c r="A1760" s="88"/>
      <c r="B1760" s="66" t="s">
        <v>310</v>
      </c>
      <c r="C1760" s="67"/>
      <c r="D1760" s="102"/>
      <c r="E1760" s="32"/>
      <c r="F1760" s="32"/>
      <c r="G1760" s="68" t="s">
        <v>285</v>
      </c>
      <c r="H1760" s="69">
        <f t="shared" si="723"/>
        <v>0</v>
      </c>
      <c r="I1760" s="70">
        <f t="shared" si="724"/>
        <v>0</v>
      </c>
      <c r="J1760" s="73" t="str">
        <f t="shared" si="725"/>
        <v>--</v>
      </c>
      <c r="K1760" s="32"/>
      <c r="L1760" s="233"/>
      <c r="M1760" s="278"/>
      <c r="N1760" s="278"/>
      <c r="O1760" s="278"/>
      <c r="P1760" s="278"/>
      <c r="Q1760" s="278"/>
      <c r="R1760" s="278"/>
      <c r="S1760" s="278"/>
      <c r="T1760" s="278"/>
      <c r="U1760" s="27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 thickBot="1" x14ac:dyDescent="0.35">
      <c r="A1761" s="88"/>
      <c r="B1761" s="66" t="s">
        <v>311</v>
      </c>
      <c r="C1761" s="67"/>
      <c r="D1761" s="102"/>
      <c r="E1761" s="32"/>
      <c r="F1761" s="32"/>
      <c r="G1761" s="68" t="s">
        <v>285</v>
      </c>
      <c r="H1761" s="69">
        <f t="shared" si="723"/>
        <v>0</v>
      </c>
      <c r="I1761" s="70">
        <f t="shared" si="724"/>
        <v>0</v>
      </c>
      <c r="J1761" s="73" t="str">
        <f t="shared" si="725"/>
        <v>--</v>
      </c>
      <c r="K1761" s="32"/>
      <c r="L1761" s="233"/>
      <c r="M1761" s="278"/>
      <c r="N1761" s="278"/>
      <c r="O1761" s="278"/>
      <c r="P1761" s="278"/>
      <c r="Q1761" s="278"/>
      <c r="R1761" s="278"/>
      <c r="S1761" s="278"/>
      <c r="T1761" s="278"/>
      <c r="U1761" s="27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 thickBot="1" x14ac:dyDescent="0.35">
      <c r="A1762" s="88"/>
      <c r="B1762" s="66" t="s">
        <v>312</v>
      </c>
      <c r="C1762" s="67"/>
      <c r="D1762" s="102"/>
      <c r="E1762" s="32"/>
      <c r="F1762" s="32"/>
      <c r="G1762" s="68" t="s">
        <v>285</v>
      </c>
      <c r="H1762" s="69">
        <f t="shared" si="723"/>
        <v>0</v>
      </c>
      <c r="I1762" s="70">
        <f t="shared" si="724"/>
        <v>0</v>
      </c>
      <c r="J1762" s="73" t="str">
        <f t="shared" si="725"/>
        <v>--</v>
      </c>
      <c r="K1762" s="32"/>
      <c r="L1762" s="233"/>
      <c r="M1762" s="278"/>
      <c r="N1762" s="278"/>
      <c r="O1762" s="278"/>
      <c r="P1762" s="278"/>
      <c r="Q1762" s="278"/>
      <c r="R1762" s="278"/>
      <c r="S1762" s="278"/>
      <c r="T1762" s="278"/>
      <c r="U1762" s="27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 thickBot="1" x14ac:dyDescent="0.35">
      <c r="A1763" s="88"/>
      <c r="B1763" s="66" t="s">
        <v>313</v>
      </c>
      <c r="C1763" s="67"/>
      <c r="D1763" s="102"/>
      <c r="E1763" s="32"/>
      <c r="F1763" s="32"/>
      <c r="G1763" s="68" t="s">
        <v>285</v>
      </c>
      <c r="H1763" s="69">
        <f t="shared" si="723"/>
        <v>0</v>
      </c>
      <c r="I1763" s="70">
        <f t="shared" si="724"/>
        <v>0</v>
      </c>
      <c r="J1763" s="73" t="str">
        <f t="shared" si="725"/>
        <v>--</v>
      </c>
      <c r="K1763" s="32"/>
      <c r="L1763" s="234"/>
      <c r="M1763" s="278"/>
      <c r="N1763" s="278"/>
      <c r="O1763" s="278"/>
      <c r="P1763" s="278"/>
      <c r="Q1763" s="278"/>
      <c r="R1763" s="278"/>
      <c r="S1763" s="278"/>
      <c r="T1763" s="278"/>
      <c r="U1763" s="27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2" thickBot="1" x14ac:dyDescent="0.35">
      <c r="A1764" s="88"/>
      <c r="B1764" s="319" t="s">
        <v>460</v>
      </c>
      <c r="C1764" s="320"/>
      <c r="D1764" s="79"/>
      <c r="E1764" s="80"/>
      <c r="F1764" s="80"/>
      <c r="G1764" s="81"/>
      <c r="H1764" s="192"/>
      <c r="I1764" s="192"/>
      <c r="J1764" s="192"/>
      <c r="K1764" s="82"/>
      <c r="L1764" s="319" t="s">
        <v>319</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2" thickBot="1" x14ac:dyDescent="0.35">
      <c r="A1765" s="88"/>
      <c r="B1765" s="319" t="s">
        <v>320</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3">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 thickBot="1" x14ac:dyDescent="0.35">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5">
      <c r="A1768" s="88"/>
      <c r="B1768" s="85" t="s">
        <v>461</v>
      </c>
      <c r="C1768" s="25"/>
      <c r="D1768" s="25"/>
      <c r="E1768" s="25"/>
      <c r="F1768" s="88"/>
      <c r="G1768" s="25"/>
      <c r="H1768" s="25"/>
      <c r="I1768" s="87"/>
      <c r="J1768" s="26"/>
      <c r="K1768" s="25"/>
      <c r="L1768" s="25"/>
      <c r="M1768" s="196" t="s">
        <v>217</v>
      </c>
      <c r="N1768" s="196" t="s">
        <v>218</v>
      </c>
      <c r="O1768" s="196" t="s">
        <v>219</v>
      </c>
      <c r="P1768" s="196" t="s">
        <v>220</v>
      </c>
      <c r="Q1768" s="196" t="s">
        <v>221</v>
      </c>
      <c r="R1768" s="196" t="s">
        <v>222</v>
      </c>
      <c r="S1768" s="196" t="s">
        <v>223</v>
      </c>
      <c r="T1768" s="196" t="s">
        <v>224</v>
      </c>
      <c r="U1768" s="196" t="s">
        <v>225</v>
      </c>
      <c r="V1768" s="196" t="s">
        <v>226</v>
      </c>
      <c r="W1768" s="113" t="s">
        <v>227</v>
      </c>
      <c r="X1768" s="196" t="s">
        <v>228</v>
      </c>
      <c r="Y1768" s="25"/>
      <c r="Z1768" s="25"/>
      <c r="AA1768" s="25"/>
      <c r="AB1768" s="25"/>
      <c r="AC1768" s="25"/>
      <c r="AD1768" s="25"/>
      <c r="BA1768" s="226"/>
    </row>
    <row r="1769" spans="1:53" ht="15.6" thickTop="1" thickBot="1" x14ac:dyDescent="0.35">
      <c r="A1769" s="88"/>
      <c r="B1769" s="312" t="s">
        <v>229</v>
      </c>
      <c r="C1769" s="313"/>
      <c r="D1769" s="314" t="s">
        <v>230</v>
      </c>
      <c r="E1769" s="305"/>
      <c r="F1769" s="88"/>
      <c r="G1769" s="315" t="s">
        <v>231</v>
      </c>
      <c r="H1769" s="316"/>
      <c r="I1769" s="28">
        <f>SUM(E1780:E1804)</f>
        <v>0</v>
      </c>
      <c r="J1769" s="317" t="s">
        <v>232</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233</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234</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5">
      <c r="A1770" s="88"/>
      <c r="B1770" s="29" t="s">
        <v>235</v>
      </c>
      <c r="C1770" s="30">
        <v>0</v>
      </c>
      <c r="D1770" s="31" t="s">
        <v>236</v>
      </c>
      <c r="E1770" s="66" t="str">
        <f>TEXT(IF('Cable Calculator'!HK7="","",'Cable Calculator'!HK7),)</f>
        <v/>
      </c>
      <c r="F1770" s="88"/>
      <c r="G1770" s="304" t="s">
        <v>237</v>
      </c>
      <c r="H1770" s="305"/>
      <c r="I1770" s="33">
        <f>E1771-I1769</f>
        <v>0</v>
      </c>
      <c r="J1770" s="289" t="s">
        <v>238</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239</v>
      </c>
      <c r="AA1770" s="300" t="s">
        <v>240</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241</v>
      </c>
      <c r="AU1770" s="109">
        <f>COUNTIFS($E1770,"SS",$AS1770,"Y")</f>
        <v>0</v>
      </c>
      <c r="AV1770" s="111">
        <f>COUNTIFS($E1770,"RPX",$AS1770,"Y")</f>
        <v>0</v>
      </c>
      <c r="AW1770" s="111">
        <f>COUNTIFS($E1770,"EUC",$AS1770,"Y")</f>
        <v>0</v>
      </c>
      <c r="AX1770" s="109">
        <f>COUNTIFS($E1770,"RPX-T",$AS1770,"Y")</f>
        <v>0</v>
      </c>
      <c r="BA1770" s="227"/>
    </row>
    <row r="1771" spans="1:53" ht="15.6" thickTop="1" thickBot="1" x14ac:dyDescent="0.35">
      <c r="A1771" s="88"/>
      <c r="B1771" s="36" t="s">
        <v>242</v>
      </c>
      <c r="C1771" s="37">
        <v>0</v>
      </c>
      <c r="D1771" s="38" t="s">
        <v>243</v>
      </c>
      <c r="E1771" s="32"/>
      <c r="F1771" s="88"/>
      <c r="G1771" s="291" t="s">
        <v>244</v>
      </c>
      <c r="H1771" s="292"/>
      <c r="I1771" s="35">
        <f>IF(E1771=0,0,12-(MOD(I1769,12)))</f>
        <v>0</v>
      </c>
      <c r="J1771" s="289" t="s">
        <v>245</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246</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5">
      <c r="A1772" s="88"/>
      <c r="B1772" s="40" t="s">
        <v>247</v>
      </c>
      <c r="C1772" s="30">
        <v>0</v>
      </c>
      <c r="D1772" s="41" t="s">
        <v>248</v>
      </c>
      <c r="E1772" s="42"/>
      <c r="F1772" s="88"/>
      <c r="G1772" s="321" t="s">
        <v>249</v>
      </c>
      <c r="H1772" s="43" t="s">
        <v>250</v>
      </c>
      <c r="I1772" s="35">
        <f>IF(E1772&lt;&gt;0,1,0)</f>
        <v>0</v>
      </c>
      <c r="J1772" s="291" t="s">
        <v>251</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252</v>
      </c>
      <c r="AU1772" s="109">
        <f>COUNTIFS($E1770,"SS",$AS1772,"Y")</f>
        <v>0</v>
      </c>
      <c r="AV1772" s="108">
        <f>COUNTIFS($E1770,"RPX",$AS1772,"Y")</f>
        <v>0</v>
      </c>
      <c r="AW1772" s="108">
        <f>COUNTIFS($E1770,"EUC",$AS1772,"Y")</f>
        <v>0</v>
      </c>
      <c r="AX1772" s="109">
        <f>COUNTIFS($E1770,"RPX-T",$AS1772,"Y")</f>
        <v>0</v>
      </c>
      <c r="BA1772" s="227"/>
    </row>
    <row r="1773" spans="1:53" ht="15.6" thickTop="1" thickBot="1" x14ac:dyDescent="0.35">
      <c r="A1773" s="88"/>
      <c r="B1773" s="29" t="s">
        <v>253</v>
      </c>
      <c r="C1773" s="37">
        <v>0</v>
      </c>
      <c r="D1773" s="41" t="s">
        <v>254</v>
      </c>
      <c r="E1773" s="42"/>
      <c r="F1773" s="88"/>
      <c r="G1773" s="322"/>
      <c r="H1773" s="47" t="s">
        <v>255</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5">
      <c r="A1774" s="88"/>
      <c r="B1774" s="36" t="s">
        <v>256</v>
      </c>
      <c r="C1774" s="30">
        <v>0</v>
      </c>
      <c r="D1774" s="49" t="s">
        <v>257</v>
      </c>
      <c r="E1774" s="50">
        <f>E1771/12</f>
        <v>0</v>
      </c>
      <c r="F1774" s="88"/>
      <c r="G1774" s="321" t="s">
        <v>258</v>
      </c>
      <c r="H1774" s="51" t="s">
        <v>259</v>
      </c>
      <c r="I1774" s="112">
        <f>E1773</f>
        <v>0</v>
      </c>
      <c r="J1774" s="323" t="s">
        <v>260</v>
      </c>
      <c r="K1774" s="324"/>
      <c r="L1774" s="325"/>
      <c r="M1774" s="52" t="s">
        <v>261</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5.6" thickTop="1" thickBot="1" x14ac:dyDescent="0.35">
      <c r="A1775" s="88"/>
      <c r="B1775" s="36" t="s">
        <v>262</v>
      </c>
      <c r="C1775" s="30">
        <v>0</v>
      </c>
      <c r="D1775" s="31" t="s">
        <v>263</v>
      </c>
      <c r="E1775" s="101" t="str">
        <f>IF('Cable Calculator'!HK5="","",'Cable Calculator'!HK5)</f>
        <v/>
      </c>
      <c r="F1775" s="88"/>
      <c r="G1775" s="322"/>
      <c r="H1775" s="47" t="s">
        <v>264</v>
      </c>
      <c r="I1775" s="35" t="str">
        <f>IF(E1773="","0",IF(AND(E1770="EUC",E1771=432), I1774+(203-E1772),IF(E1773=0,0,(E1773+(E1771-E1772)-1))))</f>
        <v>0</v>
      </c>
      <c r="J1775" s="286" t="str">
        <f>IFERROR(IF(OR(E1770="EUC",E1770="SS"),"---",IF(OR(P1769,S1769),"NO 2F Tethers for RPX!",IF(OR(P1771,S1771),"NO 6F Tethers for RPX!","---"))),"---")</f>
        <v>---</v>
      </c>
      <c r="K1775" s="287"/>
      <c r="L1775" s="288"/>
      <c r="M1775" s="286" t="str">
        <f>IF(E1772&gt;60,"Dead Count &gt;60: Consider Downsize","---")</f>
        <v>---</v>
      </c>
      <c r="N1775" s="287"/>
      <c r="O1775" s="287"/>
      <c r="P1775" s="287"/>
      <c r="Q1775" s="287"/>
      <c r="R1775" s="287"/>
      <c r="S1775" s="287"/>
      <c r="T1775" s="287"/>
      <c r="U1775" s="288"/>
      <c r="V1775" s="100"/>
      <c r="W1775" s="54">
        <f>SUM(P1775:U1775)</f>
        <v>0</v>
      </c>
      <c r="X1775" s="54"/>
      <c r="Y1775" s="25"/>
      <c r="Z1775" s="45">
        <v>4</v>
      </c>
      <c r="AA1775" s="46">
        <v>37</v>
      </c>
      <c r="AB1775" s="46">
        <v>48</v>
      </c>
      <c r="AC1775" s="25"/>
      <c r="AD1775" s="25"/>
      <c r="BA1775" s="227"/>
    </row>
    <row r="1776" spans="1:53" ht="15.6" thickTop="1" thickBot="1" x14ac:dyDescent="0.35">
      <c r="A1776" s="88"/>
      <c r="B1776" s="55" t="s">
        <v>265</v>
      </c>
      <c r="C1776" s="56">
        <f>SUM(C1770:C1775)+I1769</f>
        <v>0</v>
      </c>
      <c r="D1776" s="31" t="s">
        <v>266</v>
      </c>
      <c r="E1776" s="101" t="str">
        <f>IF(AS1770="Y","DBL",IF(AS1771="Y","TRPL",IF(AS1772="Y","QUAD","")))</f>
        <v/>
      </c>
      <c r="F1776" s="88"/>
      <c r="G1776" s="192"/>
      <c r="H1776" s="57"/>
      <c r="I1776" s="192"/>
      <c r="J1776" s="286"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7"/>
      <c r="L1776" s="288"/>
      <c r="M1776" s="286" t="str">
        <f>IF(AND(OR(E1770="SS",E1770="RPX",E1770="EUC",E1770="RPX-T"),(OR(C1780="",C1780="Field SPL"))),"Cannot have FlexNap cables without tethers","---")</f>
        <v>---</v>
      </c>
      <c r="N1776" s="287"/>
      <c r="O1776" s="287"/>
      <c r="P1776" s="287"/>
      <c r="Q1776" s="287"/>
      <c r="R1776" s="287"/>
      <c r="S1776" s="287"/>
      <c r="T1776" s="287"/>
      <c r="U1776" s="288"/>
      <c r="V1776" s="25"/>
      <c r="W1776" s="58"/>
      <c r="X1776" s="58"/>
      <c r="Y1776" s="25"/>
      <c r="Z1776" s="45">
        <v>5</v>
      </c>
      <c r="AA1776" s="46">
        <v>49</v>
      </c>
      <c r="AB1776" s="46">
        <v>60</v>
      </c>
      <c r="AC1776" s="25"/>
      <c r="AD1776" s="25"/>
      <c r="BA1776" s="227"/>
    </row>
    <row r="1777" spans="1:53" ht="15.6" thickTop="1" thickBot="1" x14ac:dyDescent="0.35">
      <c r="A1777" s="88"/>
      <c r="B1777" s="59"/>
      <c r="C1777" s="60"/>
      <c r="D1777" s="61"/>
      <c r="E1777" s="62"/>
      <c r="F1777" s="88"/>
      <c r="G1777" s="63"/>
      <c r="H1777" s="64"/>
      <c r="I1777" s="63"/>
      <c r="J1777" s="286" t="str">
        <f>IF(AND(OR(E1770="RPX", E1770="RPX-T", E1770="SS"),E1771=216),"NO 216 For RPX, RPX-T, OR SS CABLE","---")</f>
        <v>---</v>
      </c>
      <c r="K1777" s="287"/>
      <c r="L1777" s="288"/>
      <c r="M1777" s="286" t="str" cm="1">
        <f t="array" ref="M1777">IF(AND(E1770="",OR(C1780:C1804="FST",C1780:C1804="REV T",C1780:C1804="DBL REV",C1780:C1804="TPL REV", C1780:C1804="QD REV")),"Non-FlexNap cables cannot have tethers","---")</f>
        <v>---</v>
      </c>
      <c r="N1777" s="287"/>
      <c r="O1777" s="287"/>
      <c r="P1777" s="287"/>
      <c r="Q1777" s="287"/>
      <c r="R1777" s="287"/>
      <c r="S1777" s="287"/>
      <c r="T1777" s="287"/>
      <c r="U1777" s="288"/>
      <c r="V1777" s="25"/>
      <c r="W1777" s="58"/>
      <c r="X1777" s="58"/>
      <c r="Y1777" s="25"/>
      <c r="Z1777" s="45">
        <v>6</v>
      </c>
      <c r="AA1777" s="65">
        <v>61</v>
      </c>
      <c r="AB1777" s="65">
        <v>72</v>
      </c>
      <c r="AC1777" s="25"/>
      <c r="AD1777" s="25"/>
      <c r="BA1777" s="226"/>
    </row>
    <row r="1778" spans="1:53" ht="15.75" customHeight="1" thickBot="1" x14ac:dyDescent="0.35">
      <c r="A1778" s="88"/>
      <c r="B1778" s="321" t="s">
        <v>267</v>
      </c>
      <c r="C1778" s="293" t="s">
        <v>268</v>
      </c>
      <c r="D1778" s="293" t="s">
        <v>269</v>
      </c>
      <c r="E1778" s="306" t="s">
        <v>270</v>
      </c>
      <c r="F1778" s="293" t="s">
        <v>271</v>
      </c>
      <c r="G1778" s="308" t="s">
        <v>272</v>
      </c>
      <c r="H1778" s="308" t="s">
        <v>273</v>
      </c>
      <c r="I1778" s="308" t="s">
        <v>274</v>
      </c>
      <c r="J1778" s="310" t="s">
        <v>275</v>
      </c>
      <c r="K1778" s="293" t="s">
        <v>276</v>
      </c>
      <c r="L1778" s="280" t="s">
        <v>277</v>
      </c>
      <c r="M1778" s="282" t="s">
        <v>278</v>
      </c>
      <c r="N1778" s="282"/>
      <c r="O1778" s="282"/>
      <c r="P1778" s="282"/>
      <c r="Q1778" s="282"/>
      <c r="R1778" s="282"/>
      <c r="S1778" s="282"/>
      <c r="T1778" s="282"/>
      <c r="U1778" s="283"/>
      <c r="V1778" s="107"/>
      <c r="W1778" s="72"/>
      <c r="X1778" s="72"/>
      <c r="Y1778" s="72"/>
      <c r="Z1778" s="45">
        <v>7</v>
      </c>
      <c r="AA1778" s="65">
        <v>73</v>
      </c>
      <c r="AB1778" s="65">
        <v>84</v>
      </c>
      <c r="AC1778" s="25"/>
      <c r="AD1778" s="25"/>
      <c r="BA1778" s="228"/>
    </row>
    <row r="1779" spans="1:53" ht="15" thickBot="1" x14ac:dyDescent="0.35">
      <c r="A1779" s="88"/>
      <c r="B1779" s="322"/>
      <c r="C1779" s="294"/>
      <c r="D1779" s="294"/>
      <c r="E1779" s="307"/>
      <c r="F1779" s="294"/>
      <c r="G1779" s="309"/>
      <c r="H1779" s="309"/>
      <c r="I1779" s="309"/>
      <c r="J1779" s="311"/>
      <c r="K1779" s="294"/>
      <c r="L1779" s="281"/>
      <c r="M1779" s="284"/>
      <c r="N1779" s="284"/>
      <c r="O1779" s="284"/>
      <c r="P1779" s="284"/>
      <c r="Q1779" s="284"/>
      <c r="R1779" s="284"/>
      <c r="S1779" s="284"/>
      <c r="T1779" s="284"/>
      <c r="U1779" s="285"/>
      <c r="V1779" s="107"/>
      <c r="W1779" s="72"/>
      <c r="X1779" s="72"/>
      <c r="Y1779" s="72"/>
      <c r="Z1779" s="45">
        <v>8</v>
      </c>
      <c r="AA1779" s="46">
        <v>85</v>
      </c>
      <c r="AB1779" s="46">
        <v>96</v>
      </c>
      <c r="AC1779" s="25"/>
      <c r="AD1779" s="25"/>
      <c r="AI1779" s="109" t="s">
        <v>279</v>
      </c>
      <c r="AJ1779" s="109" t="s">
        <v>280</v>
      </c>
      <c r="AK1779" s="109" t="s">
        <v>281</v>
      </c>
      <c r="AL1779" s="109" t="s">
        <v>282</v>
      </c>
      <c r="BA1779" s="228"/>
    </row>
    <row r="1780" spans="1:53" ht="15" thickBot="1" x14ac:dyDescent="0.35">
      <c r="A1780" s="88"/>
      <c r="B1780" s="66" t="s">
        <v>283</v>
      </c>
      <c r="C1780" s="67"/>
      <c r="D1780" s="102"/>
      <c r="E1780" s="32"/>
      <c r="F1780" s="32"/>
      <c r="G1780" s="68" t="s">
        <v>285</v>
      </c>
      <c r="H1780" s="69">
        <f>IF(I1780=0,0,I1780-(E1780-1))</f>
        <v>0</v>
      </c>
      <c r="I1780" s="70">
        <f>IF(E1780=0,0,I1775)</f>
        <v>0</v>
      </c>
      <c r="J1780" s="71" t="s">
        <v>286</v>
      </c>
      <c r="K1780" s="32"/>
      <c r="L1780" s="233"/>
      <c r="M1780" s="278"/>
      <c r="N1780" s="278"/>
      <c r="O1780" s="278"/>
      <c r="P1780" s="278"/>
      <c r="Q1780" s="278"/>
      <c r="R1780" s="278"/>
      <c r="S1780" s="278"/>
      <c r="T1780" s="278"/>
      <c r="U1780" s="27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 thickBot="1" x14ac:dyDescent="0.35">
      <c r="A1781" s="88"/>
      <c r="B1781" s="66" t="s">
        <v>288</v>
      </c>
      <c r="C1781" s="67"/>
      <c r="D1781" s="102"/>
      <c r="E1781" s="32"/>
      <c r="F1781" s="32"/>
      <c r="G1781" s="68" t="s">
        <v>285</v>
      </c>
      <c r="H1781" s="69">
        <f t="shared" ref="H1781:H1804" si="740">IF(E1781=0,0,I1781-(E1781-1))</f>
        <v>0</v>
      </c>
      <c r="I1781" s="70">
        <f t="shared" ref="I1781:I1804" si="741">IF(E1781=0,0,H1780-1)</f>
        <v>0</v>
      </c>
      <c r="J1781" s="73" t="str">
        <f>IF(C1781="","--",IF(AND(C1781&lt;&gt;"FST",C1781&lt;&gt;"TCF",BA1780&lt;&gt;0),BA1780,"--"))</f>
        <v>--</v>
      </c>
      <c r="K1781" s="32"/>
      <c r="L1781" s="233"/>
      <c r="M1781" s="278"/>
      <c r="N1781" s="278"/>
      <c r="O1781" s="278"/>
      <c r="P1781" s="278"/>
      <c r="Q1781" s="278"/>
      <c r="R1781" s="278"/>
      <c r="S1781" s="278"/>
      <c r="T1781" s="278"/>
      <c r="U1781" s="27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 thickBot="1" x14ac:dyDescent="0.35">
      <c r="A1782" s="88"/>
      <c r="B1782" s="74" t="s">
        <v>290</v>
      </c>
      <c r="C1782" s="67"/>
      <c r="D1782" s="102"/>
      <c r="E1782" s="32"/>
      <c r="F1782" s="32"/>
      <c r="G1782" s="75" t="s">
        <v>285</v>
      </c>
      <c r="H1782" s="69">
        <f t="shared" si="740"/>
        <v>0</v>
      </c>
      <c r="I1782" s="70">
        <f t="shared" si="741"/>
        <v>0</v>
      </c>
      <c r="J1782" s="73" t="str">
        <f t="shared" ref="J1782:J1804" si="742">IF(C1782="","--",IF(AND(C1782&lt;&gt;"FST",C1782&lt;&gt;"TCF",BA1781&lt;&gt;0),BA1781,"--"))</f>
        <v>--</v>
      </c>
      <c r="K1782" s="32"/>
      <c r="L1782" s="233"/>
      <c r="M1782" s="278"/>
      <c r="N1782" s="278"/>
      <c r="O1782" s="278"/>
      <c r="P1782" s="278"/>
      <c r="Q1782" s="278"/>
      <c r="R1782" s="278"/>
      <c r="S1782" s="278"/>
      <c r="T1782" s="278"/>
      <c r="U1782" s="27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 thickBot="1" x14ac:dyDescent="0.35">
      <c r="A1783" s="88"/>
      <c r="B1783" s="66" t="s">
        <v>292</v>
      </c>
      <c r="C1783" s="67"/>
      <c r="D1783" s="102"/>
      <c r="E1783" s="32"/>
      <c r="F1783" s="32"/>
      <c r="G1783" s="68" t="s">
        <v>285</v>
      </c>
      <c r="H1783" s="69">
        <f t="shared" si="740"/>
        <v>0</v>
      </c>
      <c r="I1783" s="70">
        <f t="shared" si="741"/>
        <v>0</v>
      </c>
      <c r="J1783" s="73" t="str">
        <f t="shared" si="742"/>
        <v>--</v>
      </c>
      <c r="K1783" s="32"/>
      <c r="L1783" s="233"/>
      <c r="M1783" s="278"/>
      <c r="N1783" s="278"/>
      <c r="O1783" s="278"/>
      <c r="P1783" s="278"/>
      <c r="Q1783" s="278"/>
      <c r="R1783" s="278"/>
      <c r="S1783" s="278"/>
      <c r="T1783" s="278"/>
      <c r="U1783" s="27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 thickBot="1" x14ac:dyDescent="0.35">
      <c r="A1784" s="88"/>
      <c r="B1784" s="66" t="s">
        <v>293</v>
      </c>
      <c r="C1784" s="67"/>
      <c r="D1784" s="102"/>
      <c r="E1784" s="32"/>
      <c r="F1784" s="32"/>
      <c r="G1784" s="68" t="s">
        <v>285</v>
      </c>
      <c r="H1784" s="69">
        <f t="shared" si="740"/>
        <v>0</v>
      </c>
      <c r="I1784" s="70">
        <f t="shared" si="741"/>
        <v>0</v>
      </c>
      <c r="J1784" s="73" t="str">
        <f t="shared" si="742"/>
        <v>--</v>
      </c>
      <c r="K1784" s="32"/>
      <c r="L1784" s="233"/>
      <c r="M1784" s="278"/>
      <c r="N1784" s="278"/>
      <c r="O1784" s="278"/>
      <c r="P1784" s="278"/>
      <c r="Q1784" s="278"/>
      <c r="R1784" s="278"/>
      <c r="S1784" s="278"/>
      <c r="T1784" s="278"/>
      <c r="U1784" s="27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 thickBot="1" x14ac:dyDescent="0.35">
      <c r="A1785" s="88"/>
      <c r="B1785" s="66" t="s">
        <v>294</v>
      </c>
      <c r="C1785" s="67"/>
      <c r="D1785" s="102"/>
      <c r="E1785" s="32"/>
      <c r="F1785" s="32"/>
      <c r="G1785" s="68" t="s">
        <v>285</v>
      </c>
      <c r="H1785" s="69">
        <f t="shared" si="740"/>
        <v>0</v>
      </c>
      <c r="I1785" s="70">
        <f t="shared" si="741"/>
        <v>0</v>
      </c>
      <c r="J1785" s="73" t="str">
        <f t="shared" si="742"/>
        <v>--</v>
      </c>
      <c r="K1785" s="32"/>
      <c r="L1785" s="233"/>
      <c r="M1785" s="278"/>
      <c r="N1785" s="278"/>
      <c r="O1785" s="278"/>
      <c r="P1785" s="278"/>
      <c r="Q1785" s="278"/>
      <c r="R1785" s="278"/>
      <c r="S1785" s="278"/>
      <c r="T1785" s="278"/>
      <c r="U1785" s="27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 thickBot="1" x14ac:dyDescent="0.35">
      <c r="A1786" s="88"/>
      <c r="B1786" s="66" t="s">
        <v>295</v>
      </c>
      <c r="C1786" s="67"/>
      <c r="D1786" s="102"/>
      <c r="E1786" s="32"/>
      <c r="F1786" s="32"/>
      <c r="G1786" s="68" t="s">
        <v>285</v>
      </c>
      <c r="H1786" s="69">
        <f t="shared" si="740"/>
        <v>0</v>
      </c>
      <c r="I1786" s="70">
        <f t="shared" si="741"/>
        <v>0</v>
      </c>
      <c r="J1786" s="73" t="str">
        <f t="shared" si="742"/>
        <v>--</v>
      </c>
      <c r="K1786" s="32"/>
      <c r="L1786" s="233"/>
      <c r="M1786" s="278"/>
      <c r="N1786" s="278"/>
      <c r="O1786" s="278"/>
      <c r="P1786" s="278"/>
      <c r="Q1786" s="278"/>
      <c r="R1786" s="278"/>
      <c r="S1786" s="278"/>
      <c r="T1786" s="278"/>
      <c r="U1786" s="27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 thickBot="1" x14ac:dyDescent="0.35">
      <c r="A1787" s="88"/>
      <c r="B1787" s="66" t="s">
        <v>296</v>
      </c>
      <c r="C1787" s="67"/>
      <c r="D1787" s="102"/>
      <c r="E1787" s="32"/>
      <c r="F1787" s="32"/>
      <c r="G1787" s="68" t="s">
        <v>285</v>
      </c>
      <c r="H1787" s="69">
        <f t="shared" si="740"/>
        <v>0</v>
      </c>
      <c r="I1787" s="70">
        <f t="shared" si="741"/>
        <v>0</v>
      </c>
      <c r="J1787" s="73" t="str">
        <f t="shared" si="742"/>
        <v>--</v>
      </c>
      <c r="K1787" s="32"/>
      <c r="L1787" s="233"/>
      <c r="M1787" s="278"/>
      <c r="N1787" s="278"/>
      <c r="O1787" s="278"/>
      <c r="P1787" s="278"/>
      <c r="Q1787" s="278"/>
      <c r="R1787" s="278"/>
      <c r="S1787" s="278"/>
      <c r="T1787" s="278"/>
      <c r="U1787" s="27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 thickBot="1" x14ac:dyDescent="0.35">
      <c r="A1788" s="88"/>
      <c r="B1788" s="66" t="s">
        <v>297</v>
      </c>
      <c r="C1788" s="67"/>
      <c r="D1788" s="102"/>
      <c r="E1788" s="32"/>
      <c r="F1788" s="32"/>
      <c r="G1788" s="68" t="s">
        <v>285</v>
      </c>
      <c r="H1788" s="69">
        <f t="shared" si="740"/>
        <v>0</v>
      </c>
      <c r="I1788" s="70">
        <f t="shared" si="741"/>
        <v>0</v>
      </c>
      <c r="J1788" s="73" t="str">
        <f t="shared" si="742"/>
        <v>--</v>
      </c>
      <c r="K1788" s="32"/>
      <c r="L1788" s="233"/>
      <c r="M1788" s="278"/>
      <c r="N1788" s="278"/>
      <c r="O1788" s="278"/>
      <c r="P1788" s="278"/>
      <c r="Q1788" s="278"/>
      <c r="R1788" s="278"/>
      <c r="S1788" s="278"/>
      <c r="T1788" s="278"/>
      <c r="U1788" s="27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 thickBot="1" x14ac:dyDescent="0.35">
      <c r="A1789" s="88"/>
      <c r="B1789" s="66" t="s">
        <v>298</v>
      </c>
      <c r="C1789" s="67"/>
      <c r="D1789" s="102"/>
      <c r="E1789" s="32"/>
      <c r="F1789" s="32"/>
      <c r="G1789" s="68" t="s">
        <v>285</v>
      </c>
      <c r="H1789" s="69">
        <f t="shared" si="740"/>
        <v>0</v>
      </c>
      <c r="I1789" s="70">
        <f t="shared" si="741"/>
        <v>0</v>
      </c>
      <c r="J1789" s="73" t="str">
        <f t="shared" si="742"/>
        <v>--</v>
      </c>
      <c r="K1789" s="32"/>
      <c r="L1789" s="233"/>
      <c r="M1789" s="278"/>
      <c r="N1789" s="278"/>
      <c r="O1789" s="278"/>
      <c r="P1789" s="278"/>
      <c r="Q1789" s="278"/>
      <c r="R1789" s="278"/>
      <c r="S1789" s="278"/>
      <c r="T1789" s="278"/>
      <c r="U1789" s="27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 thickBot="1" x14ac:dyDescent="0.35">
      <c r="A1790" s="88"/>
      <c r="B1790" s="66" t="s">
        <v>299</v>
      </c>
      <c r="C1790" s="67"/>
      <c r="D1790" s="102"/>
      <c r="E1790" s="32"/>
      <c r="F1790" s="32"/>
      <c r="G1790" s="68" t="s">
        <v>285</v>
      </c>
      <c r="H1790" s="69">
        <f t="shared" si="740"/>
        <v>0</v>
      </c>
      <c r="I1790" s="70">
        <f t="shared" si="741"/>
        <v>0</v>
      </c>
      <c r="J1790" s="73" t="str">
        <f t="shared" si="742"/>
        <v>--</v>
      </c>
      <c r="K1790" s="32"/>
      <c r="L1790" s="233"/>
      <c r="M1790" s="278"/>
      <c r="N1790" s="278"/>
      <c r="O1790" s="278"/>
      <c r="P1790" s="278"/>
      <c r="Q1790" s="278"/>
      <c r="R1790" s="278"/>
      <c r="S1790" s="278"/>
      <c r="T1790" s="278"/>
      <c r="U1790" s="27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 thickBot="1" x14ac:dyDescent="0.35">
      <c r="A1791" s="88"/>
      <c r="B1791" s="66" t="s">
        <v>300</v>
      </c>
      <c r="C1791" s="67"/>
      <c r="D1791" s="102"/>
      <c r="E1791" s="32"/>
      <c r="F1791" s="32"/>
      <c r="G1791" s="68" t="s">
        <v>285</v>
      </c>
      <c r="H1791" s="69">
        <f t="shared" si="740"/>
        <v>0</v>
      </c>
      <c r="I1791" s="70">
        <f t="shared" si="741"/>
        <v>0</v>
      </c>
      <c r="J1791" s="73" t="str">
        <f t="shared" si="742"/>
        <v>--</v>
      </c>
      <c r="K1791" s="32"/>
      <c r="L1791" s="233"/>
      <c r="M1791" s="278"/>
      <c r="N1791" s="278"/>
      <c r="O1791" s="278"/>
      <c r="P1791" s="278"/>
      <c r="Q1791" s="278"/>
      <c r="R1791" s="278"/>
      <c r="S1791" s="278"/>
      <c r="T1791" s="278"/>
      <c r="U1791" s="27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 thickBot="1" x14ac:dyDescent="0.35">
      <c r="A1792" s="88"/>
      <c r="B1792" s="66" t="s">
        <v>301</v>
      </c>
      <c r="C1792" s="67"/>
      <c r="D1792" s="102"/>
      <c r="E1792" s="32"/>
      <c r="F1792" s="32"/>
      <c r="G1792" s="68" t="s">
        <v>285</v>
      </c>
      <c r="H1792" s="69">
        <f t="shared" si="740"/>
        <v>0</v>
      </c>
      <c r="I1792" s="70">
        <f t="shared" si="741"/>
        <v>0</v>
      </c>
      <c r="J1792" s="73" t="str">
        <f t="shared" si="742"/>
        <v>--</v>
      </c>
      <c r="K1792" s="32"/>
      <c r="L1792" s="233"/>
      <c r="M1792" s="278"/>
      <c r="N1792" s="278"/>
      <c r="O1792" s="278"/>
      <c r="P1792" s="278"/>
      <c r="Q1792" s="278"/>
      <c r="R1792" s="278"/>
      <c r="S1792" s="278"/>
      <c r="T1792" s="278"/>
      <c r="U1792" s="27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 thickBot="1" x14ac:dyDescent="0.35">
      <c r="A1793" s="88"/>
      <c r="B1793" s="66" t="s">
        <v>302</v>
      </c>
      <c r="C1793" s="67"/>
      <c r="D1793" s="102"/>
      <c r="E1793" s="32"/>
      <c r="F1793" s="32"/>
      <c r="G1793" s="68" t="s">
        <v>285</v>
      </c>
      <c r="H1793" s="69">
        <f t="shared" si="740"/>
        <v>0</v>
      </c>
      <c r="I1793" s="70">
        <f t="shared" si="741"/>
        <v>0</v>
      </c>
      <c r="J1793" s="73" t="str">
        <f t="shared" si="742"/>
        <v>--</v>
      </c>
      <c r="K1793" s="32"/>
      <c r="L1793" s="233"/>
      <c r="M1793" s="278"/>
      <c r="N1793" s="278"/>
      <c r="O1793" s="278"/>
      <c r="P1793" s="278"/>
      <c r="Q1793" s="278"/>
      <c r="R1793" s="278"/>
      <c r="S1793" s="278"/>
      <c r="T1793" s="278"/>
      <c r="U1793" s="27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 thickBot="1" x14ac:dyDescent="0.35">
      <c r="A1794" s="88"/>
      <c r="B1794" s="66" t="s">
        <v>303</v>
      </c>
      <c r="C1794" s="67"/>
      <c r="D1794" s="102"/>
      <c r="E1794" s="32"/>
      <c r="F1794" s="32"/>
      <c r="G1794" s="68" t="s">
        <v>285</v>
      </c>
      <c r="H1794" s="69">
        <f t="shared" si="740"/>
        <v>0</v>
      </c>
      <c r="I1794" s="70">
        <f t="shared" si="741"/>
        <v>0</v>
      </c>
      <c r="J1794" s="73" t="str">
        <f t="shared" si="742"/>
        <v>--</v>
      </c>
      <c r="K1794" s="32"/>
      <c r="L1794" s="233"/>
      <c r="M1794" s="278"/>
      <c r="N1794" s="278"/>
      <c r="O1794" s="278"/>
      <c r="P1794" s="278"/>
      <c r="Q1794" s="278"/>
      <c r="R1794" s="278"/>
      <c r="S1794" s="278"/>
      <c r="T1794" s="278"/>
      <c r="U1794" s="27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 thickBot="1" x14ac:dyDescent="0.35">
      <c r="A1795" s="88"/>
      <c r="B1795" s="66" t="s">
        <v>304</v>
      </c>
      <c r="C1795" s="67"/>
      <c r="D1795" s="102"/>
      <c r="E1795" s="32"/>
      <c r="F1795" s="32"/>
      <c r="G1795" s="68" t="s">
        <v>285</v>
      </c>
      <c r="H1795" s="69">
        <f t="shared" si="740"/>
        <v>0</v>
      </c>
      <c r="I1795" s="70">
        <f t="shared" si="741"/>
        <v>0</v>
      </c>
      <c r="J1795" s="73" t="str">
        <f t="shared" si="742"/>
        <v>--</v>
      </c>
      <c r="K1795" s="32"/>
      <c r="L1795" s="233"/>
      <c r="M1795" s="278"/>
      <c r="N1795" s="278"/>
      <c r="O1795" s="278"/>
      <c r="P1795" s="278"/>
      <c r="Q1795" s="278"/>
      <c r="R1795" s="278"/>
      <c r="S1795" s="278"/>
      <c r="T1795" s="278"/>
      <c r="U1795" s="27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 thickBot="1" x14ac:dyDescent="0.35">
      <c r="A1796" s="88"/>
      <c r="B1796" s="66" t="s">
        <v>305</v>
      </c>
      <c r="C1796" s="67"/>
      <c r="D1796" s="102"/>
      <c r="E1796" s="32"/>
      <c r="F1796" s="32"/>
      <c r="G1796" s="68" t="s">
        <v>285</v>
      </c>
      <c r="H1796" s="69">
        <f t="shared" si="740"/>
        <v>0</v>
      </c>
      <c r="I1796" s="70">
        <f t="shared" si="741"/>
        <v>0</v>
      </c>
      <c r="J1796" s="73" t="str">
        <f t="shared" si="742"/>
        <v>--</v>
      </c>
      <c r="K1796" s="32"/>
      <c r="L1796" s="233"/>
      <c r="M1796" s="278"/>
      <c r="N1796" s="278"/>
      <c r="O1796" s="278"/>
      <c r="P1796" s="278"/>
      <c r="Q1796" s="278"/>
      <c r="R1796" s="278"/>
      <c r="S1796" s="278"/>
      <c r="T1796" s="278"/>
      <c r="U1796" s="27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 thickBot="1" x14ac:dyDescent="0.35">
      <c r="A1797" s="88"/>
      <c r="B1797" s="66" t="s">
        <v>306</v>
      </c>
      <c r="C1797" s="67"/>
      <c r="D1797" s="102"/>
      <c r="E1797" s="32"/>
      <c r="F1797" s="32"/>
      <c r="G1797" s="68" t="s">
        <v>285</v>
      </c>
      <c r="H1797" s="69">
        <f t="shared" si="740"/>
        <v>0</v>
      </c>
      <c r="I1797" s="70">
        <f t="shared" si="741"/>
        <v>0</v>
      </c>
      <c r="J1797" s="73" t="str">
        <f t="shared" si="742"/>
        <v>--</v>
      </c>
      <c r="K1797" s="32"/>
      <c r="L1797" s="233"/>
      <c r="M1797" s="278"/>
      <c r="N1797" s="278"/>
      <c r="O1797" s="278"/>
      <c r="P1797" s="278"/>
      <c r="Q1797" s="278"/>
      <c r="R1797" s="278"/>
      <c r="S1797" s="278"/>
      <c r="T1797" s="278"/>
      <c r="U1797" s="27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 thickBot="1" x14ac:dyDescent="0.35">
      <c r="A1798" s="88"/>
      <c r="B1798" s="66" t="s">
        <v>307</v>
      </c>
      <c r="C1798" s="67"/>
      <c r="D1798" s="102"/>
      <c r="E1798" s="32"/>
      <c r="F1798" s="32"/>
      <c r="G1798" s="68" t="s">
        <v>285</v>
      </c>
      <c r="H1798" s="69">
        <f t="shared" si="740"/>
        <v>0</v>
      </c>
      <c r="I1798" s="70">
        <f t="shared" si="741"/>
        <v>0</v>
      </c>
      <c r="J1798" s="73" t="str">
        <f t="shared" si="742"/>
        <v>--</v>
      </c>
      <c r="K1798" s="32"/>
      <c r="L1798" s="233"/>
      <c r="M1798" s="278"/>
      <c r="N1798" s="278"/>
      <c r="O1798" s="278"/>
      <c r="P1798" s="278"/>
      <c r="Q1798" s="278"/>
      <c r="R1798" s="278"/>
      <c r="S1798" s="278"/>
      <c r="T1798" s="278"/>
      <c r="U1798" s="27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 thickBot="1" x14ac:dyDescent="0.35">
      <c r="A1799" s="88"/>
      <c r="B1799" s="66" t="s">
        <v>308</v>
      </c>
      <c r="C1799" s="67"/>
      <c r="D1799" s="102"/>
      <c r="E1799" s="32"/>
      <c r="F1799" s="32"/>
      <c r="G1799" s="68" t="s">
        <v>285</v>
      </c>
      <c r="H1799" s="69">
        <f t="shared" si="740"/>
        <v>0</v>
      </c>
      <c r="I1799" s="70">
        <f t="shared" si="741"/>
        <v>0</v>
      </c>
      <c r="J1799" s="73" t="str">
        <f t="shared" si="742"/>
        <v>--</v>
      </c>
      <c r="K1799" s="32"/>
      <c r="L1799" s="233"/>
      <c r="M1799" s="278"/>
      <c r="N1799" s="278"/>
      <c r="O1799" s="278"/>
      <c r="P1799" s="278"/>
      <c r="Q1799" s="278"/>
      <c r="R1799" s="278"/>
      <c r="S1799" s="278"/>
      <c r="T1799" s="278"/>
      <c r="U1799" s="27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 thickBot="1" x14ac:dyDescent="0.35">
      <c r="A1800" s="88"/>
      <c r="B1800" s="66" t="s">
        <v>309</v>
      </c>
      <c r="C1800" s="67"/>
      <c r="D1800" s="102"/>
      <c r="E1800" s="32"/>
      <c r="F1800" s="32"/>
      <c r="G1800" s="68" t="s">
        <v>285</v>
      </c>
      <c r="H1800" s="69">
        <f t="shared" si="740"/>
        <v>0</v>
      </c>
      <c r="I1800" s="70">
        <f t="shared" si="741"/>
        <v>0</v>
      </c>
      <c r="J1800" s="73" t="str">
        <f t="shared" si="742"/>
        <v>--</v>
      </c>
      <c r="K1800" s="32"/>
      <c r="L1800" s="233"/>
      <c r="M1800" s="278"/>
      <c r="N1800" s="278"/>
      <c r="O1800" s="278"/>
      <c r="P1800" s="278"/>
      <c r="Q1800" s="278"/>
      <c r="R1800" s="278"/>
      <c r="S1800" s="278"/>
      <c r="T1800" s="278"/>
      <c r="U1800" s="27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 thickBot="1" x14ac:dyDescent="0.35">
      <c r="A1801" s="88"/>
      <c r="B1801" s="66" t="s">
        <v>310</v>
      </c>
      <c r="C1801" s="67"/>
      <c r="D1801" s="102"/>
      <c r="E1801" s="32"/>
      <c r="F1801" s="32"/>
      <c r="G1801" s="68" t="s">
        <v>285</v>
      </c>
      <c r="H1801" s="69">
        <f t="shared" si="740"/>
        <v>0</v>
      </c>
      <c r="I1801" s="70">
        <f t="shared" si="741"/>
        <v>0</v>
      </c>
      <c r="J1801" s="73" t="str">
        <f t="shared" si="742"/>
        <v>--</v>
      </c>
      <c r="K1801" s="32"/>
      <c r="L1801" s="233"/>
      <c r="M1801" s="278"/>
      <c r="N1801" s="278"/>
      <c r="O1801" s="278"/>
      <c r="P1801" s="278"/>
      <c r="Q1801" s="278"/>
      <c r="R1801" s="278"/>
      <c r="S1801" s="278"/>
      <c r="T1801" s="278"/>
      <c r="U1801" s="27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 thickBot="1" x14ac:dyDescent="0.35">
      <c r="A1802" s="88"/>
      <c r="B1802" s="66" t="s">
        <v>311</v>
      </c>
      <c r="C1802" s="67"/>
      <c r="D1802" s="102"/>
      <c r="E1802" s="32"/>
      <c r="F1802" s="32"/>
      <c r="G1802" s="68" t="s">
        <v>285</v>
      </c>
      <c r="H1802" s="69">
        <f t="shared" si="740"/>
        <v>0</v>
      </c>
      <c r="I1802" s="70">
        <f t="shared" si="741"/>
        <v>0</v>
      </c>
      <c r="J1802" s="73" t="str">
        <f t="shared" si="742"/>
        <v>--</v>
      </c>
      <c r="K1802" s="32"/>
      <c r="L1802" s="233"/>
      <c r="M1802" s="278"/>
      <c r="N1802" s="278"/>
      <c r="O1802" s="278"/>
      <c r="P1802" s="278"/>
      <c r="Q1802" s="278"/>
      <c r="R1802" s="278"/>
      <c r="S1802" s="278"/>
      <c r="T1802" s="278"/>
      <c r="U1802" s="27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 thickBot="1" x14ac:dyDescent="0.35">
      <c r="A1803" s="88"/>
      <c r="B1803" s="66" t="s">
        <v>312</v>
      </c>
      <c r="C1803" s="67"/>
      <c r="D1803" s="102"/>
      <c r="E1803" s="32"/>
      <c r="F1803" s="32"/>
      <c r="G1803" s="68" t="s">
        <v>285</v>
      </c>
      <c r="H1803" s="69">
        <f t="shared" si="740"/>
        <v>0</v>
      </c>
      <c r="I1803" s="70">
        <f t="shared" si="741"/>
        <v>0</v>
      </c>
      <c r="J1803" s="73" t="str">
        <f t="shared" si="742"/>
        <v>--</v>
      </c>
      <c r="K1803" s="32"/>
      <c r="L1803" s="233"/>
      <c r="M1803" s="278"/>
      <c r="N1803" s="278"/>
      <c r="O1803" s="278"/>
      <c r="P1803" s="278"/>
      <c r="Q1803" s="278"/>
      <c r="R1803" s="278"/>
      <c r="S1803" s="278"/>
      <c r="T1803" s="278"/>
      <c r="U1803" s="27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 thickBot="1" x14ac:dyDescent="0.35">
      <c r="A1804" s="88"/>
      <c r="B1804" s="66" t="s">
        <v>313</v>
      </c>
      <c r="C1804" s="67"/>
      <c r="D1804" s="102"/>
      <c r="E1804" s="32"/>
      <c r="F1804" s="32"/>
      <c r="G1804" s="68" t="s">
        <v>285</v>
      </c>
      <c r="H1804" s="69">
        <f t="shared" si="740"/>
        <v>0</v>
      </c>
      <c r="I1804" s="70">
        <f t="shared" si="741"/>
        <v>0</v>
      </c>
      <c r="J1804" s="73" t="str">
        <f t="shared" si="742"/>
        <v>--</v>
      </c>
      <c r="K1804" s="32"/>
      <c r="L1804" s="234"/>
      <c r="M1804" s="278"/>
      <c r="N1804" s="278"/>
      <c r="O1804" s="278"/>
      <c r="P1804" s="278"/>
      <c r="Q1804" s="278"/>
      <c r="R1804" s="278"/>
      <c r="S1804" s="278"/>
      <c r="T1804" s="278"/>
      <c r="U1804" s="27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2" thickBot="1" x14ac:dyDescent="0.35">
      <c r="A1805" s="88"/>
      <c r="B1805" s="319" t="s">
        <v>462</v>
      </c>
      <c r="C1805" s="320"/>
      <c r="D1805" s="79"/>
      <c r="E1805" s="80"/>
      <c r="F1805" s="80"/>
      <c r="G1805" s="81"/>
      <c r="H1805" s="192"/>
      <c r="I1805" s="192"/>
      <c r="J1805" s="192"/>
      <c r="K1805" s="82"/>
      <c r="L1805" s="319" t="s">
        <v>319</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2" thickBot="1" x14ac:dyDescent="0.35">
      <c r="A1806" s="88"/>
      <c r="B1806" s="319" t="s">
        <v>320</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3">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 thickBot="1" x14ac:dyDescent="0.35">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5">
      <c r="A1809" s="88"/>
      <c r="B1809" s="85" t="s">
        <v>463</v>
      </c>
      <c r="C1809" s="25"/>
      <c r="D1809" s="25"/>
      <c r="E1809" s="25"/>
      <c r="F1809" s="88"/>
      <c r="G1809" s="25"/>
      <c r="H1809" s="25"/>
      <c r="I1809" s="87"/>
      <c r="J1809" s="26"/>
      <c r="K1809" s="25"/>
      <c r="L1809" s="25"/>
      <c r="M1809" s="196" t="s">
        <v>217</v>
      </c>
      <c r="N1809" s="196" t="s">
        <v>218</v>
      </c>
      <c r="O1809" s="196" t="s">
        <v>219</v>
      </c>
      <c r="P1809" s="196" t="s">
        <v>220</v>
      </c>
      <c r="Q1809" s="196" t="s">
        <v>221</v>
      </c>
      <c r="R1809" s="196" t="s">
        <v>222</v>
      </c>
      <c r="S1809" s="196" t="s">
        <v>223</v>
      </c>
      <c r="T1809" s="196" t="s">
        <v>224</v>
      </c>
      <c r="U1809" s="196" t="s">
        <v>225</v>
      </c>
      <c r="V1809" s="196" t="s">
        <v>226</v>
      </c>
      <c r="W1809" s="113" t="s">
        <v>227</v>
      </c>
      <c r="X1809" s="196" t="s">
        <v>228</v>
      </c>
      <c r="Y1809" s="25"/>
      <c r="Z1809" s="25"/>
      <c r="AA1809" s="25"/>
      <c r="AB1809" s="25"/>
      <c r="AC1809" s="25"/>
      <c r="AD1809" s="25"/>
      <c r="BA1809" s="226"/>
    </row>
    <row r="1810" spans="1:53" ht="15.6" thickTop="1" thickBot="1" x14ac:dyDescent="0.35">
      <c r="A1810" s="88"/>
      <c r="B1810" s="312" t="s">
        <v>229</v>
      </c>
      <c r="C1810" s="313"/>
      <c r="D1810" s="314" t="s">
        <v>230</v>
      </c>
      <c r="E1810" s="305"/>
      <c r="F1810" s="88"/>
      <c r="G1810" s="315" t="s">
        <v>231</v>
      </c>
      <c r="H1810" s="316"/>
      <c r="I1810" s="28">
        <f>SUM(E1821:E1845)</f>
        <v>0</v>
      </c>
      <c r="J1810" s="317" t="s">
        <v>232</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233</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234</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5">
      <c r="A1811" s="88"/>
      <c r="B1811" s="29" t="s">
        <v>235</v>
      </c>
      <c r="C1811" s="30">
        <v>0</v>
      </c>
      <c r="D1811" s="31" t="s">
        <v>236</v>
      </c>
      <c r="E1811" s="66" t="str">
        <f>TEXT(IF('Cable Calculator'!HP7="","",'Cable Calculator'!HP7),)</f>
        <v/>
      </c>
      <c r="F1811" s="88"/>
      <c r="G1811" s="304" t="s">
        <v>237</v>
      </c>
      <c r="H1811" s="305"/>
      <c r="I1811" s="33">
        <f>E1812-I1810</f>
        <v>0</v>
      </c>
      <c r="J1811" s="289" t="s">
        <v>238</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239</v>
      </c>
      <c r="AA1811" s="300" t="s">
        <v>240</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241</v>
      </c>
      <c r="AU1811" s="109">
        <f>COUNTIFS($E1811,"SS",$AS1811,"Y")</f>
        <v>0</v>
      </c>
      <c r="AV1811" s="111">
        <f>COUNTIFS($E1811,"RPX",$AS1811,"Y")</f>
        <v>0</v>
      </c>
      <c r="AW1811" s="111">
        <f>COUNTIFS($E1811,"EUC",$AS1811,"Y")</f>
        <v>0</v>
      </c>
      <c r="AX1811" s="109">
        <f>COUNTIFS($E1811,"RPX-T",$AS1811,"Y")</f>
        <v>0</v>
      </c>
      <c r="BA1811" s="227"/>
    </row>
    <row r="1812" spans="1:53" ht="15.6" thickTop="1" thickBot="1" x14ac:dyDescent="0.35">
      <c r="A1812" s="88"/>
      <c r="B1812" s="36" t="s">
        <v>242</v>
      </c>
      <c r="C1812" s="37">
        <v>0</v>
      </c>
      <c r="D1812" s="38" t="s">
        <v>243</v>
      </c>
      <c r="E1812" s="32"/>
      <c r="F1812" s="88"/>
      <c r="G1812" s="291" t="s">
        <v>244</v>
      </c>
      <c r="H1812" s="292"/>
      <c r="I1812" s="35">
        <f>IF(E1812=0,0,12-(MOD(I1810,12)))</f>
        <v>0</v>
      </c>
      <c r="J1812" s="289" t="s">
        <v>245</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246</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5">
      <c r="A1813" s="88"/>
      <c r="B1813" s="40" t="s">
        <v>247</v>
      </c>
      <c r="C1813" s="30">
        <v>0</v>
      </c>
      <c r="D1813" s="41" t="s">
        <v>248</v>
      </c>
      <c r="E1813" s="42"/>
      <c r="F1813" s="88"/>
      <c r="G1813" s="321" t="s">
        <v>249</v>
      </c>
      <c r="H1813" s="43" t="s">
        <v>250</v>
      </c>
      <c r="I1813" s="35">
        <f>IF(E1813&lt;&gt;0,1,0)</f>
        <v>0</v>
      </c>
      <c r="J1813" s="291" t="s">
        <v>251</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252</v>
      </c>
      <c r="AU1813" s="109">
        <f>COUNTIFS($E1811,"SS",$AS1813,"Y")</f>
        <v>0</v>
      </c>
      <c r="AV1813" s="108">
        <f>COUNTIFS($E1811,"RPX",$AS1813,"Y")</f>
        <v>0</v>
      </c>
      <c r="AW1813" s="108">
        <f>COUNTIFS($E1811,"EUC",$AS1813,"Y")</f>
        <v>0</v>
      </c>
      <c r="AX1813" s="109">
        <f>COUNTIFS($E1811,"RPX-T",$AS1813,"Y")</f>
        <v>0</v>
      </c>
      <c r="BA1813" s="227"/>
    </row>
    <row r="1814" spans="1:53" ht="15.6" thickTop="1" thickBot="1" x14ac:dyDescent="0.35">
      <c r="A1814" s="88"/>
      <c r="B1814" s="29" t="s">
        <v>253</v>
      </c>
      <c r="C1814" s="37">
        <v>0</v>
      </c>
      <c r="D1814" s="41" t="s">
        <v>254</v>
      </c>
      <c r="E1814" s="42"/>
      <c r="F1814" s="88"/>
      <c r="G1814" s="322"/>
      <c r="H1814" s="47" t="s">
        <v>255</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5">
      <c r="A1815" s="88"/>
      <c r="B1815" s="36" t="s">
        <v>256</v>
      </c>
      <c r="C1815" s="30">
        <v>0</v>
      </c>
      <c r="D1815" s="49" t="s">
        <v>257</v>
      </c>
      <c r="E1815" s="50">
        <f>E1812/12</f>
        <v>0</v>
      </c>
      <c r="F1815" s="88"/>
      <c r="G1815" s="321" t="s">
        <v>258</v>
      </c>
      <c r="H1815" s="51" t="s">
        <v>259</v>
      </c>
      <c r="I1815" s="112">
        <f>E1814</f>
        <v>0</v>
      </c>
      <c r="J1815" s="323" t="s">
        <v>260</v>
      </c>
      <c r="K1815" s="324"/>
      <c r="L1815" s="325"/>
      <c r="M1815" s="52" t="s">
        <v>261</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5.6" thickTop="1" thickBot="1" x14ac:dyDescent="0.35">
      <c r="A1816" s="88"/>
      <c r="B1816" s="36" t="s">
        <v>262</v>
      </c>
      <c r="C1816" s="30">
        <v>0</v>
      </c>
      <c r="D1816" s="31" t="s">
        <v>263</v>
      </c>
      <c r="E1816" s="101" t="str">
        <f>IF('Cable Calculator'!HP5="","",'Cable Calculator'!HP5)</f>
        <v/>
      </c>
      <c r="F1816" s="88"/>
      <c r="G1816" s="322"/>
      <c r="H1816" s="47" t="s">
        <v>264</v>
      </c>
      <c r="I1816" s="35" t="str">
        <f>IF(E1814="","0",IF(AND(E1811="EUC",E1812=432), I1815+(203-E1813),IF(E1814=0,0,(E1814+(E1812-E1813)-1))))</f>
        <v>0</v>
      </c>
      <c r="J1816" s="286" t="str">
        <f>IFERROR(IF(OR(E1811="EUC",E1811="SS"),"---",IF(OR(P1810,S1810),"NO 2F Tethers for RPX!",IF(OR(P1812,S1812),"NO 6F Tethers for RPX!","---"))),"---")</f>
        <v>---</v>
      </c>
      <c r="K1816" s="287"/>
      <c r="L1816" s="288"/>
      <c r="M1816" s="286" t="str">
        <f>IF(E1813&gt;60,"Dead Count &gt;60: Consider Downsize","---")</f>
        <v>---</v>
      </c>
      <c r="N1816" s="287"/>
      <c r="O1816" s="287"/>
      <c r="P1816" s="287"/>
      <c r="Q1816" s="287"/>
      <c r="R1816" s="287"/>
      <c r="S1816" s="287"/>
      <c r="T1816" s="287"/>
      <c r="U1816" s="288"/>
      <c r="V1816" s="100"/>
      <c r="W1816" s="54">
        <f>SUM(P1816:U1816)</f>
        <v>0</v>
      </c>
      <c r="X1816" s="54"/>
      <c r="Y1816" s="25"/>
      <c r="Z1816" s="45">
        <v>4</v>
      </c>
      <c r="AA1816" s="46">
        <v>37</v>
      </c>
      <c r="AB1816" s="46">
        <v>48</v>
      </c>
      <c r="AC1816" s="25"/>
      <c r="AD1816" s="25"/>
      <c r="BA1816" s="227"/>
    </row>
    <row r="1817" spans="1:53" ht="15.6" thickTop="1" thickBot="1" x14ac:dyDescent="0.35">
      <c r="A1817" s="88"/>
      <c r="B1817" s="55" t="s">
        <v>265</v>
      </c>
      <c r="C1817" s="56">
        <f>SUM(C1811:C1816)+I1810</f>
        <v>0</v>
      </c>
      <c r="D1817" s="31" t="s">
        <v>266</v>
      </c>
      <c r="E1817" s="101" t="str">
        <f>IF(AS1811="Y","DBL",IF(AS1812="Y","TRPL",IF(AS1813="Y","QUAD","")))</f>
        <v/>
      </c>
      <c r="F1817" s="88"/>
      <c r="G1817" s="192"/>
      <c r="H1817" s="57"/>
      <c r="I1817" s="192"/>
      <c r="J1817" s="286"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7"/>
      <c r="L1817" s="288"/>
      <c r="M1817" s="286" t="str">
        <f>IF(AND(OR(E1811="SS",E1811="RPX",E1811="EUC",E1811="RPX-T"),(OR(C1821="",C1821="Field SPL"))),"Cannot have FlexNap cables without tethers","---")</f>
        <v>---</v>
      </c>
      <c r="N1817" s="287"/>
      <c r="O1817" s="287"/>
      <c r="P1817" s="287"/>
      <c r="Q1817" s="287"/>
      <c r="R1817" s="287"/>
      <c r="S1817" s="287"/>
      <c r="T1817" s="287"/>
      <c r="U1817" s="288"/>
      <c r="V1817" s="25"/>
      <c r="W1817" s="58"/>
      <c r="X1817" s="58"/>
      <c r="Y1817" s="25"/>
      <c r="Z1817" s="45">
        <v>5</v>
      </c>
      <c r="AA1817" s="46">
        <v>49</v>
      </c>
      <c r="AB1817" s="46">
        <v>60</v>
      </c>
      <c r="AC1817" s="25"/>
      <c r="AD1817" s="25"/>
      <c r="BA1817" s="227"/>
    </row>
    <row r="1818" spans="1:53" ht="15.6" thickTop="1" thickBot="1" x14ac:dyDescent="0.35">
      <c r="A1818" s="88"/>
      <c r="B1818" s="59"/>
      <c r="C1818" s="60"/>
      <c r="D1818" s="61"/>
      <c r="E1818" s="62"/>
      <c r="F1818" s="88"/>
      <c r="G1818" s="63"/>
      <c r="H1818" s="64"/>
      <c r="I1818" s="63"/>
      <c r="J1818" s="286" t="str">
        <f>IF(AND(OR(E1811="RPX", E1811="RPX-T", E1811="SS"),E1812=216),"NO 216 For RPX, RPX-T, OR SS CABLE","---")</f>
        <v>---</v>
      </c>
      <c r="K1818" s="287"/>
      <c r="L1818" s="288"/>
      <c r="M1818" s="286" t="str" cm="1">
        <f t="array" ref="M1818">IF(AND(E1811="",OR(C1821:C1845="FST",C1821:C1845="REV T",C1821:C1845="DBL REV",C1821:C1845="TPL REV", C1821:C1845="QD REV")),"Non-FlexNap cables cannot have tethers","---")</f>
        <v>---</v>
      </c>
      <c r="N1818" s="287"/>
      <c r="O1818" s="287"/>
      <c r="P1818" s="287"/>
      <c r="Q1818" s="287"/>
      <c r="R1818" s="287"/>
      <c r="S1818" s="287"/>
      <c r="T1818" s="287"/>
      <c r="U1818" s="288"/>
      <c r="V1818" s="25"/>
      <c r="W1818" s="58"/>
      <c r="X1818" s="58"/>
      <c r="Y1818" s="25"/>
      <c r="Z1818" s="45">
        <v>6</v>
      </c>
      <c r="AA1818" s="65">
        <v>61</v>
      </c>
      <c r="AB1818" s="65">
        <v>72</v>
      </c>
      <c r="AC1818" s="25"/>
      <c r="AD1818" s="25"/>
      <c r="BA1818" s="226"/>
    </row>
    <row r="1819" spans="1:53" ht="15.75" customHeight="1" thickBot="1" x14ac:dyDescent="0.35">
      <c r="A1819" s="88"/>
      <c r="B1819" s="321" t="s">
        <v>267</v>
      </c>
      <c r="C1819" s="293" t="s">
        <v>268</v>
      </c>
      <c r="D1819" s="293" t="s">
        <v>269</v>
      </c>
      <c r="E1819" s="306" t="s">
        <v>270</v>
      </c>
      <c r="F1819" s="293" t="s">
        <v>271</v>
      </c>
      <c r="G1819" s="308" t="s">
        <v>272</v>
      </c>
      <c r="H1819" s="308" t="s">
        <v>273</v>
      </c>
      <c r="I1819" s="308" t="s">
        <v>274</v>
      </c>
      <c r="J1819" s="310" t="s">
        <v>275</v>
      </c>
      <c r="K1819" s="293" t="s">
        <v>276</v>
      </c>
      <c r="L1819" s="280" t="s">
        <v>277</v>
      </c>
      <c r="M1819" s="282" t="s">
        <v>278</v>
      </c>
      <c r="N1819" s="282"/>
      <c r="O1819" s="282"/>
      <c r="P1819" s="282"/>
      <c r="Q1819" s="282"/>
      <c r="R1819" s="282"/>
      <c r="S1819" s="282"/>
      <c r="T1819" s="282"/>
      <c r="U1819" s="283"/>
      <c r="V1819" s="107"/>
      <c r="W1819" s="72"/>
      <c r="X1819" s="72"/>
      <c r="Y1819" s="72"/>
      <c r="Z1819" s="45">
        <v>7</v>
      </c>
      <c r="AA1819" s="65">
        <v>73</v>
      </c>
      <c r="AB1819" s="65">
        <v>84</v>
      </c>
      <c r="AC1819" s="25"/>
      <c r="AD1819" s="25"/>
      <c r="BA1819" s="228"/>
    </row>
    <row r="1820" spans="1:53" ht="15" thickBot="1" x14ac:dyDescent="0.35">
      <c r="A1820" s="88"/>
      <c r="B1820" s="322"/>
      <c r="C1820" s="294"/>
      <c r="D1820" s="294"/>
      <c r="E1820" s="307"/>
      <c r="F1820" s="294"/>
      <c r="G1820" s="309"/>
      <c r="H1820" s="309"/>
      <c r="I1820" s="309"/>
      <c r="J1820" s="311"/>
      <c r="K1820" s="294"/>
      <c r="L1820" s="281"/>
      <c r="M1820" s="284"/>
      <c r="N1820" s="284"/>
      <c r="O1820" s="284"/>
      <c r="P1820" s="284"/>
      <c r="Q1820" s="284"/>
      <c r="R1820" s="284"/>
      <c r="S1820" s="284"/>
      <c r="T1820" s="284"/>
      <c r="U1820" s="285"/>
      <c r="V1820" s="107"/>
      <c r="W1820" s="72"/>
      <c r="X1820" s="72"/>
      <c r="Y1820" s="72"/>
      <c r="Z1820" s="45">
        <v>8</v>
      </c>
      <c r="AA1820" s="46">
        <v>85</v>
      </c>
      <c r="AB1820" s="46">
        <v>96</v>
      </c>
      <c r="AC1820" s="25"/>
      <c r="AD1820" s="25"/>
      <c r="AI1820" s="109" t="s">
        <v>279</v>
      </c>
      <c r="AJ1820" s="109" t="s">
        <v>280</v>
      </c>
      <c r="AK1820" s="109" t="s">
        <v>281</v>
      </c>
      <c r="AL1820" s="109" t="s">
        <v>282</v>
      </c>
      <c r="BA1820" s="228"/>
    </row>
    <row r="1821" spans="1:53" ht="15" thickBot="1" x14ac:dyDescent="0.35">
      <c r="A1821" s="88"/>
      <c r="B1821" s="66" t="s">
        <v>283</v>
      </c>
      <c r="C1821" s="67"/>
      <c r="D1821" s="102"/>
      <c r="E1821" s="32"/>
      <c r="F1821" s="32"/>
      <c r="G1821" s="68" t="s">
        <v>285</v>
      </c>
      <c r="H1821" s="69">
        <f>IF(I1821=0,0,I1821-(E1821-1))</f>
        <v>0</v>
      </c>
      <c r="I1821" s="70">
        <f>IF(E1821=0,0,I1816)</f>
        <v>0</v>
      </c>
      <c r="J1821" s="71" t="s">
        <v>286</v>
      </c>
      <c r="K1821" s="32"/>
      <c r="L1821" s="233"/>
      <c r="M1821" s="278"/>
      <c r="N1821" s="278"/>
      <c r="O1821" s="278"/>
      <c r="P1821" s="278"/>
      <c r="Q1821" s="278"/>
      <c r="R1821" s="278"/>
      <c r="S1821" s="278"/>
      <c r="T1821" s="278"/>
      <c r="U1821" s="27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 thickBot="1" x14ac:dyDescent="0.35">
      <c r="A1822" s="88"/>
      <c r="B1822" s="66" t="s">
        <v>288</v>
      </c>
      <c r="C1822" s="67"/>
      <c r="D1822" s="102"/>
      <c r="E1822" s="32"/>
      <c r="F1822" s="32"/>
      <c r="G1822" s="68" t="s">
        <v>285</v>
      </c>
      <c r="H1822" s="69">
        <f t="shared" ref="H1822:H1845" si="757">IF(E1822=0,0,I1822-(E1822-1))</f>
        <v>0</v>
      </c>
      <c r="I1822" s="70">
        <f t="shared" ref="I1822:I1845" si="758">IF(E1822=0,0,H1821-1)</f>
        <v>0</v>
      </c>
      <c r="J1822" s="73" t="str">
        <f>IF(C1822="","--",IF(AND(C1822&lt;&gt;"FST",C1822&lt;&gt;"TCF",BA1821&lt;&gt;0),BA1821,"--"))</f>
        <v>--</v>
      </c>
      <c r="K1822" s="32"/>
      <c r="L1822" s="233"/>
      <c r="M1822" s="278"/>
      <c r="N1822" s="278"/>
      <c r="O1822" s="278"/>
      <c r="P1822" s="278"/>
      <c r="Q1822" s="278"/>
      <c r="R1822" s="278"/>
      <c r="S1822" s="278"/>
      <c r="T1822" s="278"/>
      <c r="U1822" s="27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 thickBot="1" x14ac:dyDescent="0.35">
      <c r="A1823" s="88"/>
      <c r="B1823" s="74" t="s">
        <v>290</v>
      </c>
      <c r="C1823" s="67"/>
      <c r="D1823" s="102"/>
      <c r="E1823" s="32"/>
      <c r="F1823" s="32"/>
      <c r="G1823" s="75" t="s">
        <v>285</v>
      </c>
      <c r="H1823" s="69">
        <f t="shared" si="757"/>
        <v>0</v>
      </c>
      <c r="I1823" s="70">
        <f t="shared" si="758"/>
        <v>0</v>
      </c>
      <c r="J1823" s="73" t="str">
        <f t="shared" ref="J1823:J1845" si="759">IF(C1823="","--",IF(AND(C1823&lt;&gt;"FST",C1823&lt;&gt;"TCF",BA1822&lt;&gt;0),BA1822,"--"))</f>
        <v>--</v>
      </c>
      <c r="K1823" s="32"/>
      <c r="L1823" s="233"/>
      <c r="M1823" s="278"/>
      <c r="N1823" s="278"/>
      <c r="O1823" s="278"/>
      <c r="P1823" s="278"/>
      <c r="Q1823" s="278"/>
      <c r="R1823" s="278"/>
      <c r="S1823" s="278"/>
      <c r="T1823" s="278"/>
      <c r="U1823" s="27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 thickBot="1" x14ac:dyDescent="0.35">
      <c r="A1824" s="88"/>
      <c r="B1824" s="66" t="s">
        <v>292</v>
      </c>
      <c r="C1824" s="67"/>
      <c r="D1824" s="102"/>
      <c r="E1824" s="32"/>
      <c r="F1824" s="32"/>
      <c r="G1824" s="68" t="s">
        <v>285</v>
      </c>
      <c r="H1824" s="69">
        <f t="shared" si="757"/>
        <v>0</v>
      </c>
      <c r="I1824" s="70">
        <f t="shared" si="758"/>
        <v>0</v>
      </c>
      <c r="J1824" s="73" t="str">
        <f t="shared" si="759"/>
        <v>--</v>
      </c>
      <c r="K1824" s="32"/>
      <c r="L1824" s="233"/>
      <c r="M1824" s="278"/>
      <c r="N1824" s="278"/>
      <c r="O1824" s="278"/>
      <c r="P1824" s="278"/>
      <c r="Q1824" s="278"/>
      <c r="R1824" s="278"/>
      <c r="S1824" s="278"/>
      <c r="T1824" s="278"/>
      <c r="U1824" s="27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 thickBot="1" x14ac:dyDescent="0.35">
      <c r="A1825" s="88"/>
      <c r="B1825" s="66" t="s">
        <v>293</v>
      </c>
      <c r="C1825" s="67"/>
      <c r="D1825" s="102"/>
      <c r="E1825" s="32"/>
      <c r="F1825" s="32"/>
      <c r="G1825" s="68" t="s">
        <v>285</v>
      </c>
      <c r="H1825" s="69">
        <f t="shared" si="757"/>
        <v>0</v>
      </c>
      <c r="I1825" s="70">
        <f t="shared" si="758"/>
        <v>0</v>
      </c>
      <c r="J1825" s="73" t="str">
        <f t="shared" si="759"/>
        <v>--</v>
      </c>
      <c r="K1825" s="32"/>
      <c r="L1825" s="233"/>
      <c r="M1825" s="278"/>
      <c r="N1825" s="278"/>
      <c r="O1825" s="278"/>
      <c r="P1825" s="278"/>
      <c r="Q1825" s="278"/>
      <c r="R1825" s="278"/>
      <c r="S1825" s="278"/>
      <c r="T1825" s="278"/>
      <c r="U1825" s="27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 thickBot="1" x14ac:dyDescent="0.35">
      <c r="A1826" s="88"/>
      <c r="B1826" s="66" t="s">
        <v>294</v>
      </c>
      <c r="C1826" s="67"/>
      <c r="D1826" s="102"/>
      <c r="E1826" s="32"/>
      <c r="F1826" s="32"/>
      <c r="G1826" s="68" t="s">
        <v>285</v>
      </c>
      <c r="H1826" s="69">
        <f t="shared" si="757"/>
        <v>0</v>
      </c>
      <c r="I1826" s="70">
        <f t="shared" si="758"/>
        <v>0</v>
      </c>
      <c r="J1826" s="73" t="str">
        <f t="shared" si="759"/>
        <v>--</v>
      </c>
      <c r="K1826" s="32"/>
      <c r="L1826" s="233"/>
      <c r="M1826" s="278"/>
      <c r="N1826" s="278"/>
      <c r="O1826" s="278"/>
      <c r="P1826" s="278"/>
      <c r="Q1826" s="278"/>
      <c r="R1826" s="278"/>
      <c r="S1826" s="278"/>
      <c r="T1826" s="278"/>
      <c r="U1826" s="27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 thickBot="1" x14ac:dyDescent="0.35">
      <c r="A1827" s="88"/>
      <c r="B1827" s="66" t="s">
        <v>295</v>
      </c>
      <c r="C1827" s="67"/>
      <c r="D1827" s="102"/>
      <c r="E1827" s="32"/>
      <c r="F1827" s="32"/>
      <c r="G1827" s="68" t="s">
        <v>285</v>
      </c>
      <c r="H1827" s="69">
        <f t="shared" si="757"/>
        <v>0</v>
      </c>
      <c r="I1827" s="70">
        <f t="shared" si="758"/>
        <v>0</v>
      </c>
      <c r="J1827" s="73" t="str">
        <f t="shared" si="759"/>
        <v>--</v>
      </c>
      <c r="K1827" s="32"/>
      <c r="L1827" s="233"/>
      <c r="M1827" s="278"/>
      <c r="N1827" s="278"/>
      <c r="O1827" s="278"/>
      <c r="P1827" s="278"/>
      <c r="Q1827" s="278"/>
      <c r="R1827" s="278"/>
      <c r="S1827" s="278"/>
      <c r="T1827" s="278"/>
      <c r="U1827" s="27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 thickBot="1" x14ac:dyDescent="0.35">
      <c r="A1828" s="88"/>
      <c r="B1828" s="66" t="s">
        <v>296</v>
      </c>
      <c r="C1828" s="67"/>
      <c r="D1828" s="102"/>
      <c r="E1828" s="32"/>
      <c r="F1828" s="32"/>
      <c r="G1828" s="68" t="s">
        <v>285</v>
      </c>
      <c r="H1828" s="69">
        <f t="shared" si="757"/>
        <v>0</v>
      </c>
      <c r="I1828" s="70">
        <f t="shared" si="758"/>
        <v>0</v>
      </c>
      <c r="J1828" s="73" t="str">
        <f t="shared" si="759"/>
        <v>--</v>
      </c>
      <c r="K1828" s="32"/>
      <c r="L1828" s="233"/>
      <c r="M1828" s="278"/>
      <c r="N1828" s="278"/>
      <c r="O1828" s="278"/>
      <c r="P1828" s="278"/>
      <c r="Q1828" s="278"/>
      <c r="R1828" s="278"/>
      <c r="S1828" s="278"/>
      <c r="T1828" s="278"/>
      <c r="U1828" s="27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 thickBot="1" x14ac:dyDescent="0.35">
      <c r="A1829" s="88"/>
      <c r="B1829" s="66" t="s">
        <v>297</v>
      </c>
      <c r="C1829" s="67"/>
      <c r="D1829" s="102"/>
      <c r="E1829" s="32"/>
      <c r="F1829" s="32"/>
      <c r="G1829" s="68" t="s">
        <v>285</v>
      </c>
      <c r="H1829" s="69">
        <f t="shared" si="757"/>
        <v>0</v>
      </c>
      <c r="I1829" s="70">
        <f t="shared" si="758"/>
        <v>0</v>
      </c>
      <c r="J1829" s="73" t="str">
        <f t="shared" si="759"/>
        <v>--</v>
      </c>
      <c r="K1829" s="32"/>
      <c r="L1829" s="233"/>
      <c r="M1829" s="278"/>
      <c r="N1829" s="278"/>
      <c r="O1829" s="278"/>
      <c r="P1829" s="278"/>
      <c r="Q1829" s="278"/>
      <c r="R1829" s="278"/>
      <c r="S1829" s="278"/>
      <c r="T1829" s="278"/>
      <c r="U1829" s="27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 thickBot="1" x14ac:dyDescent="0.35">
      <c r="A1830" s="88"/>
      <c r="B1830" s="66" t="s">
        <v>298</v>
      </c>
      <c r="C1830" s="67"/>
      <c r="D1830" s="102"/>
      <c r="E1830" s="32"/>
      <c r="F1830" s="32"/>
      <c r="G1830" s="68" t="s">
        <v>285</v>
      </c>
      <c r="H1830" s="69">
        <f t="shared" si="757"/>
        <v>0</v>
      </c>
      <c r="I1830" s="70">
        <f t="shared" si="758"/>
        <v>0</v>
      </c>
      <c r="J1830" s="73" t="str">
        <f t="shared" si="759"/>
        <v>--</v>
      </c>
      <c r="K1830" s="32"/>
      <c r="L1830" s="233"/>
      <c r="M1830" s="278"/>
      <c r="N1830" s="278"/>
      <c r="O1830" s="278"/>
      <c r="P1830" s="278"/>
      <c r="Q1830" s="278"/>
      <c r="R1830" s="278"/>
      <c r="S1830" s="278"/>
      <c r="T1830" s="278"/>
      <c r="U1830" s="27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 thickBot="1" x14ac:dyDescent="0.35">
      <c r="A1831" s="88"/>
      <c r="B1831" s="66" t="s">
        <v>299</v>
      </c>
      <c r="C1831" s="67"/>
      <c r="D1831" s="102"/>
      <c r="E1831" s="32"/>
      <c r="F1831" s="32"/>
      <c r="G1831" s="68" t="s">
        <v>285</v>
      </c>
      <c r="H1831" s="69">
        <f t="shared" si="757"/>
        <v>0</v>
      </c>
      <c r="I1831" s="70">
        <f t="shared" si="758"/>
        <v>0</v>
      </c>
      <c r="J1831" s="73" t="str">
        <f t="shared" si="759"/>
        <v>--</v>
      </c>
      <c r="K1831" s="32"/>
      <c r="L1831" s="233"/>
      <c r="M1831" s="278"/>
      <c r="N1831" s="278"/>
      <c r="O1831" s="278"/>
      <c r="P1831" s="278"/>
      <c r="Q1831" s="278"/>
      <c r="R1831" s="278"/>
      <c r="S1831" s="278"/>
      <c r="T1831" s="278"/>
      <c r="U1831" s="27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 thickBot="1" x14ac:dyDescent="0.35">
      <c r="A1832" s="88"/>
      <c r="B1832" s="66" t="s">
        <v>300</v>
      </c>
      <c r="C1832" s="67"/>
      <c r="D1832" s="102"/>
      <c r="E1832" s="32"/>
      <c r="F1832" s="32"/>
      <c r="G1832" s="68" t="s">
        <v>285</v>
      </c>
      <c r="H1832" s="69">
        <f t="shared" si="757"/>
        <v>0</v>
      </c>
      <c r="I1832" s="70">
        <f t="shared" si="758"/>
        <v>0</v>
      </c>
      <c r="J1832" s="73" t="str">
        <f t="shared" si="759"/>
        <v>--</v>
      </c>
      <c r="K1832" s="32"/>
      <c r="L1832" s="233"/>
      <c r="M1832" s="278"/>
      <c r="N1832" s="278"/>
      <c r="O1832" s="278"/>
      <c r="P1832" s="278"/>
      <c r="Q1832" s="278"/>
      <c r="R1832" s="278"/>
      <c r="S1832" s="278"/>
      <c r="T1832" s="278"/>
      <c r="U1832" s="27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 thickBot="1" x14ac:dyDescent="0.35">
      <c r="A1833" s="88"/>
      <c r="B1833" s="66" t="s">
        <v>301</v>
      </c>
      <c r="C1833" s="67"/>
      <c r="D1833" s="102"/>
      <c r="E1833" s="32"/>
      <c r="F1833" s="32"/>
      <c r="G1833" s="68" t="s">
        <v>285</v>
      </c>
      <c r="H1833" s="69">
        <f t="shared" si="757"/>
        <v>0</v>
      </c>
      <c r="I1833" s="70">
        <f t="shared" si="758"/>
        <v>0</v>
      </c>
      <c r="J1833" s="73" t="str">
        <f t="shared" si="759"/>
        <v>--</v>
      </c>
      <c r="K1833" s="32"/>
      <c r="L1833" s="233"/>
      <c r="M1833" s="278"/>
      <c r="N1833" s="278"/>
      <c r="O1833" s="278"/>
      <c r="P1833" s="278"/>
      <c r="Q1833" s="278"/>
      <c r="R1833" s="278"/>
      <c r="S1833" s="278"/>
      <c r="T1833" s="278"/>
      <c r="U1833" s="27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 thickBot="1" x14ac:dyDescent="0.35">
      <c r="A1834" s="88"/>
      <c r="B1834" s="66" t="s">
        <v>302</v>
      </c>
      <c r="C1834" s="67"/>
      <c r="D1834" s="102"/>
      <c r="E1834" s="32"/>
      <c r="F1834" s="32"/>
      <c r="G1834" s="68" t="s">
        <v>285</v>
      </c>
      <c r="H1834" s="69">
        <f t="shared" si="757"/>
        <v>0</v>
      </c>
      <c r="I1834" s="70">
        <f t="shared" si="758"/>
        <v>0</v>
      </c>
      <c r="J1834" s="73" t="str">
        <f t="shared" si="759"/>
        <v>--</v>
      </c>
      <c r="K1834" s="32"/>
      <c r="L1834" s="233"/>
      <c r="M1834" s="278"/>
      <c r="N1834" s="278"/>
      <c r="O1834" s="278"/>
      <c r="P1834" s="278"/>
      <c r="Q1834" s="278"/>
      <c r="R1834" s="278"/>
      <c r="S1834" s="278"/>
      <c r="T1834" s="278"/>
      <c r="U1834" s="27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 thickBot="1" x14ac:dyDescent="0.35">
      <c r="A1835" s="88"/>
      <c r="B1835" s="66" t="s">
        <v>303</v>
      </c>
      <c r="C1835" s="67"/>
      <c r="D1835" s="102"/>
      <c r="E1835" s="32"/>
      <c r="F1835" s="32"/>
      <c r="G1835" s="68" t="s">
        <v>285</v>
      </c>
      <c r="H1835" s="69">
        <f t="shared" si="757"/>
        <v>0</v>
      </c>
      <c r="I1835" s="70">
        <f t="shared" si="758"/>
        <v>0</v>
      </c>
      <c r="J1835" s="73" t="str">
        <f t="shared" si="759"/>
        <v>--</v>
      </c>
      <c r="K1835" s="32"/>
      <c r="L1835" s="233"/>
      <c r="M1835" s="278"/>
      <c r="N1835" s="278"/>
      <c r="O1835" s="278"/>
      <c r="P1835" s="278"/>
      <c r="Q1835" s="278"/>
      <c r="R1835" s="278"/>
      <c r="S1835" s="278"/>
      <c r="T1835" s="278"/>
      <c r="U1835" s="27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 thickBot="1" x14ac:dyDescent="0.35">
      <c r="A1836" s="88"/>
      <c r="B1836" s="66" t="s">
        <v>304</v>
      </c>
      <c r="C1836" s="67"/>
      <c r="D1836" s="102"/>
      <c r="E1836" s="32"/>
      <c r="F1836" s="32"/>
      <c r="G1836" s="68" t="s">
        <v>285</v>
      </c>
      <c r="H1836" s="69">
        <f t="shared" si="757"/>
        <v>0</v>
      </c>
      <c r="I1836" s="70">
        <f t="shared" si="758"/>
        <v>0</v>
      </c>
      <c r="J1836" s="73" t="str">
        <f t="shared" si="759"/>
        <v>--</v>
      </c>
      <c r="K1836" s="32"/>
      <c r="L1836" s="233"/>
      <c r="M1836" s="278"/>
      <c r="N1836" s="278"/>
      <c r="O1836" s="278"/>
      <c r="P1836" s="278"/>
      <c r="Q1836" s="278"/>
      <c r="R1836" s="278"/>
      <c r="S1836" s="278"/>
      <c r="T1836" s="278"/>
      <c r="U1836" s="27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 thickBot="1" x14ac:dyDescent="0.35">
      <c r="A1837" s="88"/>
      <c r="B1837" s="66" t="s">
        <v>305</v>
      </c>
      <c r="C1837" s="67"/>
      <c r="D1837" s="102"/>
      <c r="E1837" s="32"/>
      <c r="F1837" s="32"/>
      <c r="G1837" s="68" t="s">
        <v>285</v>
      </c>
      <c r="H1837" s="69">
        <f t="shared" si="757"/>
        <v>0</v>
      </c>
      <c r="I1837" s="70">
        <f t="shared" si="758"/>
        <v>0</v>
      </c>
      <c r="J1837" s="73" t="str">
        <f t="shared" si="759"/>
        <v>--</v>
      </c>
      <c r="K1837" s="32"/>
      <c r="L1837" s="233"/>
      <c r="M1837" s="278"/>
      <c r="N1837" s="278"/>
      <c r="O1837" s="278"/>
      <c r="P1837" s="278"/>
      <c r="Q1837" s="278"/>
      <c r="R1837" s="278"/>
      <c r="S1837" s="278"/>
      <c r="T1837" s="278"/>
      <c r="U1837" s="27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 thickBot="1" x14ac:dyDescent="0.35">
      <c r="A1838" s="88"/>
      <c r="B1838" s="66" t="s">
        <v>306</v>
      </c>
      <c r="C1838" s="67"/>
      <c r="D1838" s="102"/>
      <c r="E1838" s="32"/>
      <c r="F1838" s="32"/>
      <c r="G1838" s="68" t="s">
        <v>285</v>
      </c>
      <c r="H1838" s="69">
        <f t="shared" si="757"/>
        <v>0</v>
      </c>
      <c r="I1838" s="70">
        <f t="shared" si="758"/>
        <v>0</v>
      </c>
      <c r="J1838" s="73" t="str">
        <f t="shared" si="759"/>
        <v>--</v>
      </c>
      <c r="K1838" s="32"/>
      <c r="L1838" s="233"/>
      <c r="M1838" s="278"/>
      <c r="N1838" s="278"/>
      <c r="O1838" s="278"/>
      <c r="P1838" s="278"/>
      <c r="Q1838" s="278"/>
      <c r="R1838" s="278"/>
      <c r="S1838" s="278"/>
      <c r="T1838" s="278"/>
      <c r="U1838" s="27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 thickBot="1" x14ac:dyDescent="0.35">
      <c r="A1839" s="88"/>
      <c r="B1839" s="66" t="s">
        <v>307</v>
      </c>
      <c r="C1839" s="67"/>
      <c r="D1839" s="102"/>
      <c r="E1839" s="32"/>
      <c r="F1839" s="32"/>
      <c r="G1839" s="68" t="s">
        <v>285</v>
      </c>
      <c r="H1839" s="69">
        <f t="shared" si="757"/>
        <v>0</v>
      </c>
      <c r="I1839" s="70">
        <f t="shared" si="758"/>
        <v>0</v>
      </c>
      <c r="J1839" s="73" t="str">
        <f t="shared" si="759"/>
        <v>--</v>
      </c>
      <c r="K1839" s="32"/>
      <c r="L1839" s="233"/>
      <c r="M1839" s="278"/>
      <c r="N1839" s="278"/>
      <c r="O1839" s="278"/>
      <c r="P1839" s="278"/>
      <c r="Q1839" s="278"/>
      <c r="R1839" s="278"/>
      <c r="S1839" s="278"/>
      <c r="T1839" s="278"/>
      <c r="U1839" s="27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 thickBot="1" x14ac:dyDescent="0.35">
      <c r="A1840" s="88"/>
      <c r="B1840" s="66" t="s">
        <v>308</v>
      </c>
      <c r="C1840" s="67"/>
      <c r="D1840" s="102"/>
      <c r="E1840" s="32"/>
      <c r="F1840" s="32"/>
      <c r="G1840" s="68" t="s">
        <v>285</v>
      </c>
      <c r="H1840" s="69">
        <f t="shared" si="757"/>
        <v>0</v>
      </c>
      <c r="I1840" s="70">
        <f t="shared" si="758"/>
        <v>0</v>
      </c>
      <c r="J1840" s="73" t="str">
        <f t="shared" si="759"/>
        <v>--</v>
      </c>
      <c r="K1840" s="32"/>
      <c r="L1840" s="233"/>
      <c r="M1840" s="278"/>
      <c r="N1840" s="278"/>
      <c r="O1840" s="278"/>
      <c r="P1840" s="278"/>
      <c r="Q1840" s="278"/>
      <c r="R1840" s="278"/>
      <c r="S1840" s="278"/>
      <c r="T1840" s="278"/>
      <c r="U1840" s="27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 thickBot="1" x14ac:dyDescent="0.35">
      <c r="A1841" s="88"/>
      <c r="B1841" s="66" t="s">
        <v>309</v>
      </c>
      <c r="C1841" s="67"/>
      <c r="D1841" s="102"/>
      <c r="E1841" s="32"/>
      <c r="F1841" s="32"/>
      <c r="G1841" s="68" t="s">
        <v>285</v>
      </c>
      <c r="H1841" s="69">
        <f t="shared" si="757"/>
        <v>0</v>
      </c>
      <c r="I1841" s="70">
        <f t="shared" si="758"/>
        <v>0</v>
      </c>
      <c r="J1841" s="73" t="str">
        <f t="shared" si="759"/>
        <v>--</v>
      </c>
      <c r="K1841" s="32"/>
      <c r="L1841" s="233"/>
      <c r="M1841" s="278"/>
      <c r="N1841" s="278"/>
      <c r="O1841" s="278"/>
      <c r="P1841" s="278"/>
      <c r="Q1841" s="278"/>
      <c r="R1841" s="278"/>
      <c r="S1841" s="278"/>
      <c r="T1841" s="278"/>
      <c r="U1841" s="27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 thickBot="1" x14ac:dyDescent="0.35">
      <c r="A1842" s="88"/>
      <c r="B1842" s="66" t="s">
        <v>310</v>
      </c>
      <c r="C1842" s="67"/>
      <c r="D1842" s="102"/>
      <c r="E1842" s="32"/>
      <c r="F1842" s="32"/>
      <c r="G1842" s="68" t="s">
        <v>285</v>
      </c>
      <c r="H1842" s="69">
        <f t="shared" si="757"/>
        <v>0</v>
      </c>
      <c r="I1842" s="70">
        <f t="shared" si="758"/>
        <v>0</v>
      </c>
      <c r="J1842" s="73" t="str">
        <f t="shared" si="759"/>
        <v>--</v>
      </c>
      <c r="K1842" s="32"/>
      <c r="L1842" s="233"/>
      <c r="M1842" s="278"/>
      <c r="N1842" s="278"/>
      <c r="O1842" s="278"/>
      <c r="P1842" s="278"/>
      <c r="Q1842" s="278"/>
      <c r="R1842" s="278"/>
      <c r="S1842" s="278"/>
      <c r="T1842" s="278"/>
      <c r="U1842" s="27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 thickBot="1" x14ac:dyDescent="0.35">
      <c r="A1843" s="88"/>
      <c r="B1843" s="66" t="s">
        <v>311</v>
      </c>
      <c r="C1843" s="67"/>
      <c r="D1843" s="102"/>
      <c r="E1843" s="32"/>
      <c r="F1843" s="32"/>
      <c r="G1843" s="68" t="s">
        <v>285</v>
      </c>
      <c r="H1843" s="69">
        <f t="shared" si="757"/>
        <v>0</v>
      </c>
      <c r="I1843" s="70">
        <f t="shared" si="758"/>
        <v>0</v>
      </c>
      <c r="J1843" s="73" t="str">
        <f t="shared" si="759"/>
        <v>--</v>
      </c>
      <c r="K1843" s="32"/>
      <c r="L1843" s="233"/>
      <c r="M1843" s="278"/>
      <c r="N1843" s="278"/>
      <c r="O1843" s="278"/>
      <c r="P1843" s="278"/>
      <c r="Q1843" s="278"/>
      <c r="R1843" s="278"/>
      <c r="S1843" s="278"/>
      <c r="T1843" s="278"/>
      <c r="U1843" s="27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 thickBot="1" x14ac:dyDescent="0.35">
      <c r="A1844" s="88"/>
      <c r="B1844" s="66" t="s">
        <v>312</v>
      </c>
      <c r="C1844" s="67"/>
      <c r="D1844" s="102"/>
      <c r="E1844" s="32"/>
      <c r="F1844" s="32"/>
      <c r="G1844" s="68" t="s">
        <v>285</v>
      </c>
      <c r="H1844" s="69">
        <f t="shared" si="757"/>
        <v>0</v>
      </c>
      <c r="I1844" s="70">
        <f t="shared" si="758"/>
        <v>0</v>
      </c>
      <c r="J1844" s="73" t="str">
        <f t="shared" si="759"/>
        <v>--</v>
      </c>
      <c r="K1844" s="32"/>
      <c r="L1844" s="233"/>
      <c r="M1844" s="278"/>
      <c r="N1844" s="278"/>
      <c r="O1844" s="278"/>
      <c r="P1844" s="278"/>
      <c r="Q1844" s="278"/>
      <c r="R1844" s="278"/>
      <c r="S1844" s="278"/>
      <c r="T1844" s="278"/>
      <c r="U1844" s="27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 thickBot="1" x14ac:dyDescent="0.35">
      <c r="A1845" s="88"/>
      <c r="B1845" s="66" t="s">
        <v>313</v>
      </c>
      <c r="C1845" s="67"/>
      <c r="D1845" s="102"/>
      <c r="E1845" s="32"/>
      <c r="F1845" s="32"/>
      <c r="G1845" s="68" t="s">
        <v>285</v>
      </c>
      <c r="H1845" s="69">
        <f t="shared" si="757"/>
        <v>0</v>
      </c>
      <c r="I1845" s="70">
        <f t="shared" si="758"/>
        <v>0</v>
      </c>
      <c r="J1845" s="73" t="str">
        <f t="shared" si="759"/>
        <v>--</v>
      </c>
      <c r="K1845" s="32"/>
      <c r="L1845" s="234"/>
      <c r="M1845" s="278"/>
      <c r="N1845" s="278"/>
      <c r="O1845" s="278"/>
      <c r="P1845" s="278"/>
      <c r="Q1845" s="278"/>
      <c r="R1845" s="278"/>
      <c r="S1845" s="278"/>
      <c r="T1845" s="278"/>
      <c r="U1845" s="27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2" thickBot="1" x14ac:dyDescent="0.35">
      <c r="A1846" s="88"/>
      <c r="B1846" s="319" t="s">
        <v>464</v>
      </c>
      <c r="C1846" s="320"/>
      <c r="D1846" s="79"/>
      <c r="E1846" s="80"/>
      <c r="F1846" s="80"/>
      <c r="G1846" s="81"/>
      <c r="H1846" s="192"/>
      <c r="I1846" s="192"/>
      <c r="J1846" s="192"/>
      <c r="K1846" s="82"/>
      <c r="L1846" s="319" t="s">
        <v>319</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2" thickBot="1" x14ac:dyDescent="0.35">
      <c r="A1847" s="88"/>
      <c r="B1847" s="319" t="s">
        <v>320</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3">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 thickBot="1" x14ac:dyDescent="0.35">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5">
      <c r="A1850" s="88"/>
      <c r="B1850" s="85" t="s">
        <v>465</v>
      </c>
      <c r="C1850" s="25"/>
      <c r="D1850" s="25"/>
      <c r="E1850" s="25"/>
      <c r="F1850" s="88"/>
      <c r="G1850" s="25"/>
      <c r="H1850" s="25"/>
      <c r="I1850" s="87"/>
      <c r="J1850" s="26"/>
      <c r="K1850" s="25"/>
      <c r="L1850" s="25"/>
      <c r="M1850" s="196" t="s">
        <v>217</v>
      </c>
      <c r="N1850" s="196" t="s">
        <v>218</v>
      </c>
      <c r="O1850" s="196" t="s">
        <v>219</v>
      </c>
      <c r="P1850" s="196" t="s">
        <v>220</v>
      </c>
      <c r="Q1850" s="196" t="s">
        <v>221</v>
      </c>
      <c r="R1850" s="196" t="s">
        <v>222</v>
      </c>
      <c r="S1850" s="196" t="s">
        <v>223</v>
      </c>
      <c r="T1850" s="196" t="s">
        <v>224</v>
      </c>
      <c r="U1850" s="196" t="s">
        <v>225</v>
      </c>
      <c r="V1850" s="196" t="s">
        <v>226</v>
      </c>
      <c r="W1850" s="113" t="s">
        <v>227</v>
      </c>
      <c r="X1850" s="196" t="s">
        <v>228</v>
      </c>
      <c r="Y1850" s="25"/>
      <c r="Z1850" s="25"/>
      <c r="AA1850" s="25"/>
      <c r="AB1850" s="25"/>
      <c r="AC1850" s="25"/>
      <c r="AD1850" s="25"/>
      <c r="BA1850" s="226"/>
    </row>
    <row r="1851" spans="1:53" ht="15.6" thickTop="1" thickBot="1" x14ac:dyDescent="0.35">
      <c r="A1851" s="88"/>
      <c r="B1851" s="312" t="s">
        <v>229</v>
      </c>
      <c r="C1851" s="313"/>
      <c r="D1851" s="314" t="s">
        <v>230</v>
      </c>
      <c r="E1851" s="305"/>
      <c r="F1851" s="88"/>
      <c r="G1851" s="315" t="s">
        <v>231</v>
      </c>
      <c r="H1851" s="316"/>
      <c r="I1851" s="28">
        <f>SUM(E1862:E1886)</f>
        <v>0</v>
      </c>
      <c r="J1851" s="317" t="s">
        <v>232</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233</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234</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5">
      <c r="A1852" s="88"/>
      <c r="B1852" s="29" t="s">
        <v>235</v>
      </c>
      <c r="C1852" s="30">
        <v>0</v>
      </c>
      <c r="D1852" s="31" t="s">
        <v>236</v>
      </c>
      <c r="E1852" s="66" t="str">
        <f>TEXT(IF('Cable Calculator'!HU7="","",'Cable Calculator'!HU7),)</f>
        <v/>
      </c>
      <c r="F1852" s="88"/>
      <c r="G1852" s="304" t="s">
        <v>237</v>
      </c>
      <c r="H1852" s="305"/>
      <c r="I1852" s="33">
        <f>E1853-I1851</f>
        <v>0</v>
      </c>
      <c r="J1852" s="289" t="s">
        <v>238</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239</v>
      </c>
      <c r="AA1852" s="300" t="s">
        <v>240</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241</v>
      </c>
      <c r="AU1852" s="109">
        <f>COUNTIFS($E1852,"SS",$AS1852,"Y")</f>
        <v>0</v>
      </c>
      <c r="AV1852" s="111">
        <f>COUNTIFS($E1852,"RPX",$AS1852,"Y")</f>
        <v>0</v>
      </c>
      <c r="AW1852" s="111">
        <f>COUNTIFS($E1852,"EUC",$AS1852,"Y")</f>
        <v>0</v>
      </c>
      <c r="AX1852" s="109">
        <f>COUNTIFS($E1852,"RPX-T",$AS1852,"Y")</f>
        <v>0</v>
      </c>
      <c r="BA1852" s="227"/>
    </row>
    <row r="1853" spans="1:53" ht="15.6" thickTop="1" thickBot="1" x14ac:dyDescent="0.35">
      <c r="A1853" s="88"/>
      <c r="B1853" s="36" t="s">
        <v>242</v>
      </c>
      <c r="C1853" s="37">
        <v>0</v>
      </c>
      <c r="D1853" s="38" t="s">
        <v>243</v>
      </c>
      <c r="E1853" s="32"/>
      <c r="F1853" s="88"/>
      <c r="G1853" s="291" t="s">
        <v>244</v>
      </c>
      <c r="H1853" s="292"/>
      <c r="I1853" s="35">
        <f>IF(E1853=0,0,12-(MOD(I1851,12)))</f>
        <v>0</v>
      </c>
      <c r="J1853" s="289" t="s">
        <v>245</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246</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5">
      <c r="A1854" s="88"/>
      <c r="B1854" s="40" t="s">
        <v>247</v>
      </c>
      <c r="C1854" s="30">
        <v>0</v>
      </c>
      <c r="D1854" s="41" t="s">
        <v>248</v>
      </c>
      <c r="E1854" s="42"/>
      <c r="F1854" s="88"/>
      <c r="G1854" s="321" t="s">
        <v>249</v>
      </c>
      <c r="H1854" s="43" t="s">
        <v>250</v>
      </c>
      <c r="I1854" s="35">
        <f>IF(E1854&lt;&gt;0,1,0)</f>
        <v>0</v>
      </c>
      <c r="J1854" s="291" t="s">
        <v>251</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252</v>
      </c>
      <c r="AU1854" s="109">
        <f>COUNTIFS($E1852,"SS",$AS1854,"Y")</f>
        <v>0</v>
      </c>
      <c r="AV1854" s="108">
        <f>COUNTIFS($E1852,"RPX",$AS1854,"Y")</f>
        <v>0</v>
      </c>
      <c r="AW1854" s="108">
        <f>COUNTIFS($E1852,"EUC",$AS1854,"Y")</f>
        <v>0</v>
      </c>
      <c r="AX1854" s="109">
        <f>COUNTIFS($E1852,"RPX-T",$AS1854,"Y")</f>
        <v>0</v>
      </c>
      <c r="BA1854" s="227"/>
    </row>
    <row r="1855" spans="1:53" ht="15.6" thickTop="1" thickBot="1" x14ac:dyDescent="0.35">
      <c r="A1855" s="88"/>
      <c r="B1855" s="29" t="s">
        <v>253</v>
      </c>
      <c r="C1855" s="37">
        <v>0</v>
      </c>
      <c r="D1855" s="41" t="s">
        <v>254</v>
      </c>
      <c r="E1855" s="42"/>
      <c r="F1855" s="88"/>
      <c r="G1855" s="322"/>
      <c r="H1855" s="47" t="s">
        <v>255</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5">
      <c r="A1856" s="88"/>
      <c r="B1856" s="36" t="s">
        <v>256</v>
      </c>
      <c r="C1856" s="30">
        <v>0</v>
      </c>
      <c r="D1856" s="49" t="s">
        <v>257</v>
      </c>
      <c r="E1856" s="50">
        <f>E1853/12</f>
        <v>0</v>
      </c>
      <c r="F1856" s="88"/>
      <c r="G1856" s="321" t="s">
        <v>258</v>
      </c>
      <c r="H1856" s="51" t="s">
        <v>259</v>
      </c>
      <c r="I1856" s="112">
        <f>E1855</f>
        <v>0</v>
      </c>
      <c r="J1856" s="323" t="s">
        <v>260</v>
      </c>
      <c r="K1856" s="324"/>
      <c r="L1856" s="325"/>
      <c r="M1856" s="52" t="s">
        <v>261</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5.6" thickTop="1" thickBot="1" x14ac:dyDescent="0.35">
      <c r="A1857" s="88"/>
      <c r="B1857" s="36" t="s">
        <v>262</v>
      </c>
      <c r="C1857" s="30">
        <v>0</v>
      </c>
      <c r="D1857" s="31" t="s">
        <v>263</v>
      </c>
      <c r="E1857" s="101" t="str">
        <f>IF('Cable Calculator'!HU5="","",'Cable Calculator'!HU5)</f>
        <v/>
      </c>
      <c r="F1857" s="88"/>
      <c r="G1857" s="322"/>
      <c r="H1857" s="47" t="s">
        <v>264</v>
      </c>
      <c r="I1857" s="35" t="str">
        <f>IF(E1855="","0",IF(AND(E1852="EUC",E1853=432), I1856+(203-E1854),IF(E1855=0,0,(E1855+(E1853-E1854)-1))))</f>
        <v>0</v>
      </c>
      <c r="J1857" s="286" t="str">
        <f>IFERROR(IF(OR(E1852="EUC",E1852="SS"),"---",IF(OR(P1851,S1851),"NO 2F Tethers for RPX!",IF(OR(P1853,S1853),"NO 6F Tethers for RPX!","---"))),"---")</f>
        <v>---</v>
      </c>
      <c r="K1857" s="287"/>
      <c r="L1857" s="288"/>
      <c r="M1857" s="286" t="str">
        <f>IF(E1854&gt;60,"Dead Count &gt;60: Consider Downsize","---")</f>
        <v>---</v>
      </c>
      <c r="N1857" s="287"/>
      <c r="O1857" s="287"/>
      <c r="P1857" s="287"/>
      <c r="Q1857" s="287"/>
      <c r="R1857" s="287"/>
      <c r="S1857" s="287"/>
      <c r="T1857" s="287"/>
      <c r="U1857" s="288"/>
      <c r="V1857" s="100"/>
      <c r="W1857" s="54">
        <f>SUM(P1857:U1857)</f>
        <v>0</v>
      </c>
      <c r="X1857" s="54"/>
      <c r="Y1857" s="25"/>
      <c r="Z1857" s="45">
        <v>4</v>
      </c>
      <c r="AA1857" s="46">
        <v>37</v>
      </c>
      <c r="AB1857" s="46">
        <v>48</v>
      </c>
      <c r="AC1857" s="25"/>
      <c r="AD1857" s="25"/>
      <c r="BA1857" s="227"/>
    </row>
    <row r="1858" spans="1:53" ht="15.6" thickTop="1" thickBot="1" x14ac:dyDescent="0.35">
      <c r="A1858" s="88"/>
      <c r="B1858" s="55" t="s">
        <v>265</v>
      </c>
      <c r="C1858" s="56">
        <f>SUM(C1852:C1857)+I1851</f>
        <v>0</v>
      </c>
      <c r="D1858" s="31" t="s">
        <v>266</v>
      </c>
      <c r="E1858" s="101" t="str">
        <f>IF(AS1852="Y","DBL",IF(AS1853="Y","TRPL",IF(AS1854="Y","QUAD","")))</f>
        <v/>
      </c>
      <c r="F1858" s="88"/>
      <c r="G1858" s="192"/>
      <c r="H1858" s="57"/>
      <c r="I1858" s="192"/>
      <c r="J1858" s="286"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7"/>
      <c r="L1858" s="288"/>
      <c r="M1858" s="286" t="str">
        <f>IF(AND(OR(E1852="SS",E1852="RPX",E1852="EUC",E1852="RPX-T"),(OR(C1862="",C1862="Field SPL"))),"Cannot have FlexNap cables without tethers","---")</f>
        <v>---</v>
      </c>
      <c r="N1858" s="287"/>
      <c r="O1858" s="287"/>
      <c r="P1858" s="287"/>
      <c r="Q1858" s="287"/>
      <c r="R1858" s="287"/>
      <c r="S1858" s="287"/>
      <c r="T1858" s="287"/>
      <c r="U1858" s="288"/>
      <c r="V1858" s="25"/>
      <c r="W1858" s="58"/>
      <c r="X1858" s="58"/>
      <c r="Y1858" s="25"/>
      <c r="Z1858" s="45">
        <v>5</v>
      </c>
      <c r="AA1858" s="46">
        <v>49</v>
      </c>
      <c r="AB1858" s="46">
        <v>60</v>
      </c>
      <c r="AC1858" s="25"/>
      <c r="AD1858" s="25"/>
      <c r="BA1858" s="227"/>
    </row>
    <row r="1859" spans="1:53" ht="15.6" thickTop="1" thickBot="1" x14ac:dyDescent="0.35">
      <c r="A1859" s="88"/>
      <c r="B1859" s="59"/>
      <c r="C1859" s="60"/>
      <c r="D1859" s="61"/>
      <c r="E1859" s="62"/>
      <c r="F1859" s="88"/>
      <c r="G1859" s="63"/>
      <c r="H1859" s="64"/>
      <c r="I1859" s="63"/>
      <c r="J1859" s="286" t="str">
        <f>IF(AND(OR(E1852="RPX", E1852="RPX-T", E1852="SS"),E1853=216),"NO 216 For RPX, RPX-T, OR SS CABLE","---")</f>
        <v>---</v>
      </c>
      <c r="K1859" s="287"/>
      <c r="L1859" s="288"/>
      <c r="M1859" s="286" t="str" cm="1">
        <f t="array" ref="M1859">IF(AND(E1852="",OR(C1862:C1886="FST",C1862:C1886="REV T",C1862:C1886="DBL REV",C1862:C1886="TPL REV", C1862:C1886="QD REV")),"Non-FlexNap cables cannot have tethers","---")</f>
        <v>---</v>
      </c>
      <c r="N1859" s="287"/>
      <c r="O1859" s="287"/>
      <c r="P1859" s="287"/>
      <c r="Q1859" s="287"/>
      <c r="R1859" s="287"/>
      <c r="S1859" s="287"/>
      <c r="T1859" s="287"/>
      <c r="U1859" s="288"/>
      <c r="V1859" s="25"/>
      <c r="W1859" s="58"/>
      <c r="X1859" s="58"/>
      <c r="Y1859" s="25"/>
      <c r="Z1859" s="45">
        <v>6</v>
      </c>
      <c r="AA1859" s="65">
        <v>61</v>
      </c>
      <c r="AB1859" s="65">
        <v>72</v>
      </c>
      <c r="AC1859" s="25"/>
      <c r="AD1859" s="25"/>
      <c r="BA1859" s="226"/>
    </row>
    <row r="1860" spans="1:53" ht="15.75" customHeight="1" thickBot="1" x14ac:dyDescent="0.35">
      <c r="A1860" s="88"/>
      <c r="B1860" s="321" t="s">
        <v>267</v>
      </c>
      <c r="C1860" s="293" t="s">
        <v>268</v>
      </c>
      <c r="D1860" s="293" t="s">
        <v>269</v>
      </c>
      <c r="E1860" s="306" t="s">
        <v>270</v>
      </c>
      <c r="F1860" s="293" t="s">
        <v>271</v>
      </c>
      <c r="G1860" s="308" t="s">
        <v>272</v>
      </c>
      <c r="H1860" s="308" t="s">
        <v>273</v>
      </c>
      <c r="I1860" s="308" t="s">
        <v>274</v>
      </c>
      <c r="J1860" s="310" t="s">
        <v>275</v>
      </c>
      <c r="K1860" s="293" t="s">
        <v>276</v>
      </c>
      <c r="L1860" s="280" t="s">
        <v>277</v>
      </c>
      <c r="M1860" s="282" t="s">
        <v>278</v>
      </c>
      <c r="N1860" s="282"/>
      <c r="O1860" s="282"/>
      <c r="P1860" s="282"/>
      <c r="Q1860" s="282"/>
      <c r="R1860" s="282"/>
      <c r="S1860" s="282"/>
      <c r="T1860" s="282"/>
      <c r="U1860" s="283"/>
      <c r="V1860" s="107"/>
      <c r="W1860" s="72"/>
      <c r="X1860" s="72"/>
      <c r="Y1860" s="72"/>
      <c r="Z1860" s="45">
        <v>7</v>
      </c>
      <c r="AA1860" s="65">
        <v>73</v>
      </c>
      <c r="AB1860" s="65">
        <v>84</v>
      </c>
      <c r="AC1860" s="25"/>
      <c r="AD1860" s="25"/>
      <c r="BA1860" s="228"/>
    </row>
    <row r="1861" spans="1:53" ht="15" thickBot="1" x14ac:dyDescent="0.35">
      <c r="A1861" s="88"/>
      <c r="B1861" s="322"/>
      <c r="C1861" s="294"/>
      <c r="D1861" s="294"/>
      <c r="E1861" s="307"/>
      <c r="F1861" s="294"/>
      <c r="G1861" s="309"/>
      <c r="H1861" s="309"/>
      <c r="I1861" s="309"/>
      <c r="J1861" s="311"/>
      <c r="K1861" s="294"/>
      <c r="L1861" s="281"/>
      <c r="M1861" s="284"/>
      <c r="N1861" s="284"/>
      <c r="O1861" s="284"/>
      <c r="P1861" s="284"/>
      <c r="Q1861" s="284"/>
      <c r="R1861" s="284"/>
      <c r="S1861" s="284"/>
      <c r="T1861" s="284"/>
      <c r="U1861" s="285"/>
      <c r="V1861" s="107"/>
      <c r="W1861" s="72"/>
      <c r="X1861" s="72"/>
      <c r="Y1861" s="72"/>
      <c r="Z1861" s="45">
        <v>8</v>
      </c>
      <c r="AA1861" s="46">
        <v>85</v>
      </c>
      <c r="AB1861" s="46">
        <v>96</v>
      </c>
      <c r="AC1861" s="25"/>
      <c r="AD1861" s="25"/>
      <c r="AI1861" s="109" t="s">
        <v>279</v>
      </c>
      <c r="AJ1861" s="109" t="s">
        <v>280</v>
      </c>
      <c r="AK1861" s="109" t="s">
        <v>281</v>
      </c>
      <c r="AL1861" s="109" t="s">
        <v>282</v>
      </c>
      <c r="BA1861" s="228"/>
    </row>
    <row r="1862" spans="1:53" ht="15" thickBot="1" x14ac:dyDescent="0.35">
      <c r="A1862" s="88"/>
      <c r="B1862" s="66" t="s">
        <v>283</v>
      </c>
      <c r="C1862" s="67"/>
      <c r="D1862" s="102"/>
      <c r="E1862" s="32"/>
      <c r="F1862" s="32"/>
      <c r="G1862" s="68" t="s">
        <v>285</v>
      </c>
      <c r="H1862" s="69">
        <f>IF(I1862=0,0,I1862-(E1862-1))</f>
        <v>0</v>
      </c>
      <c r="I1862" s="70">
        <f>IF(E1862=0,0,I1857)</f>
        <v>0</v>
      </c>
      <c r="J1862" s="71" t="s">
        <v>286</v>
      </c>
      <c r="K1862" s="32"/>
      <c r="L1862" s="233"/>
      <c r="M1862" s="278"/>
      <c r="N1862" s="278"/>
      <c r="O1862" s="278"/>
      <c r="P1862" s="278"/>
      <c r="Q1862" s="278"/>
      <c r="R1862" s="278"/>
      <c r="S1862" s="278"/>
      <c r="T1862" s="278"/>
      <c r="U1862" s="27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 thickBot="1" x14ac:dyDescent="0.35">
      <c r="A1863" s="88"/>
      <c r="B1863" s="66" t="s">
        <v>288</v>
      </c>
      <c r="C1863" s="67"/>
      <c r="D1863" s="102"/>
      <c r="E1863" s="32"/>
      <c r="F1863" s="32"/>
      <c r="G1863" s="68" t="s">
        <v>285</v>
      </c>
      <c r="H1863" s="69">
        <f t="shared" ref="H1863:H1886" si="774">IF(E1863=0,0,I1863-(E1863-1))</f>
        <v>0</v>
      </c>
      <c r="I1863" s="70">
        <f t="shared" ref="I1863:I1886" si="775">IF(E1863=0,0,H1862-1)</f>
        <v>0</v>
      </c>
      <c r="J1863" s="73" t="str">
        <f>IF(C1863="","--",IF(AND(C1863&lt;&gt;"FST",C1863&lt;&gt;"TCF",BA1862&lt;&gt;0),BA1862,"--"))</f>
        <v>--</v>
      </c>
      <c r="K1863" s="32"/>
      <c r="L1863" s="233"/>
      <c r="M1863" s="278"/>
      <c r="N1863" s="278"/>
      <c r="O1863" s="278"/>
      <c r="P1863" s="278"/>
      <c r="Q1863" s="278"/>
      <c r="R1863" s="278"/>
      <c r="S1863" s="278"/>
      <c r="T1863" s="278"/>
      <c r="U1863" s="27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 thickBot="1" x14ac:dyDescent="0.35">
      <c r="A1864" s="88"/>
      <c r="B1864" s="74" t="s">
        <v>290</v>
      </c>
      <c r="C1864" s="67"/>
      <c r="D1864" s="102"/>
      <c r="E1864" s="32"/>
      <c r="F1864" s="32"/>
      <c r="G1864" s="75" t="s">
        <v>285</v>
      </c>
      <c r="H1864" s="69">
        <f t="shared" si="774"/>
        <v>0</v>
      </c>
      <c r="I1864" s="70">
        <f t="shared" si="775"/>
        <v>0</v>
      </c>
      <c r="J1864" s="73" t="str">
        <f t="shared" ref="J1864:J1886" si="776">IF(C1864="","--",IF(AND(C1864&lt;&gt;"FST",C1864&lt;&gt;"TCF",BA1863&lt;&gt;0),BA1863,"--"))</f>
        <v>--</v>
      </c>
      <c r="K1864" s="32"/>
      <c r="L1864" s="233"/>
      <c r="M1864" s="278"/>
      <c r="N1864" s="278"/>
      <c r="O1864" s="278"/>
      <c r="P1864" s="278"/>
      <c r="Q1864" s="278"/>
      <c r="R1864" s="278"/>
      <c r="S1864" s="278"/>
      <c r="T1864" s="278"/>
      <c r="U1864" s="27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 thickBot="1" x14ac:dyDescent="0.35">
      <c r="A1865" s="88"/>
      <c r="B1865" s="66" t="s">
        <v>292</v>
      </c>
      <c r="C1865" s="67"/>
      <c r="D1865" s="102"/>
      <c r="E1865" s="32"/>
      <c r="F1865" s="32"/>
      <c r="G1865" s="68" t="s">
        <v>285</v>
      </c>
      <c r="H1865" s="69">
        <f t="shared" si="774"/>
        <v>0</v>
      </c>
      <c r="I1865" s="70">
        <f t="shared" si="775"/>
        <v>0</v>
      </c>
      <c r="J1865" s="73" t="str">
        <f t="shared" si="776"/>
        <v>--</v>
      </c>
      <c r="K1865" s="32"/>
      <c r="L1865" s="233"/>
      <c r="M1865" s="278"/>
      <c r="N1865" s="278"/>
      <c r="O1865" s="278"/>
      <c r="P1865" s="278"/>
      <c r="Q1865" s="278"/>
      <c r="R1865" s="278"/>
      <c r="S1865" s="278"/>
      <c r="T1865" s="278"/>
      <c r="U1865" s="27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 thickBot="1" x14ac:dyDescent="0.35">
      <c r="A1866" s="88"/>
      <c r="B1866" s="66" t="s">
        <v>293</v>
      </c>
      <c r="C1866" s="67"/>
      <c r="D1866" s="102"/>
      <c r="E1866" s="32"/>
      <c r="F1866" s="32"/>
      <c r="G1866" s="68" t="s">
        <v>285</v>
      </c>
      <c r="H1866" s="69">
        <f t="shared" si="774"/>
        <v>0</v>
      </c>
      <c r="I1866" s="70">
        <f t="shared" si="775"/>
        <v>0</v>
      </c>
      <c r="J1866" s="73" t="str">
        <f t="shared" si="776"/>
        <v>--</v>
      </c>
      <c r="K1866" s="32"/>
      <c r="L1866" s="233"/>
      <c r="M1866" s="278"/>
      <c r="N1866" s="278"/>
      <c r="O1866" s="278"/>
      <c r="P1866" s="278"/>
      <c r="Q1866" s="278"/>
      <c r="R1866" s="278"/>
      <c r="S1866" s="278"/>
      <c r="T1866" s="278"/>
      <c r="U1866" s="27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 thickBot="1" x14ac:dyDescent="0.35">
      <c r="A1867" s="88"/>
      <c r="B1867" s="66" t="s">
        <v>294</v>
      </c>
      <c r="C1867" s="67"/>
      <c r="D1867" s="102"/>
      <c r="E1867" s="32"/>
      <c r="F1867" s="32"/>
      <c r="G1867" s="68" t="s">
        <v>285</v>
      </c>
      <c r="H1867" s="69">
        <f t="shared" si="774"/>
        <v>0</v>
      </c>
      <c r="I1867" s="70">
        <f t="shared" si="775"/>
        <v>0</v>
      </c>
      <c r="J1867" s="73" t="str">
        <f t="shared" si="776"/>
        <v>--</v>
      </c>
      <c r="K1867" s="32"/>
      <c r="L1867" s="233"/>
      <c r="M1867" s="278"/>
      <c r="N1867" s="278"/>
      <c r="O1867" s="278"/>
      <c r="P1867" s="278"/>
      <c r="Q1867" s="278"/>
      <c r="R1867" s="278"/>
      <c r="S1867" s="278"/>
      <c r="T1867" s="278"/>
      <c r="U1867" s="27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 thickBot="1" x14ac:dyDescent="0.35">
      <c r="A1868" s="88"/>
      <c r="B1868" s="66" t="s">
        <v>295</v>
      </c>
      <c r="C1868" s="67"/>
      <c r="D1868" s="102"/>
      <c r="E1868" s="32"/>
      <c r="F1868" s="32"/>
      <c r="G1868" s="68" t="s">
        <v>285</v>
      </c>
      <c r="H1868" s="69">
        <f t="shared" si="774"/>
        <v>0</v>
      </c>
      <c r="I1868" s="70">
        <f t="shared" si="775"/>
        <v>0</v>
      </c>
      <c r="J1868" s="73" t="str">
        <f t="shared" si="776"/>
        <v>--</v>
      </c>
      <c r="K1868" s="32"/>
      <c r="L1868" s="233"/>
      <c r="M1868" s="278"/>
      <c r="N1868" s="278"/>
      <c r="O1868" s="278"/>
      <c r="P1868" s="278"/>
      <c r="Q1868" s="278"/>
      <c r="R1868" s="278"/>
      <c r="S1868" s="278"/>
      <c r="T1868" s="278"/>
      <c r="U1868" s="27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 thickBot="1" x14ac:dyDescent="0.35">
      <c r="A1869" s="88"/>
      <c r="B1869" s="66" t="s">
        <v>296</v>
      </c>
      <c r="C1869" s="67"/>
      <c r="D1869" s="102"/>
      <c r="E1869" s="32"/>
      <c r="F1869" s="32"/>
      <c r="G1869" s="68" t="s">
        <v>285</v>
      </c>
      <c r="H1869" s="69">
        <f t="shared" si="774"/>
        <v>0</v>
      </c>
      <c r="I1869" s="70">
        <f t="shared" si="775"/>
        <v>0</v>
      </c>
      <c r="J1869" s="73" t="str">
        <f t="shared" si="776"/>
        <v>--</v>
      </c>
      <c r="K1869" s="32"/>
      <c r="L1869" s="233"/>
      <c r="M1869" s="278"/>
      <c r="N1869" s="278"/>
      <c r="O1869" s="278"/>
      <c r="P1869" s="278"/>
      <c r="Q1869" s="278"/>
      <c r="R1869" s="278"/>
      <c r="S1869" s="278"/>
      <c r="T1869" s="278"/>
      <c r="U1869" s="27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 thickBot="1" x14ac:dyDescent="0.35">
      <c r="A1870" s="88"/>
      <c r="B1870" s="66" t="s">
        <v>297</v>
      </c>
      <c r="C1870" s="67"/>
      <c r="D1870" s="102"/>
      <c r="E1870" s="32"/>
      <c r="F1870" s="32"/>
      <c r="G1870" s="68" t="s">
        <v>285</v>
      </c>
      <c r="H1870" s="69">
        <f t="shared" si="774"/>
        <v>0</v>
      </c>
      <c r="I1870" s="70">
        <f t="shared" si="775"/>
        <v>0</v>
      </c>
      <c r="J1870" s="73" t="str">
        <f t="shared" si="776"/>
        <v>--</v>
      </c>
      <c r="K1870" s="32"/>
      <c r="L1870" s="233"/>
      <c r="M1870" s="278"/>
      <c r="N1870" s="278"/>
      <c r="O1870" s="278"/>
      <c r="P1870" s="278"/>
      <c r="Q1870" s="278"/>
      <c r="R1870" s="278"/>
      <c r="S1870" s="278"/>
      <c r="T1870" s="278"/>
      <c r="U1870" s="27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 thickBot="1" x14ac:dyDescent="0.35">
      <c r="A1871" s="88"/>
      <c r="B1871" s="66" t="s">
        <v>298</v>
      </c>
      <c r="C1871" s="67"/>
      <c r="D1871" s="102"/>
      <c r="E1871" s="32"/>
      <c r="F1871" s="32"/>
      <c r="G1871" s="68" t="s">
        <v>285</v>
      </c>
      <c r="H1871" s="69">
        <f t="shared" si="774"/>
        <v>0</v>
      </c>
      <c r="I1871" s="70">
        <f t="shared" si="775"/>
        <v>0</v>
      </c>
      <c r="J1871" s="73" t="str">
        <f t="shared" si="776"/>
        <v>--</v>
      </c>
      <c r="K1871" s="32"/>
      <c r="L1871" s="233"/>
      <c r="M1871" s="278"/>
      <c r="N1871" s="278"/>
      <c r="O1871" s="278"/>
      <c r="P1871" s="278"/>
      <c r="Q1871" s="278"/>
      <c r="R1871" s="278"/>
      <c r="S1871" s="278"/>
      <c r="T1871" s="278"/>
      <c r="U1871" s="27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 thickBot="1" x14ac:dyDescent="0.35">
      <c r="A1872" s="88"/>
      <c r="B1872" s="66" t="s">
        <v>299</v>
      </c>
      <c r="C1872" s="67"/>
      <c r="D1872" s="102"/>
      <c r="E1872" s="32"/>
      <c r="F1872" s="32"/>
      <c r="G1872" s="68" t="s">
        <v>285</v>
      </c>
      <c r="H1872" s="69">
        <f t="shared" si="774"/>
        <v>0</v>
      </c>
      <c r="I1872" s="70">
        <f t="shared" si="775"/>
        <v>0</v>
      </c>
      <c r="J1872" s="73" t="str">
        <f t="shared" si="776"/>
        <v>--</v>
      </c>
      <c r="K1872" s="32"/>
      <c r="L1872" s="233"/>
      <c r="M1872" s="278"/>
      <c r="N1872" s="278"/>
      <c r="O1872" s="278"/>
      <c r="P1872" s="278"/>
      <c r="Q1872" s="278"/>
      <c r="R1872" s="278"/>
      <c r="S1872" s="278"/>
      <c r="T1872" s="278"/>
      <c r="U1872" s="27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 thickBot="1" x14ac:dyDescent="0.35">
      <c r="A1873" s="88"/>
      <c r="B1873" s="66" t="s">
        <v>300</v>
      </c>
      <c r="C1873" s="67"/>
      <c r="D1873" s="102"/>
      <c r="E1873" s="32"/>
      <c r="F1873" s="32"/>
      <c r="G1873" s="68" t="s">
        <v>285</v>
      </c>
      <c r="H1873" s="69">
        <f t="shared" si="774"/>
        <v>0</v>
      </c>
      <c r="I1873" s="70">
        <f t="shared" si="775"/>
        <v>0</v>
      </c>
      <c r="J1873" s="73" t="str">
        <f t="shared" si="776"/>
        <v>--</v>
      </c>
      <c r="K1873" s="32"/>
      <c r="L1873" s="233"/>
      <c r="M1873" s="278"/>
      <c r="N1873" s="278"/>
      <c r="O1873" s="278"/>
      <c r="P1873" s="278"/>
      <c r="Q1873" s="278"/>
      <c r="R1873" s="278"/>
      <c r="S1873" s="278"/>
      <c r="T1873" s="278"/>
      <c r="U1873" s="27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 thickBot="1" x14ac:dyDescent="0.35">
      <c r="A1874" s="88"/>
      <c r="B1874" s="66" t="s">
        <v>301</v>
      </c>
      <c r="C1874" s="67"/>
      <c r="D1874" s="102"/>
      <c r="E1874" s="32"/>
      <c r="F1874" s="32"/>
      <c r="G1874" s="68" t="s">
        <v>285</v>
      </c>
      <c r="H1874" s="69">
        <f t="shared" si="774"/>
        <v>0</v>
      </c>
      <c r="I1874" s="70">
        <f t="shared" si="775"/>
        <v>0</v>
      </c>
      <c r="J1874" s="73" t="str">
        <f t="shared" si="776"/>
        <v>--</v>
      </c>
      <c r="K1874" s="32"/>
      <c r="L1874" s="233"/>
      <c r="M1874" s="278"/>
      <c r="N1874" s="278"/>
      <c r="O1874" s="278"/>
      <c r="P1874" s="278"/>
      <c r="Q1874" s="278"/>
      <c r="R1874" s="278"/>
      <c r="S1874" s="278"/>
      <c r="T1874" s="278"/>
      <c r="U1874" s="27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 thickBot="1" x14ac:dyDescent="0.35">
      <c r="A1875" s="88"/>
      <c r="B1875" s="66" t="s">
        <v>302</v>
      </c>
      <c r="C1875" s="67"/>
      <c r="D1875" s="102"/>
      <c r="E1875" s="32"/>
      <c r="F1875" s="32"/>
      <c r="G1875" s="68" t="s">
        <v>285</v>
      </c>
      <c r="H1875" s="69">
        <f t="shared" si="774"/>
        <v>0</v>
      </c>
      <c r="I1875" s="70">
        <f t="shared" si="775"/>
        <v>0</v>
      </c>
      <c r="J1875" s="73" t="str">
        <f t="shared" si="776"/>
        <v>--</v>
      </c>
      <c r="K1875" s="32"/>
      <c r="L1875" s="233"/>
      <c r="M1875" s="278"/>
      <c r="N1875" s="278"/>
      <c r="O1875" s="278"/>
      <c r="P1875" s="278"/>
      <c r="Q1875" s="278"/>
      <c r="R1875" s="278"/>
      <c r="S1875" s="278"/>
      <c r="T1875" s="278"/>
      <c r="U1875" s="27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 thickBot="1" x14ac:dyDescent="0.35">
      <c r="A1876" s="88"/>
      <c r="B1876" s="66" t="s">
        <v>303</v>
      </c>
      <c r="C1876" s="67"/>
      <c r="D1876" s="102"/>
      <c r="E1876" s="32"/>
      <c r="F1876" s="32"/>
      <c r="G1876" s="68" t="s">
        <v>285</v>
      </c>
      <c r="H1876" s="69">
        <f t="shared" si="774"/>
        <v>0</v>
      </c>
      <c r="I1876" s="70">
        <f t="shared" si="775"/>
        <v>0</v>
      </c>
      <c r="J1876" s="73" t="str">
        <f t="shared" si="776"/>
        <v>--</v>
      </c>
      <c r="K1876" s="32"/>
      <c r="L1876" s="233"/>
      <c r="M1876" s="278"/>
      <c r="N1876" s="278"/>
      <c r="O1876" s="278"/>
      <c r="P1876" s="278"/>
      <c r="Q1876" s="278"/>
      <c r="R1876" s="278"/>
      <c r="S1876" s="278"/>
      <c r="T1876" s="278"/>
      <c r="U1876" s="27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 thickBot="1" x14ac:dyDescent="0.35">
      <c r="A1877" s="88"/>
      <c r="B1877" s="66" t="s">
        <v>304</v>
      </c>
      <c r="C1877" s="67"/>
      <c r="D1877" s="102"/>
      <c r="E1877" s="32"/>
      <c r="F1877" s="32"/>
      <c r="G1877" s="68" t="s">
        <v>285</v>
      </c>
      <c r="H1877" s="69">
        <f t="shared" si="774"/>
        <v>0</v>
      </c>
      <c r="I1877" s="70">
        <f t="shared" si="775"/>
        <v>0</v>
      </c>
      <c r="J1877" s="73" t="str">
        <f t="shared" si="776"/>
        <v>--</v>
      </c>
      <c r="K1877" s="32"/>
      <c r="L1877" s="233"/>
      <c r="M1877" s="278"/>
      <c r="N1877" s="278"/>
      <c r="O1877" s="278"/>
      <c r="P1877" s="278"/>
      <c r="Q1877" s="278"/>
      <c r="R1877" s="278"/>
      <c r="S1877" s="278"/>
      <c r="T1877" s="278"/>
      <c r="U1877" s="27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 thickBot="1" x14ac:dyDescent="0.35">
      <c r="A1878" s="88"/>
      <c r="B1878" s="66" t="s">
        <v>305</v>
      </c>
      <c r="C1878" s="67"/>
      <c r="D1878" s="102"/>
      <c r="E1878" s="32"/>
      <c r="F1878" s="32"/>
      <c r="G1878" s="68" t="s">
        <v>285</v>
      </c>
      <c r="H1878" s="69">
        <f t="shared" si="774"/>
        <v>0</v>
      </c>
      <c r="I1878" s="70">
        <f t="shared" si="775"/>
        <v>0</v>
      </c>
      <c r="J1878" s="73" t="str">
        <f t="shared" si="776"/>
        <v>--</v>
      </c>
      <c r="K1878" s="32"/>
      <c r="L1878" s="233"/>
      <c r="M1878" s="278"/>
      <c r="N1878" s="278"/>
      <c r="O1878" s="278"/>
      <c r="P1878" s="278"/>
      <c r="Q1878" s="278"/>
      <c r="R1878" s="278"/>
      <c r="S1878" s="278"/>
      <c r="T1878" s="278"/>
      <c r="U1878" s="27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 thickBot="1" x14ac:dyDescent="0.35">
      <c r="A1879" s="88"/>
      <c r="B1879" s="66" t="s">
        <v>306</v>
      </c>
      <c r="C1879" s="67"/>
      <c r="D1879" s="102"/>
      <c r="E1879" s="32"/>
      <c r="F1879" s="32"/>
      <c r="G1879" s="68" t="s">
        <v>285</v>
      </c>
      <c r="H1879" s="69">
        <f t="shared" si="774"/>
        <v>0</v>
      </c>
      <c r="I1879" s="70">
        <f t="shared" si="775"/>
        <v>0</v>
      </c>
      <c r="J1879" s="73" t="str">
        <f t="shared" si="776"/>
        <v>--</v>
      </c>
      <c r="K1879" s="32"/>
      <c r="L1879" s="233"/>
      <c r="M1879" s="278"/>
      <c r="N1879" s="278"/>
      <c r="O1879" s="278"/>
      <c r="P1879" s="278"/>
      <c r="Q1879" s="278"/>
      <c r="R1879" s="278"/>
      <c r="S1879" s="278"/>
      <c r="T1879" s="278"/>
      <c r="U1879" s="27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 thickBot="1" x14ac:dyDescent="0.35">
      <c r="A1880" s="88"/>
      <c r="B1880" s="66" t="s">
        <v>307</v>
      </c>
      <c r="C1880" s="67"/>
      <c r="D1880" s="102"/>
      <c r="E1880" s="32"/>
      <c r="F1880" s="32"/>
      <c r="G1880" s="68" t="s">
        <v>285</v>
      </c>
      <c r="H1880" s="69">
        <f t="shared" si="774"/>
        <v>0</v>
      </c>
      <c r="I1880" s="70">
        <f t="shared" si="775"/>
        <v>0</v>
      </c>
      <c r="J1880" s="73" t="str">
        <f t="shared" si="776"/>
        <v>--</v>
      </c>
      <c r="K1880" s="32"/>
      <c r="L1880" s="233"/>
      <c r="M1880" s="278"/>
      <c r="N1880" s="278"/>
      <c r="O1880" s="278"/>
      <c r="P1880" s="278"/>
      <c r="Q1880" s="278"/>
      <c r="R1880" s="278"/>
      <c r="S1880" s="278"/>
      <c r="T1880" s="278"/>
      <c r="U1880" s="27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 thickBot="1" x14ac:dyDescent="0.35">
      <c r="A1881" s="88"/>
      <c r="B1881" s="66" t="s">
        <v>308</v>
      </c>
      <c r="C1881" s="67"/>
      <c r="D1881" s="102"/>
      <c r="E1881" s="32"/>
      <c r="F1881" s="32"/>
      <c r="G1881" s="68" t="s">
        <v>285</v>
      </c>
      <c r="H1881" s="69">
        <f t="shared" si="774"/>
        <v>0</v>
      </c>
      <c r="I1881" s="70">
        <f t="shared" si="775"/>
        <v>0</v>
      </c>
      <c r="J1881" s="73" t="str">
        <f t="shared" si="776"/>
        <v>--</v>
      </c>
      <c r="K1881" s="32"/>
      <c r="L1881" s="233"/>
      <c r="M1881" s="278"/>
      <c r="N1881" s="278"/>
      <c r="O1881" s="278"/>
      <c r="P1881" s="278"/>
      <c r="Q1881" s="278"/>
      <c r="R1881" s="278"/>
      <c r="S1881" s="278"/>
      <c r="T1881" s="278"/>
      <c r="U1881" s="27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 thickBot="1" x14ac:dyDescent="0.35">
      <c r="A1882" s="88"/>
      <c r="B1882" s="66" t="s">
        <v>309</v>
      </c>
      <c r="C1882" s="67"/>
      <c r="D1882" s="102"/>
      <c r="E1882" s="32"/>
      <c r="F1882" s="32"/>
      <c r="G1882" s="68" t="s">
        <v>285</v>
      </c>
      <c r="H1882" s="69">
        <f t="shared" si="774"/>
        <v>0</v>
      </c>
      <c r="I1882" s="70">
        <f t="shared" si="775"/>
        <v>0</v>
      </c>
      <c r="J1882" s="73" t="str">
        <f t="shared" si="776"/>
        <v>--</v>
      </c>
      <c r="K1882" s="32"/>
      <c r="L1882" s="233"/>
      <c r="M1882" s="278"/>
      <c r="N1882" s="278"/>
      <c r="O1882" s="278"/>
      <c r="P1882" s="278"/>
      <c r="Q1882" s="278"/>
      <c r="R1882" s="278"/>
      <c r="S1882" s="278"/>
      <c r="T1882" s="278"/>
      <c r="U1882" s="27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 thickBot="1" x14ac:dyDescent="0.35">
      <c r="A1883" s="88"/>
      <c r="B1883" s="66" t="s">
        <v>310</v>
      </c>
      <c r="C1883" s="67"/>
      <c r="D1883" s="102"/>
      <c r="E1883" s="32"/>
      <c r="F1883" s="32"/>
      <c r="G1883" s="68" t="s">
        <v>285</v>
      </c>
      <c r="H1883" s="69">
        <f t="shared" si="774"/>
        <v>0</v>
      </c>
      <c r="I1883" s="70">
        <f t="shared" si="775"/>
        <v>0</v>
      </c>
      <c r="J1883" s="73" t="str">
        <f t="shared" si="776"/>
        <v>--</v>
      </c>
      <c r="K1883" s="32"/>
      <c r="L1883" s="233"/>
      <c r="M1883" s="278"/>
      <c r="N1883" s="278"/>
      <c r="O1883" s="278"/>
      <c r="P1883" s="278"/>
      <c r="Q1883" s="278"/>
      <c r="R1883" s="278"/>
      <c r="S1883" s="278"/>
      <c r="T1883" s="278"/>
      <c r="U1883" s="27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 thickBot="1" x14ac:dyDescent="0.35">
      <c r="A1884" s="88"/>
      <c r="B1884" s="66" t="s">
        <v>311</v>
      </c>
      <c r="C1884" s="67"/>
      <c r="D1884" s="102"/>
      <c r="E1884" s="32"/>
      <c r="F1884" s="32"/>
      <c r="G1884" s="68" t="s">
        <v>285</v>
      </c>
      <c r="H1884" s="69">
        <f t="shared" si="774"/>
        <v>0</v>
      </c>
      <c r="I1884" s="70">
        <f t="shared" si="775"/>
        <v>0</v>
      </c>
      <c r="J1884" s="73" t="str">
        <f t="shared" si="776"/>
        <v>--</v>
      </c>
      <c r="K1884" s="32"/>
      <c r="L1884" s="233"/>
      <c r="M1884" s="278"/>
      <c r="N1884" s="278"/>
      <c r="O1884" s="278"/>
      <c r="P1884" s="278"/>
      <c r="Q1884" s="278"/>
      <c r="R1884" s="278"/>
      <c r="S1884" s="278"/>
      <c r="T1884" s="278"/>
      <c r="U1884" s="27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 thickBot="1" x14ac:dyDescent="0.35">
      <c r="A1885" s="88"/>
      <c r="B1885" s="66" t="s">
        <v>312</v>
      </c>
      <c r="C1885" s="67"/>
      <c r="D1885" s="102"/>
      <c r="E1885" s="32"/>
      <c r="F1885" s="32"/>
      <c r="G1885" s="68" t="s">
        <v>285</v>
      </c>
      <c r="H1885" s="69">
        <f t="shared" si="774"/>
        <v>0</v>
      </c>
      <c r="I1885" s="70">
        <f t="shared" si="775"/>
        <v>0</v>
      </c>
      <c r="J1885" s="73" t="str">
        <f t="shared" si="776"/>
        <v>--</v>
      </c>
      <c r="K1885" s="32"/>
      <c r="L1885" s="233"/>
      <c r="M1885" s="278"/>
      <c r="N1885" s="278"/>
      <c r="O1885" s="278"/>
      <c r="P1885" s="278"/>
      <c r="Q1885" s="278"/>
      <c r="R1885" s="278"/>
      <c r="S1885" s="278"/>
      <c r="T1885" s="278"/>
      <c r="U1885" s="27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 thickBot="1" x14ac:dyDescent="0.35">
      <c r="A1886" s="88"/>
      <c r="B1886" s="66" t="s">
        <v>313</v>
      </c>
      <c r="C1886" s="67"/>
      <c r="D1886" s="102"/>
      <c r="E1886" s="32"/>
      <c r="F1886" s="32"/>
      <c r="G1886" s="68" t="s">
        <v>285</v>
      </c>
      <c r="H1886" s="69">
        <f t="shared" si="774"/>
        <v>0</v>
      </c>
      <c r="I1886" s="70">
        <f t="shared" si="775"/>
        <v>0</v>
      </c>
      <c r="J1886" s="73" t="str">
        <f t="shared" si="776"/>
        <v>--</v>
      </c>
      <c r="K1886" s="32"/>
      <c r="L1886" s="234"/>
      <c r="M1886" s="278"/>
      <c r="N1886" s="278"/>
      <c r="O1886" s="278"/>
      <c r="P1886" s="278"/>
      <c r="Q1886" s="278"/>
      <c r="R1886" s="278"/>
      <c r="S1886" s="278"/>
      <c r="T1886" s="278"/>
      <c r="U1886" s="27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2" thickBot="1" x14ac:dyDescent="0.35">
      <c r="A1887" s="88"/>
      <c r="B1887" s="319" t="s">
        <v>466</v>
      </c>
      <c r="C1887" s="320"/>
      <c r="D1887" s="79"/>
      <c r="E1887" s="80"/>
      <c r="F1887" s="80"/>
      <c r="G1887" s="81"/>
      <c r="H1887" s="192"/>
      <c r="I1887" s="192"/>
      <c r="J1887" s="192"/>
      <c r="K1887" s="82"/>
      <c r="L1887" s="319" t="s">
        <v>319</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2" thickBot="1" x14ac:dyDescent="0.35">
      <c r="A1888" s="88"/>
      <c r="B1888" s="319" t="s">
        <v>320</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3">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 thickBot="1" x14ac:dyDescent="0.35">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5">
      <c r="A1891" s="88"/>
      <c r="B1891" s="85" t="s">
        <v>467</v>
      </c>
      <c r="C1891" s="25"/>
      <c r="D1891" s="25"/>
      <c r="E1891" s="25"/>
      <c r="F1891" s="88"/>
      <c r="G1891" s="25"/>
      <c r="H1891" s="25"/>
      <c r="I1891" s="87"/>
      <c r="J1891" s="26"/>
      <c r="K1891" s="25"/>
      <c r="L1891" s="25"/>
      <c r="M1891" s="196" t="s">
        <v>217</v>
      </c>
      <c r="N1891" s="196" t="s">
        <v>218</v>
      </c>
      <c r="O1891" s="196" t="s">
        <v>219</v>
      </c>
      <c r="P1891" s="196" t="s">
        <v>220</v>
      </c>
      <c r="Q1891" s="196" t="s">
        <v>221</v>
      </c>
      <c r="R1891" s="196" t="s">
        <v>222</v>
      </c>
      <c r="S1891" s="196" t="s">
        <v>223</v>
      </c>
      <c r="T1891" s="196" t="s">
        <v>224</v>
      </c>
      <c r="U1891" s="196" t="s">
        <v>225</v>
      </c>
      <c r="V1891" s="196" t="s">
        <v>226</v>
      </c>
      <c r="W1891" s="113" t="s">
        <v>227</v>
      </c>
      <c r="X1891" s="196" t="s">
        <v>228</v>
      </c>
      <c r="Y1891" s="25"/>
      <c r="Z1891" s="25"/>
      <c r="AA1891" s="25"/>
      <c r="AB1891" s="25"/>
      <c r="AC1891" s="25"/>
      <c r="AD1891" s="25"/>
      <c r="BA1891" s="226"/>
    </row>
    <row r="1892" spans="1:53" ht="15.6" thickTop="1" thickBot="1" x14ac:dyDescent="0.35">
      <c r="A1892" s="88"/>
      <c r="B1892" s="312" t="s">
        <v>229</v>
      </c>
      <c r="C1892" s="313"/>
      <c r="D1892" s="314" t="s">
        <v>230</v>
      </c>
      <c r="E1892" s="305"/>
      <c r="F1892" s="88"/>
      <c r="G1892" s="315" t="s">
        <v>231</v>
      </c>
      <c r="H1892" s="316"/>
      <c r="I1892" s="28">
        <f>SUM(E1903:E1927)</f>
        <v>0</v>
      </c>
      <c r="J1892" s="317" t="s">
        <v>232</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233</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234</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5">
      <c r="A1893" s="88"/>
      <c r="B1893" s="29" t="s">
        <v>235</v>
      </c>
      <c r="C1893" s="30">
        <v>0</v>
      </c>
      <c r="D1893" s="31" t="s">
        <v>236</v>
      </c>
      <c r="E1893" s="66" t="str">
        <f>TEXT(IF('Cable Calculator'!HZ7="","",'Cable Calculator'!HZ7),)</f>
        <v/>
      </c>
      <c r="F1893" s="88"/>
      <c r="G1893" s="304" t="s">
        <v>237</v>
      </c>
      <c r="H1893" s="305"/>
      <c r="I1893" s="33">
        <f>E1894-I1892</f>
        <v>0</v>
      </c>
      <c r="J1893" s="289" t="s">
        <v>238</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239</v>
      </c>
      <c r="AA1893" s="300" t="s">
        <v>240</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241</v>
      </c>
      <c r="AU1893" s="109">
        <f>COUNTIFS($E1893,"SS",$AS1893,"Y")</f>
        <v>0</v>
      </c>
      <c r="AV1893" s="111">
        <f>COUNTIFS($E1893,"RPX",$AS1893,"Y")</f>
        <v>0</v>
      </c>
      <c r="AW1893" s="111">
        <f>COUNTIFS($E1893,"EUC",$AS1893,"Y")</f>
        <v>0</v>
      </c>
      <c r="AX1893" s="109">
        <f>COUNTIFS($E1893,"RPX-T",$AS1893,"Y")</f>
        <v>0</v>
      </c>
      <c r="BA1893" s="227"/>
    </row>
    <row r="1894" spans="1:53" ht="15.6" thickTop="1" thickBot="1" x14ac:dyDescent="0.35">
      <c r="A1894" s="88"/>
      <c r="B1894" s="36" t="s">
        <v>242</v>
      </c>
      <c r="C1894" s="37">
        <v>0</v>
      </c>
      <c r="D1894" s="38" t="s">
        <v>243</v>
      </c>
      <c r="E1894" s="32"/>
      <c r="F1894" s="88"/>
      <c r="G1894" s="291" t="s">
        <v>244</v>
      </c>
      <c r="H1894" s="292"/>
      <c r="I1894" s="35">
        <f>IF(E1894=0,0,12-(MOD(I1892,12)))</f>
        <v>0</v>
      </c>
      <c r="J1894" s="289" t="s">
        <v>245</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246</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5">
      <c r="A1895" s="88"/>
      <c r="B1895" s="40" t="s">
        <v>247</v>
      </c>
      <c r="C1895" s="30">
        <v>0</v>
      </c>
      <c r="D1895" s="41" t="s">
        <v>248</v>
      </c>
      <c r="E1895" s="42"/>
      <c r="F1895" s="88"/>
      <c r="G1895" s="321" t="s">
        <v>249</v>
      </c>
      <c r="H1895" s="43" t="s">
        <v>250</v>
      </c>
      <c r="I1895" s="35">
        <f>IF(E1895&lt;&gt;0,1,0)</f>
        <v>0</v>
      </c>
      <c r="J1895" s="291" t="s">
        <v>251</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252</v>
      </c>
      <c r="AU1895" s="109">
        <f>COUNTIFS($E1893,"SS",$AS1895,"Y")</f>
        <v>0</v>
      </c>
      <c r="AV1895" s="108">
        <f>COUNTIFS($E1893,"RPX",$AS1895,"Y")</f>
        <v>0</v>
      </c>
      <c r="AW1895" s="108">
        <f>COUNTIFS($E1893,"EUC",$AS1895,"Y")</f>
        <v>0</v>
      </c>
      <c r="AX1895" s="109">
        <f>COUNTIFS($E1893,"RPX-T",$AS1895,"Y")</f>
        <v>0</v>
      </c>
      <c r="BA1895" s="227"/>
    </row>
    <row r="1896" spans="1:53" ht="15.6" thickTop="1" thickBot="1" x14ac:dyDescent="0.35">
      <c r="A1896" s="88"/>
      <c r="B1896" s="29" t="s">
        <v>253</v>
      </c>
      <c r="C1896" s="37">
        <v>0</v>
      </c>
      <c r="D1896" s="41" t="s">
        <v>254</v>
      </c>
      <c r="E1896" s="42"/>
      <c r="F1896" s="88"/>
      <c r="G1896" s="322"/>
      <c r="H1896" s="47" t="s">
        <v>255</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5">
      <c r="A1897" s="88"/>
      <c r="B1897" s="36" t="s">
        <v>256</v>
      </c>
      <c r="C1897" s="30">
        <v>0</v>
      </c>
      <c r="D1897" s="49" t="s">
        <v>257</v>
      </c>
      <c r="E1897" s="50">
        <f>E1894/12</f>
        <v>0</v>
      </c>
      <c r="F1897" s="88"/>
      <c r="G1897" s="321" t="s">
        <v>258</v>
      </c>
      <c r="H1897" s="51" t="s">
        <v>259</v>
      </c>
      <c r="I1897" s="112">
        <f>E1896</f>
        <v>0</v>
      </c>
      <c r="J1897" s="323" t="s">
        <v>260</v>
      </c>
      <c r="K1897" s="324"/>
      <c r="L1897" s="325"/>
      <c r="M1897" s="52" t="s">
        <v>261</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5.6" thickTop="1" thickBot="1" x14ac:dyDescent="0.35">
      <c r="A1898" s="88"/>
      <c r="B1898" s="36" t="s">
        <v>262</v>
      </c>
      <c r="C1898" s="30">
        <v>0</v>
      </c>
      <c r="D1898" s="31" t="s">
        <v>263</v>
      </c>
      <c r="E1898" s="101" t="str">
        <f>IF('Cable Calculator'!HZ5="","",'Cable Calculator'!HZ5)</f>
        <v/>
      </c>
      <c r="F1898" s="88"/>
      <c r="G1898" s="322"/>
      <c r="H1898" s="47" t="s">
        <v>264</v>
      </c>
      <c r="I1898" s="35" t="str">
        <f>IF(E1896="","0",IF(AND(E1893="EUC",E1894=432), I1897+(203-E1895),IF(E1896=0,0,(E1896+(E1894-E1895)-1))))</f>
        <v>0</v>
      </c>
      <c r="J1898" s="286" t="str">
        <f>IFERROR(IF(OR(E1893="EUC",E1893="SS"),"---",IF(OR(P1892,S1892),"NO 2F Tethers for RPX!",IF(OR(P1894,S1894),"NO 6F Tethers for RPX!","---"))),"---")</f>
        <v>---</v>
      </c>
      <c r="K1898" s="287"/>
      <c r="L1898" s="288"/>
      <c r="M1898" s="286" t="str">
        <f>IF(E1895&gt;60,"Dead Count &gt;60: Consider Downsize","---")</f>
        <v>---</v>
      </c>
      <c r="N1898" s="287"/>
      <c r="O1898" s="287"/>
      <c r="P1898" s="287"/>
      <c r="Q1898" s="287"/>
      <c r="R1898" s="287"/>
      <c r="S1898" s="287"/>
      <c r="T1898" s="287"/>
      <c r="U1898" s="288"/>
      <c r="V1898" s="100"/>
      <c r="W1898" s="54">
        <f>SUM(P1898:U1898)</f>
        <v>0</v>
      </c>
      <c r="X1898" s="54"/>
      <c r="Y1898" s="25"/>
      <c r="Z1898" s="45">
        <v>4</v>
      </c>
      <c r="AA1898" s="46">
        <v>37</v>
      </c>
      <c r="AB1898" s="46">
        <v>48</v>
      </c>
      <c r="AC1898" s="25"/>
      <c r="AD1898" s="25"/>
      <c r="BA1898" s="227"/>
    </row>
    <row r="1899" spans="1:53" ht="15.6" thickTop="1" thickBot="1" x14ac:dyDescent="0.35">
      <c r="A1899" s="88"/>
      <c r="B1899" s="55" t="s">
        <v>265</v>
      </c>
      <c r="C1899" s="56">
        <f>SUM(C1893:C1898)+I1892</f>
        <v>0</v>
      </c>
      <c r="D1899" s="31" t="s">
        <v>266</v>
      </c>
      <c r="E1899" s="101" t="str">
        <f>IF(AS1893="Y","DBL",IF(AS1894="Y","TRPL",IF(AS1895="Y","QUAD","")))</f>
        <v/>
      </c>
      <c r="F1899" s="88"/>
      <c r="G1899" s="192"/>
      <c r="H1899" s="57"/>
      <c r="I1899" s="192"/>
      <c r="J1899" s="286"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7"/>
      <c r="L1899" s="288"/>
      <c r="M1899" s="286" t="str">
        <f>IF(AND(OR(E1893="SS",E1893="RPX",E1893="EUC",E1893="RPX-T"),(OR(C1903="",C1903="Field SPL"))),"Cannot have FlexNap cables without tethers","---")</f>
        <v>---</v>
      </c>
      <c r="N1899" s="287"/>
      <c r="O1899" s="287"/>
      <c r="P1899" s="287"/>
      <c r="Q1899" s="287"/>
      <c r="R1899" s="287"/>
      <c r="S1899" s="287"/>
      <c r="T1899" s="287"/>
      <c r="U1899" s="288"/>
      <c r="V1899" s="25"/>
      <c r="W1899" s="58"/>
      <c r="X1899" s="58"/>
      <c r="Y1899" s="25"/>
      <c r="Z1899" s="45">
        <v>5</v>
      </c>
      <c r="AA1899" s="46">
        <v>49</v>
      </c>
      <c r="AB1899" s="46">
        <v>60</v>
      </c>
      <c r="AC1899" s="25"/>
      <c r="AD1899" s="25"/>
      <c r="BA1899" s="227"/>
    </row>
    <row r="1900" spans="1:53" ht="15.6" thickTop="1" thickBot="1" x14ac:dyDescent="0.35">
      <c r="A1900" s="88"/>
      <c r="B1900" s="59"/>
      <c r="C1900" s="60"/>
      <c r="D1900" s="61"/>
      <c r="E1900" s="62"/>
      <c r="F1900" s="88"/>
      <c r="G1900" s="63"/>
      <c r="H1900" s="64"/>
      <c r="I1900" s="63"/>
      <c r="J1900" s="286" t="str">
        <f>IF(AND(OR(E1893="RPX", E1893="RPX-T", E1893="SS"),E1894=216),"NO 216 For RPX, RPX-T, OR SS CABLE","---")</f>
        <v>---</v>
      </c>
      <c r="K1900" s="287"/>
      <c r="L1900" s="288"/>
      <c r="M1900" s="286" t="str" cm="1">
        <f t="array" ref="M1900">IF(AND(E1893="",OR(C1903:C1927="FST",C1903:C1927="REV T",C1903:C1927="DBL REV",C1903:C1927="TPL REV", C1903:C1927="QD REV")),"Non-FlexNap cables cannot have tethers","---")</f>
        <v>---</v>
      </c>
      <c r="N1900" s="287"/>
      <c r="O1900" s="287"/>
      <c r="P1900" s="287"/>
      <c r="Q1900" s="287"/>
      <c r="R1900" s="287"/>
      <c r="S1900" s="287"/>
      <c r="T1900" s="287"/>
      <c r="U1900" s="288"/>
      <c r="V1900" s="25"/>
      <c r="W1900" s="58"/>
      <c r="X1900" s="58"/>
      <c r="Y1900" s="25"/>
      <c r="Z1900" s="45">
        <v>6</v>
      </c>
      <c r="AA1900" s="65">
        <v>61</v>
      </c>
      <c r="AB1900" s="65">
        <v>72</v>
      </c>
      <c r="AC1900" s="25"/>
      <c r="AD1900" s="25"/>
      <c r="BA1900" s="226"/>
    </row>
    <row r="1901" spans="1:53" ht="15.75" customHeight="1" thickBot="1" x14ac:dyDescent="0.35">
      <c r="A1901" s="88"/>
      <c r="B1901" s="321" t="s">
        <v>267</v>
      </c>
      <c r="C1901" s="293" t="s">
        <v>268</v>
      </c>
      <c r="D1901" s="293" t="s">
        <v>269</v>
      </c>
      <c r="E1901" s="306" t="s">
        <v>270</v>
      </c>
      <c r="F1901" s="293" t="s">
        <v>271</v>
      </c>
      <c r="G1901" s="308" t="s">
        <v>272</v>
      </c>
      <c r="H1901" s="308" t="s">
        <v>273</v>
      </c>
      <c r="I1901" s="308" t="s">
        <v>274</v>
      </c>
      <c r="J1901" s="310" t="s">
        <v>275</v>
      </c>
      <c r="K1901" s="293" t="s">
        <v>276</v>
      </c>
      <c r="L1901" s="280" t="s">
        <v>277</v>
      </c>
      <c r="M1901" s="282" t="s">
        <v>278</v>
      </c>
      <c r="N1901" s="282"/>
      <c r="O1901" s="282"/>
      <c r="P1901" s="282"/>
      <c r="Q1901" s="282"/>
      <c r="R1901" s="282"/>
      <c r="S1901" s="282"/>
      <c r="T1901" s="282"/>
      <c r="U1901" s="283"/>
      <c r="V1901" s="107"/>
      <c r="W1901" s="72"/>
      <c r="X1901" s="72"/>
      <c r="Y1901" s="72"/>
      <c r="Z1901" s="45">
        <v>7</v>
      </c>
      <c r="AA1901" s="65">
        <v>73</v>
      </c>
      <c r="AB1901" s="65">
        <v>84</v>
      </c>
      <c r="AC1901" s="25"/>
      <c r="AD1901" s="25"/>
      <c r="BA1901" s="228"/>
    </row>
    <row r="1902" spans="1:53" ht="15" thickBot="1" x14ac:dyDescent="0.35">
      <c r="A1902" s="88"/>
      <c r="B1902" s="322"/>
      <c r="C1902" s="294"/>
      <c r="D1902" s="294"/>
      <c r="E1902" s="307"/>
      <c r="F1902" s="294"/>
      <c r="G1902" s="309"/>
      <c r="H1902" s="309"/>
      <c r="I1902" s="309"/>
      <c r="J1902" s="311"/>
      <c r="K1902" s="294"/>
      <c r="L1902" s="281"/>
      <c r="M1902" s="284"/>
      <c r="N1902" s="284"/>
      <c r="O1902" s="284"/>
      <c r="P1902" s="284"/>
      <c r="Q1902" s="284"/>
      <c r="R1902" s="284"/>
      <c r="S1902" s="284"/>
      <c r="T1902" s="284"/>
      <c r="U1902" s="285"/>
      <c r="V1902" s="107"/>
      <c r="W1902" s="72"/>
      <c r="X1902" s="72"/>
      <c r="Y1902" s="72"/>
      <c r="Z1902" s="45">
        <v>8</v>
      </c>
      <c r="AA1902" s="46">
        <v>85</v>
      </c>
      <c r="AB1902" s="46">
        <v>96</v>
      </c>
      <c r="AC1902" s="25"/>
      <c r="AD1902" s="25"/>
      <c r="AI1902" s="109" t="s">
        <v>279</v>
      </c>
      <c r="AJ1902" s="109" t="s">
        <v>280</v>
      </c>
      <c r="AK1902" s="109" t="s">
        <v>281</v>
      </c>
      <c r="AL1902" s="109" t="s">
        <v>282</v>
      </c>
      <c r="BA1902" s="228"/>
    </row>
    <row r="1903" spans="1:53" ht="15" thickBot="1" x14ac:dyDescent="0.35">
      <c r="A1903" s="88"/>
      <c r="B1903" s="66" t="s">
        <v>283</v>
      </c>
      <c r="C1903" s="67"/>
      <c r="D1903" s="102"/>
      <c r="E1903" s="32"/>
      <c r="F1903" s="32"/>
      <c r="G1903" s="68" t="s">
        <v>285</v>
      </c>
      <c r="H1903" s="69">
        <f>IF(I1903=0,0,I1903-(E1903-1))</f>
        <v>0</v>
      </c>
      <c r="I1903" s="70">
        <f>IF(E1903=0,0,I1898)</f>
        <v>0</v>
      </c>
      <c r="J1903" s="71" t="s">
        <v>286</v>
      </c>
      <c r="K1903" s="32"/>
      <c r="L1903" s="233"/>
      <c r="M1903" s="278"/>
      <c r="N1903" s="278"/>
      <c r="O1903" s="278"/>
      <c r="P1903" s="278"/>
      <c r="Q1903" s="278"/>
      <c r="R1903" s="278"/>
      <c r="S1903" s="278"/>
      <c r="T1903" s="278"/>
      <c r="U1903" s="27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 thickBot="1" x14ac:dyDescent="0.35">
      <c r="A1904" s="88"/>
      <c r="B1904" s="66" t="s">
        <v>288</v>
      </c>
      <c r="C1904" s="67"/>
      <c r="D1904" s="102"/>
      <c r="E1904" s="32"/>
      <c r="F1904" s="32"/>
      <c r="G1904" s="68" t="s">
        <v>285</v>
      </c>
      <c r="H1904" s="69">
        <f t="shared" ref="H1904:H1927" si="791">IF(E1904=0,0,I1904-(E1904-1))</f>
        <v>0</v>
      </c>
      <c r="I1904" s="70">
        <f t="shared" ref="I1904:I1927" si="792">IF(E1904=0,0,H1903-1)</f>
        <v>0</v>
      </c>
      <c r="J1904" s="73" t="str">
        <f>IF(C1904="","--",IF(AND(C1904&lt;&gt;"FST",C1904&lt;&gt;"TCF",BA1903&lt;&gt;0),BA1903,"--"))</f>
        <v>--</v>
      </c>
      <c r="K1904" s="32"/>
      <c r="L1904" s="233"/>
      <c r="M1904" s="278"/>
      <c r="N1904" s="278"/>
      <c r="O1904" s="278"/>
      <c r="P1904" s="278"/>
      <c r="Q1904" s="278"/>
      <c r="R1904" s="278"/>
      <c r="S1904" s="278"/>
      <c r="T1904" s="278"/>
      <c r="U1904" s="27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 thickBot="1" x14ac:dyDescent="0.35">
      <c r="A1905" s="88"/>
      <c r="B1905" s="74" t="s">
        <v>290</v>
      </c>
      <c r="C1905" s="67"/>
      <c r="D1905" s="102"/>
      <c r="E1905" s="32"/>
      <c r="F1905" s="32"/>
      <c r="G1905" s="75" t="s">
        <v>285</v>
      </c>
      <c r="H1905" s="69">
        <f t="shared" si="791"/>
        <v>0</v>
      </c>
      <c r="I1905" s="70">
        <f t="shared" si="792"/>
        <v>0</v>
      </c>
      <c r="J1905" s="73" t="str">
        <f t="shared" ref="J1905:J1927" si="793">IF(C1905="","--",IF(AND(C1905&lt;&gt;"FST",C1905&lt;&gt;"TCF",BA1904&lt;&gt;0),BA1904,"--"))</f>
        <v>--</v>
      </c>
      <c r="K1905" s="32"/>
      <c r="L1905" s="233"/>
      <c r="M1905" s="278"/>
      <c r="N1905" s="278"/>
      <c r="O1905" s="278"/>
      <c r="P1905" s="278"/>
      <c r="Q1905" s="278"/>
      <c r="R1905" s="278"/>
      <c r="S1905" s="278"/>
      <c r="T1905" s="278"/>
      <c r="U1905" s="27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 thickBot="1" x14ac:dyDescent="0.35">
      <c r="A1906" s="88"/>
      <c r="B1906" s="66" t="s">
        <v>292</v>
      </c>
      <c r="C1906" s="67"/>
      <c r="D1906" s="102"/>
      <c r="E1906" s="32"/>
      <c r="F1906" s="32"/>
      <c r="G1906" s="68" t="s">
        <v>285</v>
      </c>
      <c r="H1906" s="69">
        <f t="shared" si="791"/>
        <v>0</v>
      </c>
      <c r="I1906" s="70">
        <f t="shared" si="792"/>
        <v>0</v>
      </c>
      <c r="J1906" s="73" t="str">
        <f t="shared" si="793"/>
        <v>--</v>
      </c>
      <c r="K1906" s="32"/>
      <c r="L1906" s="233"/>
      <c r="M1906" s="278"/>
      <c r="N1906" s="278"/>
      <c r="O1906" s="278"/>
      <c r="P1906" s="278"/>
      <c r="Q1906" s="278"/>
      <c r="R1906" s="278"/>
      <c r="S1906" s="278"/>
      <c r="T1906" s="278"/>
      <c r="U1906" s="27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 thickBot="1" x14ac:dyDescent="0.35">
      <c r="A1907" s="88"/>
      <c r="B1907" s="66" t="s">
        <v>293</v>
      </c>
      <c r="C1907" s="67"/>
      <c r="D1907" s="102"/>
      <c r="E1907" s="32"/>
      <c r="F1907" s="32"/>
      <c r="G1907" s="68" t="s">
        <v>285</v>
      </c>
      <c r="H1907" s="69">
        <f t="shared" si="791"/>
        <v>0</v>
      </c>
      <c r="I1907" s="70">
        <f t="shared" si="792"/>
        <v>0</v>
      </c>
      <c r="J1907" s="73" t="str">
        <f t="shared" si="793"/>
        <v>--</v>
      </c>
      <c r="K1907" s="32"/>
      <c r="L1907" s="233"/>
      <c r="M1907" s="278"/>
      <c r="N1907" s="278"/>
      <c r="O1907" s="278"/>
      <c r="P1907" s="278"/>
      <c r="Q1907" s="278"/>
      <c r="R1907" s="278"/>
      <c r="S1907" s="278"/>
      <c r="T1907" s="278"/>
      <c r="U1907" s="27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 thickBot="1" x14ac:dyDescent="0.35">
      <c r="A1908" s="88"/>
      <c r="B1908" s="66" t="s">
        <v>294</v>
      </c>
      <c r="C1908" s="67"/>
      <c r="D1908" s="102"/>
      <c r="E1908" s="32"/>
      <c r="F1908" s="32"/>
      <c r="G1908" s="68" t="s">
        <v>285</v>
      </c>
      <c r="H1908" s="69">
        <f t="shared" si="791"/>
        <v>0</v>
      </c>
      <c r="I1908" s="70">
        <f t="shared" si="792"/>
        <v>0</v>
      </c>
      <c r="J1908" s="73" t="str">
        <f t="shared" si="793"/>
        <v>--</v>
      </c>
      <c r="K1908" s="32"/>
      <c r="L1908" s="233"/>
      <c r="M1908" s="278"/>
      <c r="N1908" s="278"/>
      <c r="O1908" s="278"/>
      <c r="P1908" s="278"/>
      <c r="Q1908" s="278"/>
      <c r="R1908" s="278"/>
      <c r="S1908" s="278"/>
      <c r="T1908" s="278"/>
      <c r="U1908" s="27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 thickBot="1" x14ac:dyDescent="0.35">
      <c r="A1909" s="88"/>
      <c r="B1909" s="66" t="s">
        <v>295</v>
      </c>
      <c r="C1909" s="67"/>
      <c r="D1909" s="102"/>
      <c r="E1909" s="32"/>
      <c r="F1909" s="32"/>
      <c r="G1909" s="68" t="s">
        <v>285</v>
      </c>
      <c r="H1909" s="69">
        <f t="shared" si="791"/>
        <v>0</v>
      </c>
      <c r="I1909" s="70">
        <f t="shared" si="792"/>
        <v>0</v>
      </c>
      <c r="J1909" s="73" t="str">
        <f t="shared" si="793"/>
        <v>--</v>
      </c>
      <c r="K1909" s="32"/>
      <c r="L1909" s="233"/>
      <c r="M1909" s="278"/>
      <c r="N1909" s="278"/>
      <c r="O1909" s="278"/>
      <c r="P1909" s="278"/>
      <c r="Q1909" s="278"/>
      <c r="R1909" s="278"/>
      <c r="S1909" s="278"/>
      <c r="T1909" s="278"/>
      <c r="U1909" s="27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 thickBot="1" x14ac:dyDescent="0.35">
      <c r="A1910" s="88"/>
      <c r="B1910" s="66" t="s">
        <v>296</v>
      </c>
      <c r="C1910" s="67"/>
      <c r="D1910" s="102"/>
      <c r="E1910" s="32"/>
      <c r="F1910" s="32"/>
      <c r="G1910" s="68" t="s">
        <v>285</v>
      </c>
      <c r="H1910" s="69">
        <f t="shared" si="791"/>
        <v>0</v>
      </c>
      <c r="I1910" s="70">
        <f t="shared" si="792"/>
        <v>0</v>
      </c>
      <c r="J1910" s="73" t="str">
        <f t="shared" si="793"/>
        <v>--</v>
      </c>
      <c r="K1910" s="32"/>
      <c r="L1910" s="233"/>
      <c r="M1910" s="278"/>
      <c r="N1910" s="278"/>
      <c r="O1910" s="278"/>
      <c r="P1910" s="278"/>
      <c r="Q1910" s="278"/>
      <c r="R1910" s="278"/>
      <c r="S1910" s="278"/>
      <c r="T1910" s="278"/>
      <c r="U1910" s="27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 thickBot="1" x14ac:dyDescent="0.35">
      <c r="A1911" s="88"/>
      <c r="B1911" s="66" t="s">
        <v>297</v>
      </c>
      <c r="C1911" s="67"/>
      <c r="D1911" s="102"/>
      <c r="E1911" s="32"/>
      <c r="F1911" s="32"/>
      <c r="G1911" s="68" t="s">
        <v>285</v>
      </c>
      <c r="H1911" s="69">
        <f t="shared" si="791"/>
        <v>0</v>
      </c>
      <c r="I1911" s="70">
        <f t="shared" si="792"/>
        <v>0</v>
      </c>
      <c r="J1911" s="73" t="str">
        <f t="shared" si="793"/>
        <v>--</v>
      </c>
      <c r="K1911" s="32"/>
      <c r="L1911" s="233"/>
      <c r="M1911" s="278"/>
      <c r="N1911" s="278"/>
      <c r="O1911" s="278"/>
      <c r="P1911" s="278"/>
      <c r="Q1911" s="278"/>
      <c r="R1911" s="278"/>
      <c r="S1911" s="278"/>
      <c r="T1911" s="278"/>
      <c r="U1911" s="27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 thickBot="1" x14ac:dyDescent="0.35">
      <c r="A1912" s="88"/>
      <c r="B1912" s="66" t="s">
        <v>298</v>
      </c>
      <c r="C1912" s="67"/>
      <c r="D1912" s="102"/>
      <c r="E1912" s="32"/>
      <c r="F1912" s="32"/>
      <c r="G1912" s="68" t="s">
        <v>285</v>
      </c>
      <c r="H1912" s="69">
        <f t="shared" si="791"/>
        <v>0</v>
      </c>
      <c r="I1912" s="70">
        <f t="shared" si="792"/>
        <v>0</v>
      </c>
      <c r="J1912" s="73" t="str">
        <f t="shared" si="793"/>
        <v>--</v>
      </c>
      <c r="K1912" s="32"/>
      <c r="L1912" s="233"/>
      <c r="M1912" s="278"/>
      <c r="N1912" s="278"/>
      <c r="O1912" s="278"/>
      <c r="P1912" s="278"/>
      <c r="Q1912" s="278"/>
      <c r="R1912" s="278"/>
      <c r="S1912" s="278"/>
      <c r="T1912" s="278"/>
      <c r="U1912" s="27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 thickBot="1" x14ac:dyDescent="0.35">
      <c r="A1913" s="88"/>
      <c r="B1913" s="66" t="s">
        <v>299</v>
      </c>
      <c r="C1913" s="67"/>
      <c r="D1913" s="102"/>
      <c r="E1913" s="32"/>
      <c r="F1913" s="32"/>
      <c r="G1913" s="68" t="s">
        <v>285</v>
      </c>
      <c r="H1913" s="69">
        <f t="shared" si="791"/>
        <v>0</v>
      </c>
      <c r="I1913" s="70">
        <f t="shared" si="792"/>
        <v>0</v>
      </c>
      <c r="J1913" s="73" t="str">
        <f t="shared" si="793"/>
        <v>--</v>
      </c>
      <c r="K1913" s="32"/>
      <c r="L1913" s="233"/>
      <c r="M1913" s="278"/>
      <c r="N1913" s="278"/>
      <c r="O1913" s="278"/>
      <c r="P1913" s="278"/>
      <c r="Q1913" s="278"/>
      <c r="R1913" s="278"/>
      <c r="S1913" s="278"/>
      <c r="T1913" s="278"/>
      <c r="U1913" s="27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 thickBot="1" x14ac:dyDescent="0.35">
      <c r="A1914" s="88"/>
      <c r="B1914" s="66" t="s">
        <v>300</v>
      </c>
      <c r="C1914" s="67"/>
      <c r="D1914" s="102"/>
      <c r="E1914" s="32"/>
      <c r="F1914" s="32"/>
      <c r="G1914" s="68" t="s">
        <v>285</v>
      </c>
      <c r="H1914" s="69">
        <f t="shared" si="791"/>
        <v>0</v>
      </c>
      <c r="I1914" s="70">
        <f t="shared" si="792"/>
        <v>0</v>
      </c>
      <c r="J1914" s="73" t="str">
        <f t="shared" si="793"/>
        <v>--</v>
      </c>
      <c r="K1914" s="32"/>
      <c r="L1914" s="233"/>
      <c r="M1914" s="278"/>
      <c r="N1914" s="278"/>
      <c r="O1914" s="278"/>
      <c r="P1914" s="278"/>
      <c r="Q1914" s="278"/>
      <c r="R1914" s="278"/>
      <c r="S1914" s="278"/>
      <c r="T1914" s="278"/>
      <c r="U1914" s="27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 thickBot="1" x14ac:dyDescent="0.35">
      <c r="A1915" s="88"/>
      <c r="B1915" s="66" t="s">
        <v>301</v>
      </c>
      <c r="C1915" s="67"/>
      <c r="D1915" s="102"/>
      <c r="E1915" s="32"/>
      <c r="F1915" s="32"/>
      <c r="G1915" s="68" t="s">
        <v>285</v>
      </c>
      <c r="H1915" s="69">
        <f t="shared" si="791"/>
        <v>0</v>
      </c>
      <c r="I1915" s="70">
        <f t="shared" si="792"/>
        <v>0</v>
      </c>
      <c r="J1915" s="73" t="str">
        <f t="shared" si="793"/>
        <v>--</v>
      </c>
      <c r="K1915" s="32"/>
      <c r="L1915" s="233"/>
      <c r="M1915" s="278"/>
      <c r="N1915" s="278"/>
      <c r="O1915" s="278"/>
      <c r="P1915" s="278"/>
      <c r="Q1915" s="278"/>
      <c r="R1915" s="278"/>
      <c r="S1915" s="278"/>
      <c r="T1915" s="278"/>
      <c r="U1915" s="27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 thickBot="1" x14ac:dyDescent="0.35">
      <c r="A1916" s="88"/>
      <c r="B1916" s="66" t="s">
        <v>302</v>
      </c>
      <c r="C1916" s="67"/>
      <c r="D1916" s="102"/>
      <c r="E1916" s="32"/>
      <c r="F1916" s="32"/>
      <c r="G1916" s="68" t="s">
        <v>285</v>
      </c>
      <c r="H1916" s="69">
        <f t="shared" si="791"/>
        <v>0</v>
      </c>
      <c r="I1916" s="70">
        <f t="shared" si="792"/>
        <v>0</v>
      </c>
      <c r="J1916" s="73" t="str">
        <f t="shared" si="793"/>
        <v>--</v>
      </c>
      <c r="K1916" s="32"/>
      <c r="L1916" s="233"/>
      <c r="M1916" s="278"/>
      <c r="N1916" s="278"/>
      <c r="O1916" s="278"/>
      <c r="P1916" s="278"/>
      <c r="Q1916" s="278"/>
      <c r="R1916" s="278"/>
      <c r="S1916" s="278"/>
      <c r="T1916" s="278"/>
      <c r="U1916" s="27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 thickBot="1" x14ac:dyDescent="0.35">
      <c r="A1917" s="88"/>
      <c r="B1917" s="66" t="s">
        <v>303</v>
      </c>
      <c r="C1917" s="67"/>
      <c r="D1917" s="102"/>
      <c r="E1917" s="32"/>
      <c r="F1917" s="32"/>
      <c r="G1917" s="68" t="s">
        <v>285</v>
      </c>
      <c r="H1917" s="69">
        <f t="shared" si="791"/>
        <v>0</v>
      </c>
      <c r="I1917" s="70">
        <f t="shared" si="792"/>
        <v>0</v>
      </c>
      <c r="J1917" s="73" t="str">
        <f t="shared" si="793"/>
        <v>--</v>
      </c>
      <c r="K1917" s="32"/>
      <c r="L1917" s="233"/>
      <c r="M1917" s="278"/>
      <c r="N1917" s="278"/>
      <c r="O1917" s="278"/>
      <c r="P1917" s="278"/>
      <c r="Q1917" s="278"/>
      <c r="R1917" s="278"/>
      <c r="S1917" s="278"/>
      <c r="T1917" s="278"/>
      <c r="U1917" s="27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 thickBot="1" x14ac:dyDescent="0.35">
      <c r="A1918" s="88"/>
      <c r="B1918" s="66" t="s">
        <v>304</v>
      </c>
      <c r="C1918" s="67"/>
      <c r="D1918" s="102"/>
      <c r="E1918" s="32"/>
      <c r="F1918" s="32"/>
      <c r="G1918" s="68" t="s">
        <v>285</v>
      </c>
      <c r="H1918" s="69">
        <f t="shared" si="791"/>
        <v>0</v>
      </c>
      <c r="I1918" s="70">
        <f t="shared" si="792"/>
        <v>0</v>
      </c>
      <c r="J1918" s="73" t="str">
        <f t="shared" si="793"/>
        <v>--</v>
      </c>
      <c r="K1918" s="32"/>
      <c r="L1918" s="233"/>
      <c r="M1918" s="278"/>
      <c r="N1918" s="278"/>
      <c r="O1918" s="278"/>
      <c r="P1918" s="278"/>
      <c r="Q1918" s="278"/>
      <c r="R1918" s="278"/>
      <c r="S1918" s="278"/>
      <c r="T1918" s="278"/>
      <c r="U1918" s="27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 thickBot="1" x14ac:dyDescent="0.35">
      <c r="A1919" s="88"/>
      <c r="B1919" s="66" t="s">
        <v>305</v>
      </c>
      <c r="C1919" s="67"/>
      <c r="D1919" s="102"/>
      <c r="E1919" s="32"/>
      <c r="F1919" s="32"/>
      <c r="G1919" s="68" t="s">
        <v>285</v>
      </c>
      <c r="H1919" s="69">
        <f t="shared" si="791"/>
        <v>0</v>
      </c>
      <c r="I1919" s="70">
        <f t="shared" si="792"/>
        <v>0</v>
      </c>
      <c r="J1919" s="73" t="str">
        <f t="shared" si="793"/>
        <v>--</v>
      </c>
      <c r="K1919" s="32"/>
      <c r="L1919" s="233"/>
      <c r="M1919" s="278"/>
      <c r="N1919" s="278"/>
      <c r="O1919" s="278"/>
      <c r="P1919" s="278"/>
      <c r="Q1919" s="278"/>
      <c r="R1919" s="278"/>
      <c r="S1919" s="278"/>
      <c r="T1919" s="278"/>
      <c r="U1919" s="27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 thickBot="1" x14ac:dyDescent="0.35">
      <c r="A1920" s="88"/>
      <c r="B1920" s="66" t="s">
        <v>306</v>
      </c>
      <c r="C1920" s="67"/>
      <c r="D1920" s="102"/>
      <c r="E1920" s="32"/>
      <c r="F1920" s="32"/>
      <c r="G1920" s="68" t="s">
        <v>285</v>
      </c>
      <c r="H1920" s="69">
        <f t="shared" si="791"/>
        <v>0</v>
      </c>
      <c r="I1920" s="70">
        <f t="shared" si="792"/>
        <v>0</v>
      </c>
      <c r="J1920" s="73" t="str">
        <f t="shared" si="793"/>
        <v>--</v>
      </c>
      <c r="K1920" s="32"/>
      <c r="L1920" s="233"/>
      <c r="M1920" s="278"/>
      <c r="N1920" s="278"/>
      <c r="O1920" s="278"/>
      <c r="P1920" s="278"/>
      <c r="Q1920" s="278"/>
      <c r="R1920" s="278"/>
      <c r="S1920" s="278"/>
      <c r="T1920" s="278"/>
      <c r="U1920" s="27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 thickBot="1" x14ac:dyDescent="0.35">
      <c r="A1921" s="88"/>
      <c r="B1921" s="66" t="s">
        <v>307</v>
      </c>
      <c r="C1921" s="67"/>
      <c r="D1921" s="102"/>
      <c r="E1921" s="32"/>
      <c r="F1921" s="32"/>
      <c r="G1921" s="68" t="s">
        <v>285</v>
      </c>
      <c r="H1921" s="69">
        <f t="shared" si="791"/>
        <v>0</v>
      </c>
      <c r="I1921" s="70">
        <f t="shared" si="792"/>
        <v>0</v>
      </c>
      <c r="J1921" s="73" t="str">
        <f t="shared" si="793"/>
        <v>--</v>
      </c>
      <c r="K1921" s="32"/>
      <c r="L1921" s="233"/>
      <c r="M1921" s="278"/>
      <c r="N1921" s="278"/>
      <c r="O1921" s="278"/>
      <c r="P1921" s="278"/>
      <c r="Q1921" s="278"/>
      <c r="R1921" s="278"/>
      <c r="S1921" s="278"/>
      <c r="T1921" s="278"/>
      <c r="U1921" s="27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 thickBot="1" x14ac:dyDescent="0.35">
      <c r="A1922" s="88"/>
      <c r="B1922" s="66" t="s">
        <v>308</v>
      </c>
      <c r="C1922" s="67"/>
      <c r="D1922" s="102"/>
      <c r="E1922" s="32"/>
      <c r="F1922" s="32"/>
      <c r="G1922" s="68" t="s">
        <v>285</v>
      </c>
      <c r="H1922" s="69">
        <f t="shared" si="791"/>
        <v>0</v>
      </c>
      <c r="I1922" s="70">
        <f t="shared" si="792"/>
        <v>0</v>
      </c>
      <c r="J1922" s="73" t="str">
        <f t="shared" si="793"/>
        <v>--</v>
      </c>
      <c r="K1922" s="32"/>
      <c r="L1922" s="233"/>
      <c r="M1922" s="278"/>
      <c r="N1922" s="278"/>
      <c r="O1922" s="278"/>
      <c r="P1922" s="278"/>
      <c r="Q1922" s="278"/>
      <c r="R1922" s="278"/>
      <c r="S1922" s="278"/>
      <c r="T1922" s="278"/>
      <c r="U1922" s="27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 thickBot="1" x14ac:dyDescent="0.35">
      <c r="A1923" s="88"/>
      <c r="B1923" s="66" t="s">
        <v>309</v>
      </c>
      <c r="C1923" s="67"/>
      <c r="D1923" s="102"/>
      <c r="E1923" s="32"/>
      <c r="F1923" s="32"/>
      <c r="G1923" s="68" t="s">
        <v>285</v>
      </c>
      <c r="H1923" s="69">
        <f t="shared" si="791"/>
        <v>0</v>
      </c>
      <c r="I1923" s="70">
        <f t="shared" si="792"/>
        <v>0</v>
      </c>
      <c r="J1923" s="73" t="str">
        <f t="shared" si="793"/>
        <v>--</v>
      </c>
      <c r="K1923" s="32"/>
      <c r="L1923" s="233"/>
      <c r="M1923" s="278"/>
      <c r="N1923" s="278"/>
      <c r="O1923" s="278"/>
      <c r="P1923" s="278"/>
      <c r="Q1923" s="278"/>
      <c r="R1923" s="278"/>
      <c r="S1923" s="278"/>
      <c r="T1923" s="278"/>
      <c r="U1923" s="27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 thickBot="1" x14ac:dyDescent="0.35">
      <c r="A1924" s="88"/>
      <c r="B1924" s="66" t="s">
        <v>310</v>
      </c>
      <c r="C1924" s="67"/>
      <c r="D1924" s="102"/>
      <c r="E1924" s="32"/>
      <c r="F1924" s="32"/>
      <c r="G1924" s="68" t="s">
        <v>285</v>
      </c>
      <c r="H1924" s="69">
        <f t="shared" si="791"/>
        <v>0</v>
      </c>
      <c r="I1924" s="70">
        <f t="shared" si="792"/>
        <v>0</v>
      </c>
      <c r="J1924" s="73" t="str">
        <f t="shared" si="793"/>
        <v>--</v>
      </c>
      <c r="K1924" s="32"/>
      <c r="L1924" s="233"/>
      <c r="M1924" s="278"/>
      <c r="N1924" s="278"/>
      <c r="O1924" s="278"/>
      <c r="P1924" s="278"/>
      <c r="Q1924" s="278"/>
      <c r="R1924" s="278"/>
      <c r="S1924" s="278"/>
      <c r="T1924" s="278"/>
      <c r="U1924" s="27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 thickBot="1" x14ac:dyDescent="0.35">
      <c r="A1925" s="88"/>
      <c r="B1925" s="66" t="s">
        <v>311</v>
      </c>
      <c r="C1925" s="67"/>
      <c r="D1925" s="102"/>
      <c r="E1925" s="32"/>
      <c r="F1925" s="32"/>
      <c r="G1925" s="68" t="s">
        <v>285</v>
      </c>
      <c r="H1925" s="69">
        <f t="shared" si="791"/>
        <v>0</v>
      </c>
      <c r="I1925" s="70">
        <f t="shared" si="792"/>
        <v>0</v>
      </c>
      <c r="J1925" s="73" t="str">
        <f t="shared" si="793"/>
        <v>--</v>
      </c>
      <c r="K1925" s="32"/>
      <c r="L1925" s="233"/>
      <c r="M1925" s="278"/>
      <c r="N1925" s="278"/>
      <c r="O1925" s="278"/>
      <c r="P1925" s="278"/>
      <c r="Q1925" s="278"/>
      <c r="R1925" s="278"/>
      <c r="S1925" s="278"/>
      <c r="T1925" s="278"/>
      <c r="U1925" s="27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 thickBot="1" x14ac:dyDescent="0.35">
      <c r="A1926" s="88"/>
      <c r="B1926" s="66" t="s">
        <v>312</v>
      </c>
      <c r="C1926" s="67"/>
      <c r="D1926" s="102"/>
      <c r="E1926" s="32"/>
      <c r="F1926" s="32"/>
      <c r="G1926" s="68" t="s">
        <v>285</v>
      </c>
      <c r="H1926" s="69">
        <f t="shared" si="791"/>
        <v>0</v>
      </c>
      <c r="I1926" s="70">
        <f t="shared" si="792"/>
        <v>0</v>
      </c>
      <c r="J1926" s="73" t="str">
        <f t="shared" si="793"/>
        <v>--</v>
      </c>
      <c r="K1926" s="32"/>
      <c r="L1926" s="233"/>
      <c r="M1926" s="278"/>
      <c r="N1926" s="278"/>
      <c r="O1926" s="278"/>
      <c r="P1926" s="278"/>
      <c r="Q1926" s="278"/>
      <c r="R1926" s="278"/>
      <c r="S1926" s="278"/>
      <c r="T1926" s="278"/>
      <c r="U1926" s="27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 thickBot="1" x14ac:dyDescent="0.35">
      <c r="A1927" s="88"/>
      <c r="B1927" s="66" t="s">
        <v>313</v>
      </c>
      <c r="C1927" s="67"/>
      <c r="D1927" s="102"/>
      <c r="E1927" s="32"/>
      <c r="F1927" s="32"/>
      <c r="G1927" s="68" t="s">
        <v>285</v>
      </c>
      <c r="H1927" s="69">
        <f t="shared" si="791"/>
        <v>0</v>
      </c>
      <c r="I1927" s="70">
        <f t="shared" si="792"/>
        <v>0</v>
      </c>
      <c r="J1927" s="73" t="str">
        <f t="shared" si="793"/>
        <v>--</v>
      </c>
      <c r="K1927" s="32"/>
      <c r="L1927" s="234"/>
      <c r="M1927" s="278"/>
      <c r="N1927" s="278"/>
      <c r="O1927" s="278"/>
      <c r="P1927" s="278"/>
      <c r="Q1927" s="278"/>
      <c r="R1927" s="278"/>
      <c r="S1927" s="278"/>
      <c r="T1927" s="278"/>
      <c r="U1927" s="27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2" thickBot="1" x14ac:dyDescent="0.35">
      <c r="A1928" s="88"/>
      <c r="B1928" s="319" t="s">
        <v>468</v>
      </c>
      <c r="C1928" s="320"/>
      <c r="D1928" s="79"/>
      <c r="E1928" s="80"/>
      <c r="F1928" s="80"/>
      <c r="G1928" s="81"/>
      <c r="H1928" s="192"/>
      <c r="I1928" s="192"/>
      <c r="J1928" s="192"/>
      <c r="K1928" s="82"/>
      <c r="L1928" s="319" t="s">
        <v>319</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2" thickBot="1" x14ac:dyDescent="0.35">
      <c r="A1929" s="88"/>
      <c r="B1929" s="319" t="s">
        <v>320</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3">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 thickBot="1" x14ac:dyDescent="0.35">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5">
      <c r="A1932" s="88"/>
      <c r="B1932" s="85" t="s">
        <v>469</v>
      </c>
      <c r="C1932" s="25"/>
      <c r="D1932" s="25"/>
      <c r="E1932" s="25"/>
      <c r="F1932" s="88"/>
      <c r="G1932" s="25"/>
      <c r="H1932" s="25"/>
      <c r="I1932" s="87"/>
      <c r="J1932" s="26"/>
      <c r="K1932" s="25"/>
      <c r="L1932" s="25"/>
      <c r="M1932" s="196" t="s">
        <v>217</v>
      </c>
      <c r="N1932" s="196" t="s">
        <v>218</v>
      </c>
      <c r="O1932" s="196" t="s">
        <v>219</v>
      </c>
      <c r="P1932" s="196" t="s">
        <v>220</v>
      </c>
      <c r="Q1932" s="196" t="s">
        <v>221</v>
      </c>
      <c r="R1932" s="196" t="s">
        <v>222</v>
      </c>
      <c r="S1932" s="196" t="s">
        <v>223</v>
      </c>
      <c r="T1932" s="196" t="s">
        <v>224</v>
      </c>
      <c r="U1932" s="196" t="s">
        <v>225</v>
      </c>
      <c r="V1932" s="196" t="s">
        <v>226</v>
      </c>
      <c r="W1932" s="113" t="s">
        <v>227</v>
      </c>
      <c r="X1932" s="196" t="s">
        <v>228</v>
      </c>
      <c r="Y1932" s="25"/>
      <c r="Z1932" s="25"/>
      <c r="AA1932" s="25"/>
      <c r="AB1932" s="25"/>
      <c r="AC1932" s="25"/>
      <c r="AD1932" s="25"/>
      <c r="BA1932" s="226"/>
    </row>
    <row r="1933" spans="1:53" ht="15.6" thickTop="1" thickBot="1" x14ac:dyDescent="0.35">
      <c r="A1933" s="88"/>
      <c r="B1933" s="312" t="s">
        <v>229</v>
      </c>
      <c r="C1933" s="313"/>
      <c r="D1933" s="314" t="s">
        <v>230</v>
      </c>
      <c r="E1933" s="305"/>
      <c r="F1933" s="88"/>
      <c r="G1933" s="315" t="s">
        <v>231</v>
      </c>
      <c r="H1933" s="316"/>
      <c r="I1933" s="28">
        <f>SUM(E1944:E1968)</f>
        <v>0</v>
      </c>
      <c r="J1933" s="317" t="s">
        <v>232</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233</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234</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5">
      <c r="A1934" s="88"/>
      <c r="B1934" s="29" t="s">
        <v>235</v>
      </c>
      <c r="C1934" s="30">
        <v>0</v>
      </c>
      <c r="D1934" s="31" t="s">
        <v>236</v>
      </c>
      <c r="E1934" s="66" t="str">
        <f>TEXT(IF('Cable Calculator'!IE7="","",'Cable Calculator'!IE7),)</f>
        <v/>
      </c>
      <c r="F1934" s="88"/>
      <c r="G1934" s="304" t="s">
        <v>237</v>
      </c>
      <c r="H1934" s="305"/>
      <c r="I1934" s="33">
        <f>E1935-I1933</f>
        <v>0</v>
      </c>
      <c r="J1934" s="289" t="s">
        <v>238</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239</v>
      </c>
      <c r="AA1934" s="300" t="s">
        <v>240</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241</v>
      </c>
      <c r="AU1934" s="109">
        <f>COUNTIFS($E1934,"SS",$AS1934,"Y")</f>
        <v>0</v>
      </c>
      <c r="AV1934" s="111">
        <f>COUNTIFS($E1934,"RPX",$AS1934,"Y")</f>
        <v>0</v>
      </c>
      <c r="AW1934" s="111">
        <f>COUNTIFS($E1934,"EUC",$AS1934,"Y")</f>
        <v>0</v>
      </c>
      <c r="AX1934" s="109">
        <f>COUNTIFS($E1934,"RPX-T",$AS1934,"Y")</f>
        <v>0</v>
      </c>
      <c r="BA1934" s="227"/>
    </row>
    <row r="1935" spans="1:53" ht="15.6" thickTop="1" thickBot="1" x14ac:dyDescent="0.35">
      <c r="A1935" s="88"/>
      <c r="B1935" s="36" t="s">
        <v>242</v>
      </c>
      <c r="C1935" s="37">
        <v>0</v>
      </c>
      <c r="D1935" s="38" t="s">
        <v>243</v>
      </c>
      <c r="E1935" s="32"/>
      <c r="F1935" s="88"/>
      <c r="G1935" s="291" t="s">
        <v>244</v>
      </c>
      <c r="H1935" s="292"/>
      <c r="I1935" s="35">
        <f>IF(E1935=0,0,12-(MOD(I1933,12)))</f>
        <v>0</v>
      </c>
      <c r="J1935" s="289" t="s">
        <v>245</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246</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5">
      <c r="A1936" s="88"/>
      <c r="B1936" s="40" t="s">
        <v>247</v>
      </c>
      <c r="C1936" s="30">
        <v>0</v>
      </c>
      <c r="D1936" s="41" t="s">
        <v>248</v>
      </c>
      <c r="E1936" s="42"/>
      <c r="F1936" s="88"/>
      <c r="G1936" s="321" t="s">
        <v>249</v>
      </c>
      <c r="H1936" s="43" t="s">
        <v>250</v>
      </c>
      <c r="I1936" s="35">
        <f>IF(E1936&lt;&gt;0,1,0)</f>
        <v>0</v>
      </c>
      <c r="J1936" s="291" t="s">
        <v>251</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252</v>
      </c>
      <c r="AU1936" s="109">
        <f>COUNTIFS($E1934,"SS",$AS1936,"Y")</f>
        <v>0</v>
      </c>
      <c r="AV1936" s="108">
        <f>COUNTIFS($E1934,"RPX",$AS1936,"Y")</f>
        <v>0</v>
      </c>
      <c r="AW1936" s="108">
        <f>COUNTIFS($E1934,"EUC",$AS1936,"Y")</f>
        <v>0</v>
      </c>
      <c r="AX1936" s="109">
        <f>COUNTIFS($E1934,"RPX-T",$AS1936,"Y")</f>
        <v>0</v>
      </c>
      <c r="BA1936" s="227"/>
    </row>
    <row r="1937" spans="1:53" ht="15.6" thickTop="1" thickBot="1" x14ac:dyDescent="0.35">
      <c r="A1937" s="88"/>
      <c r="B1937" s="29" t="s">
        <v>253</v>
      </c>
      <c r="C1937" s="37">
        <v>0</v>
      </c>
      <c r="D1937" s="41" t="s">
        <v>254</v>
      </c>
      <c r="E1937" s="42"/>
      <c r="F1937" s="88"/>
      <c r="G1937" s="322"/>
      <c r="H1937" s="47" t="s">
        <v>255</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5">
      <c r="A1938" s="88"/>
      <c r="B1938" s="36" t="s">
        <v>256</v>
      </c>
      <c r="C1938" s="30">
        <v>0</v>
      </c>
      <c r="D1938" s="49" t="s">
        <v>257</v>
      </c>
      <c r="E1938" s="50">
        <f>E1935/12</f>
        <v>0</v>
      </c>
      <c r="F1938" s="88"/>
      <c r="G1938" s="321" t="s">
        <v>258</v>
      </c>
      <c r="H1938" s="51" t="s">
        <v>259</v>
      </c>
      <c r="I1938" s="112">
        <f>E1937</f>
        <v>0</v>
      </c>
      <c r="J1938" s="323" t="s">
        <v>260</v>
      </c>
      <c r="K1938" s="324"/>
      <c r="L1938" s="325"/>
      <c r="M1938" s="52" t="s">
        <v>261</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5.6" thickTop="1" thickBot="1" x14ac:dyDescent="0.35">
      <c r="A1939" s="88"/>
      <c r="B1939" s="36" t="s">
        <v>262</v>
      </c>
      <c r="C1939" s="30">
        <v>0</v>
      </c>
      <c r="D1939" s="31" t="s">
        <v>263</v>
      </c>
      <c r="E1939" s="101" t="str">
        <f>IF('Cable Calculator'!IE5="","",'Cable Calculator'!IE5)</f>
        <v/>
      </c>
      <c r="F1939" s="88"/>
      <c r="G1939" s="322"/>
      <c r="H1939" s="47" t="s">
        <v>264</v>
      </c>
      <c r="I1939" s="35" t="str">
        <f>IF(E1937="","0",IF(AND(E1934="EUC",E1935=432), I1938+(203-E1936),IF(E1937=0,0,(E1937+(E1935-E1936)-1))))</f>
        <v>0</v>
      </c>
      <c r="J1939" s="286" t="str">
        <f>IFERROR(IF(OR(E1934="EUC",E1934="SS"),"---",IF(OR(P1933,S1933),"NO 2F Tethers for RPX!",IF(OR(P1935,S1935),"NO 6F Tethers for RPX!","---"))),"---")</f>
        <v>---</v>
      </c>
      <c r="K1939" s="287"/>
      <c r="L1939" s="288"/>
      <c r="M1939" s="286" t="str">
        <f>IF(E1936&gt;60,"Dead Count &gt;60: Consider Downsize","---")</f>
        <v>---</v>
      </c>
      <c r="N1939" s="287"/>
      <c r="O1939" s="287"/>
      <c r="P1939" s="287"/>
      <c r="Q1939" s="287"/>
      <c r="R1939" s="287"/>
      <c r="S1939" s="287"/>
      <c r="T1939" s="287"/>
      <c r="U1939" s="288"/>
      <c r="V1939" s="100"/>
      <c r="W1939" s="54">
        <f>SUM(P1939:U1939)</f>
        <v>0</v>
      </c>
      <c r="X1939" s="54"/>
      <c r="Y1939" s="25"/>
      <c r="Z1939" s="45">
        <v>4</v>
      </c>
      <c r="AA1939" s="46">
        <v>37</v>
      </c>
      <c r="AB1939" s="46">
        <v>48</v>
      </c>
      <c r="AC1939" s="25"/>
      <c r="AD1939" s="25"/>
      <c r="BA1939" s="227"/>
    </row>
    <row r="1940" spans="1:53" ht="15.6" thickTop="1" thickBot="1" x14ac:dyDescent="0.35">
      <c r="A1940" s="88"/>
      <c r="B1940" s="55" t="s">
        <v>265</v>
      </c>
      <c r="C1940" s="56">
        <f>SUM(C1934:C1939)+I1933</f>
        <v>0</v>
      </c>
      <c r="D1940" s="31" t="s">
        <v>266</v>
      </c>
      <c r="E1940" s="101" t="str">
        <f>IF(AS1934="Y","DBL",IF(AS1935="Y","TRPL",IF(AS1936="Y","QUAD","")))</f>
        <v/>
      </c>
      <c r="F1940" s="88"/>
      <c r="G1940" s="192"/>
      <c r="H1940" s="57"/>
      <c r="I1940" s="192"/>
      <c r="J1940" s="286"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7"/>
      <c r="L1940" s="288"/>
      <c r="M1940" s="286" t="str">
        <f>IF(AND(OR(E1934="SS",E1934="RPX",E1934="EUC",E1934="RPX-T"),(OR(C1944="",C1944="Field SPL"))),"Cannot have FlexNap cables without tethers","---")</f>
        <v>---</v>
      </c>
      <c r="N1940" s="287"/>
      <c r="O1940" s="287"/>
      <c r="P1940" s="287"/>
      <c r="Q1940" s="287"/>
      <c r="R1940" s="287"/>
      <c r="S1940" s="287"/>
      <c r="T1940" s="287"/>
      <c r="U1940" s="288"/>
      <c r="V1940" s="25"/>
      <c r="W1940" s="58"/>
      <c r="X1940" s="58"/>
      <c r="Y1940" s="25"/>
      <c r="Z1940" s="45">
        <v>5</v>
      </c>
      <c r="AA1940" s="46">
        <v>49</v>
      </c>
      <c r="AB1940" s="46">
        <v>60</v>
      </c>
      <c r="AC1940" s="25"/>
      <c r="AD1940" s="25"/>
      <c r="BA1940" s="227"/>
    </row>
    <row r="1941" spans="1:53" ht="15.6" thickTop="1" thickBot="1" x14ac:dyDescent="0.35">
      <c r="A1941" s="88"/>
      <c r="B1941" s="59"/>
      <c r="C1941" s="60"/>
      <c r="D1941" s="61"/>
      <c r="E1941" s="62"/>
      <c r="F1941" s="88"/>
      <c r="G1941" s="63"/>
      <c r="H1941" s="64"/>
      <c r="I1941" s="63"/>
      <c r="J1941" s="286" t="str">
        <f>IF(AND(OR(E1934="RPX", E1934="RPX-T", E1934="SS"),E1935=216),"NO 216 For RPX, RPX-T, OR SS CABLE","---")</f>
        <v>---</v>
      </c>
      <c r="K1941" s="287"/>
      <c r="L1941" s="288"/>
      <c r="M1941" s="286" t="str" cm="1">
        <f t="array" ref="M1941">IF(AND(E1934="",OR(C1944:C1968="FST",C1944:C1968="REV T",C1944:C1968="DBL REV",C1944:C1968="TPL REV", C1944:C1968="QD REV")),"Non-FlexNap cables cannot have tethers","---")</f>
        <v>---</v>
      </c>
      <c r="N1941" s="287"/>
      <c r="O1941" s="287"/>
      <c r="P1941" s="287"/>
      <c r="Q1941" s="287"/>
      <c r="R1941" s="287"/>
      <c r="S1941" s="287"/>
      <c r="T1941" s="287"/>
      <c r="U1941" s="288"/>
      <c r="V1941" s="25"/>
      <c r="W1941" s="58"/>
      <c r="X1941" s="58"/>
      <c r="Y1941" s="25"/>
      <c r="Z1941" s="45">
        <v>6</v>
      </c>
      <c r="AA1941" s="65">
        <v>61</v>
      </c>
      <c r="AB1941" s="65">
        <v>72</v>
      </c>
      <c r="AC1941" s="25"/>
      <c r="AD1941" s="25"/>
      <c r="BA1941" s="226"/>
    </row>
    <row r="1942" spans="1:53" ht="15.75" customHeight="1" thickBot="1" x14ac:dyDescent="0.35">
      <c r="A1942" s="88"/>
      <c r="B1942" s="321" t="s">
        <v>267</v>
      </c>
      <c r="C1942" s="293" t="s">
        <v>268</v>
      </c>
      <c r="D1942" s="293" t="s">
        <v>269</v>
      </c>
      <c r="E1942" s="306" t="s">
        <v>270</v>
      </c>
      <c r="F1942" s="293" t="s">
        <v>271</v>
      </c>
      <c r="G1942" s="308" t="s">
        <v>272</v>
      </c>
      <c r="H1942" s="308" t="s">
        <v>273</v>
      </c>
      <c r="I1942" s="308" t="s">
        <v>274</v>
      </c>
      <c r="J1942" s="310" t="s">
        <v>275</v>
      </c>
      <c r="K1942" s="293" t="s">
        <v>276</v>
      </c>
      <c r="L1942" s="280" t="s">
        <v>277</v>
      </c>
      <c r="M1942" s="282" t="s">
        <v>278</v>
      </c>
      <c r="N1942" s="282"/>
      <c r="O1942" s="282"/>
      <c r="P1942" s="282"/>
      <c r="Q1942" s="282"/>
      <c r="R1942" s="282"/>
      <c r="S1942" s="282"/>
      <c r="T1942" s="282"/>
      <c r="U1942" s="283"/>
      <c r="V1942" s="107"/>
      <c r="W1942" s="72"/>
      <c r="X1942" s="72"/>
      <c r="Y1942" s="72"/>
      <c r="Z1942" s="45">
        <v>7</v>
      </c>
      <c r="AA1942" s="65">
        <v>73</v>
      </c>
      <c r="AB1942" s="65">
        <v>84</v>
      </c>
      <c r="AC1942" s="25"/>
      <c r="AD1942" s="25"/>
      <c r="BA1942" s="228"/>
    </row>
    <row r="1943" spans="1:53" ht="15" thickBot="1" x14ac:dyDescent="0.35">
      <c r="A1943" s="88"/>
      <c r="B1943" s="322"/>
      <c r="C1943" s="294"/>
      <c r="D1943" s="294"/>
      <c r="E1943" s="307"/>
      <c r="F1943" s="294"/>
      <c r="G1943" s="309"/>
      <c r="H1943" s="309"/>
      <c r="I1943" s="309"/>
      <c r="J1943" s="311"/>
      <c r="K1943" s="294"/>
      <c r="L1943" s="281"/>
      <c r="M1943" s="284"/>
      <c r="N1943" s="284"/>
      <c r="O1943" s="284"/>
      <c r="P1943" s="284"/>
      <c r="Q1943" s="284"/>
      <c r="R1943" s="284"/>
      <c r="S1943" s="284"/>
      <c r="T1943" s="284"/>
      <c r="U1943" s="285"/>
      <c r="V1943" s="107"/>
      <c r="W1943" s="72"/>
      <c r="X1943" s="72"/>
      <c r="Y1943" s="72"/>
      <c r="Z1943" s="45">
        <v>8</v>
      </c>
      <c r="AA1943" s="46">
        <v>85</v>
      </c>
      <c r="AB1943" s="46">
        <v>96</v>
      </c>
      <c r="AC1943" s="25"/>
      <c r="AD1943" s="25"/>
      <c r="AI1943" s="109" t="s">
        <v>279</v>
      </c>
      <c r="AJ1943" s="109" t="s">
        <v>280</v>
      </c>
      <c r="AK1943" s="109" t="s">
        <v>281</v>
      </c>
      <c r="AL1943" s="109" t="s">
        <v>282</v>
      </c>
      <c r="BA1943" s="228"/>
    </row>
    <row r="1944" spans="1:53" ht="15" thickBot="1" x14ac:dyDescent="0.35">
      <c r="A1944" s="88"/>
      <c r="B1944" s="66" t="s">
        <v>283</v>
      </c>
      <c r="C1944" s="67"/>
      <c r="D1944" s="102"/>
      <c r="E1944" s="32"/>
      <c r="F1944" s="32"/>
      <c r="G1944" s="68" t="s">
        <v>285</v>
      </c>
      <c r="H1944" s="69">
        <f>IF(I1944=0,0,I1944-(E1944-1))</f>
        <v>0</v>
      </c>
      <c r="I1944" s="70">
        <f>IF(E1944=0,0,I1939)</f>
        <v>0</v>
      </c>
      <c r="J1944" s="71" t="s">
        <v>286</v>
      </c>
      <c r="K1944" s="32"/>
      <c r="L1944" s="233"/>
      <c r="M1944" s="278"/>
      <c r="N1944" s="278"/>
      <c r="O1944" s="278"/>
      <c r="P1944" s="278"/>
      <c r="Q1944" s="278"/>
      <c r="R1944" s="278"/>
      <c r="S1944" s="278"/>
      <c r="T1944" s="278"/>
      <c r="U1944" s="27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 thickBot="1" x14ac:dyDescent="0.35">
      <c r="A1945" s="88"/>
      <c r="B1945" s="66" t="s">
        <v>288</v>
      </c>
      <c r="C1945" s="67"/>
      <c r="D1945" s="102"/>
      <c r="E1945" s="32"/>
      <c r="F1945" s="32"/>
      <c r="G1945" s="68" t="s">
        <v>285</v>
      </c>
      <c r="H1945" s="69">
        <f t="shared" ref="H1945:H1968" si="808">IF(E1945=0,0,I1945-(E1945-1))</f>
        <v>0</v>
      </c>
      <c r="I1945" s="70">
        <f t="shared" ref="I1945:I1968" si="809">IF(E1945=0,0,H1944-1)</f>
        <v>0</v>
      </c>
      <c r="J1945" s="73" t="str">
        <f>IF(C1945="","--",IF(AND(C1945&lt;&gt;"FST",C1945&lt;&gt;"TCF",BA1944&lt;&gt;0),BA1944,"--"))</f>
        <v>--</v>
      </c>
      <c r="K1945" s="32"/>
      <c r="L1945" s="233"/>
      <c r="M1945" s="278"/>
      <c r="N1945" s="278"/>
      <c r="O1945" s="278"/>
      <c r="P1945" s="278"/>
      <c r="Q1945" s="278"/>
      <c r="R1945" s="278"/>
      <c r="S1945" s="278"/>
      <c r="T1945" s="278"/>
      <c r="U1945" s="27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 thickBot="1" x14ac:dyDescent="0.35">
      <c r="A1946" s="88"/>
      <c r="B1946" s="74" t="s">
        <v>290</v>
      </c>
      <c r="C1946" s="67"/>
      <c r="D1946" s="102"/>
      <c r="E1946" s="32"/>
      <c r="F1946" s="32"/>
      <c r="G1946" s="75" t="s">
        <v>285</v>
      </c>
      <c r="H1946" s="69">
        <f t="shared" si="808"/>
        <v>0</v>
      </c>
      <c r="I1946" s="70">
        <f t="shared" si="809"/>
        <v>0</v>
      </c>
      <c r="J1946" s="73" t="str">
        <f t="shared" ref="J1946:J1968" si="810">IF(C1946="","--",IF(AND(C1946&lt;&gt;"FST",C1946&lt;&gt;"TCF",BA1945&lt;&gt;0),BA1945,"--"))</f>
        <v>--</v>
      </c>
      <c r="K1946" s="32"/>
      <c r="L1946" s="233"/>
      <c r="M1946" s="278"/>
      <c r="N1946" s="278"/>
      <c r="O1946" s="278"/>
      <c r="P1946" s="278"/>
      <c r="Q1946" s="278"/>
      <c r="R1946" s="278"/>
      <c r="S1946" s="278"/>
      <c r="T1946" s="278"/>
      <c r="U1946" s="27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 thickBot="1" x14ac:dyDescent="0.35">
      <c r="A1947" s="88"/>
      <c r="B1947" s="66" t="s">
        <v>292</v>
      </c>
      <c r="C1947" s="67"/>
      <c r="D1947" s="102"/>
      <c r="E1947" s="32"/>
      <c r="F1947" s="32"/>
      <c r="G1947" s="68" t="s">
        <v>285</v>
      </c>
      <c r="H1947" s="69">
        <f t="shared" si="808"/>
        <v>0</v>
      </c>
      <c r="I1947" s="70">
        <f t="shared" si="809"/>
        <v>0</v>
      </c>
      <c r="J1947" s="73" t="str">
        <f t="shared" si="810"/>
        <v>--</v>
      </c>
      <c r="K1947" s="32"/>
      <c r="L1947" s="233"/>
      <c r="M1947" s="278"/>
      <c r="N1947" s="278"/>
      <c r="O1947" s="278"/>
      <c r="P1947" s="278"/>
      <c r="Q1947" s="278"/>
      <c r="R1947" s="278"/>
      <c r="S1947" s="278"/>
      <c r="T1947" s="278"/>
      <c r="U1947" s="27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 thickBot="1" x14ac:dyDescent="0.35">
      <c r="A1948" s="88"/>
      <c r="B1948" s="66" t="s">
        <v>293</v>
      </c>
      <c r="C1948" s="67"/>
      <c r="D1948" s="102"/>
      <c r="E1948" s="32"/>
      <c r="F1948" s="32"/>
      <c r="G1948" s="68" t="s">
        <v>285</v>
      </c>
      <c r="H1948" s="69">
        <f t="shared" si="808"/>
        <v>0</v>
      </c>
      <c r="I1948" s="70">
        <f t="shared" si="809"/>
        <v>0</v>
      </c>
      <c r="J1948" s="73" t="str">
        <f t="shared" si="810"/>
        <v>--</v>
      </c>
      <c r="K1948" s="32"/>
      <c r="L1948" s="233"/>
      <c r="M1948" s="278"/>
      <c r="N1948" s="278"/>
      <c r="O1948" s="278"/>
      <c r="P1948" s="278"/>
      <c r="Q1948" s="278"/>
      <c r="R1948" s="278"/>
      <c r="S1948" s="278"/>
      <c r="T1948" s="278"/>
      <c r="U1948" s="27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 thickBot="1" x14ac:dyDescent="0.35">
      <c r="A1949" s="88"/>
      <c r="B1949" s="66" t="s">
        <v>294</v>
      </c>
      <c r="C1949" s="67"/>
      <c r="D1949" s="102"/>
      <c r="E1949" s="32"/>
      <c r="F1949" s="32"/>
      <c r="G1949" s="68" t="s">
        <v>285</v>
      </c>
      <c r="H1949" s="69">
        <f t="shared" si="808"/>
        <v>0</v>
      </c>
      <c r="I1949" s="70">
        <f t="shared" si="809"/>
        <v>0</v>
      </c>
      <c r="J1949" s="73" t="str">
        <f t="shared" si="810"/>
        <v>--</v>
      </c>
      <c r="K1949" s="32"/>
      <c r="L1949" s="233"/>
      <c r="M1949" s="278"/>
      <c r="N1949" s="278"/>
      <c r="O1949" s="278"/>
      <c r="P1949" s="278"/>
      <c r="Q1949" s="278"/>
      <c r="R1949" s="278"/>
      <c r="S1949" s="278"/>
      <c r="T1949" s="278"/>
      <c r="U1949" s="27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 thickBot="1" x14ac:dyDescent="0.35">
      <c r="A1950" s="88"/>
      <c r="B1950" s="66" t="s">
        <v>295</v>
      </c>
      <c r="C1950" s="67"/>
      <c r="D1950" s="102"/>
      <c r="E1950" s="32"/>
      <c r="F1950" s="32"/>
      <c r="G1950" s="68" t="s">
        <v>285</v>
      </c>
      <c r="H1950" s="69">
        <f t="shared" si="808"/>
        <v>0</v>
      </c>
      <c r="I1950" s="70">
        <f t="shared" si="809"/>
        <v>0</v>
      </c>
      <c r="J1950" s="73" t="str">
        <f t="shared" si="810"/>
        <v>--</v>
      </c>
      <c r="K1950" s="32"/>
      <c r="L1950" s="233"/>
      <c r="M1950" s="278"/>
      <c r="N1950" s="278"/>
      <c r="O1950" s="278"/>
      <c r="P1950" s="278"/>
      <c r="Q1950" s="278"/>
      <c r="R1950" s="278"/>
      <c r="S1950" s="278"/>
      <c r="T1950" s="278"/>
      <c r="U1950" s="27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 thickBot="1" x14ac:dyDescent="0.35">
      <c r="A1951" s="88"/>
      <c r="B1951" s="66" t="s">
        <v>296</v>
      </c>
      <c r="C1951" s="67"/>
      <c r="D1951" s="102"/>
      <c r="E1951" s="32"/>
      <c r="F1951" s="32"/>
      <c r="G1951" s="68" t="s">
        <v>285</v>
      </c>
      <c r="H1951" s="69">
        <f t="shared" si="808"/>
        <v>0</v>
      </c>
      <c r="I1951" s="70">
        <f t="shared" si="809"/>
        <v>0</v>
      </c>
      <c r="J1951" s="73" t="str">
        <f t="shared" si="810"/>
        <v>--</v>
      </c>
      <c r="K1951" s="32"/>
      <c r="L1951" s="233"/>
      <c r="M1951" s="278"/>
      <c r="N1951" s="278"/>
      <c r="O1951" s="278"/>
      <c r="P1951" s="278"/>
      <c r="Q1951" s="278"/>
      <c r="R1951" s="278"/>
      <c r="S1951" s="278"/>
      <c r="T1951" s="278"/>
      <c r="U1951" s="27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 thickBot="1" x14ac:dyDescent="0.35">
      <c r="A1952" s="88"/>
      <c r="B1952" s="66" t="s">
        <v>297</v>
      </c>
      <c r="C1952" s="67"/>
      <c r="D1952" s="102"/>
      <c r="E1952" s="32"/>
      <c r="F1952" s="32"/>
      <c r="G1952" s="68" t="s">
        <v>285</v>
      </c>
      <c r="H1952" s="69">
        <f t="shared" si="808"/>
        <v>0</v>
      </c>
      <c r="I1952" s="70">
        <f t="shared" si="809"/>
        <v>0</v>
      </c>
      <c r="J1952" s="73" t="str">
        <f t="shared" si="810"/>
        <v>--</v>
      </c>
      <c r="K1952" s="32"/>
      <c r="L1952" s="233"/>
      <c r="M1952" s="278"/>
      <c r="N1952" s="278"/>
      <c r="O1952" s="278"/>
      <c r="P1952" s="278"/>
      <c r="Q1952" s="278"/>
      <c r="R1952" s="278"/>
      <c r="S1952" s="278"/>
      <c r="T1952" s="278"/>
      <c r="U1952" s="27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 thickBot="1" x14ac:dyDescent="0.35">
      <c r="A1953" s="88"/>
      <c r="B1953" s="66" t="s">
        <v>298</v>
      </c>
      <c r="C1953" s="67"/>
      <c r="D1953" s="102"/>
      <c r="E1953" s="32"/>
      <c r="F1953" s="32"/>
      <c r="G1953" s="68" t="s">
        <v>285</v>
      </c>
      <c r="H1953" s="69">
        <f t="shared" si="808"/>
        <v>0</v>
      </c>
      <c r="I1953" s="70">
        <f t="shared" si="809"/>
        <v>0</v>
      </c>
      <c r="J1953" s="73" t="str">
        <f t="shared" si="810"/>
        <v>--</v>
      </c>
      <c r="K1953" s="32"/>
      <c r="L1953" s="233"/>
      <c r="M1953" s="278"/>
      <c r="N1953" s="278"/>
      <c r="O1953" s="278"/>
      <c r="P1953" s="278"/>
      <c r="Q1953" s="278"/>
      <c r="R1953" s="278"/>
      <c r="S1953" s="278"/>
      <c r="T1953" s="278"/>
      <c r="U1953" s="27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 thickBot="1" x14ac:dyDescent="0.35">
      <c r="A1954" s="88"/>
      <c r="B1954" s="66" t="s">
        <v>299</v>
      </c>
      <c r="C1954" s="67"/>
      <c r="D1954" s="102"/>
      <c r="E1954" s="32"/>
      <c r="F1954" s="32"/>
      <c r="G1954" s="68" t="s">
        <v>285</v>
      </c>
      <c r="H1954" s="69">
        <f t="shared" si="808"/>
        <v>0</v>
      </c>
      <c r="I1954" s="70">
        <f t="shared" si="809"/>
        <v>0</v>
      </c>
      <c r="J1954" s="73" t="str">
        <f t="shared" si="810"/>
        <v>--</v>
      </c>
      <c r="K1954" s="32"/>
      <c r="L1954" s="233"/>
      <c r="M1954" s="278"/>
      <c r="N1954" s="278"/>
      <c r="O1954" s="278"/>
      <c r="P1954" s="278"/>
      <c r="Q1954" s="278"/>
      <c r="R1954" s="278"/>
      <c r="S1954" s="278"/>
      <c r="T1954" s="278"/>
      <c r="U1954" s="27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 thickBot="1" x14ac:dyDescent="0.35">
      <c r="A1955" s="88"/>
      <c r="B1955" s="66" t="s">
        <v>300</v>
      </c>
      <c r="C1955" s="67"/>
      <c r="D1955" s="102"/>
      <c r="E1955" s="32"/>
      <c r="F1955" s="32"/>
      <c r="G1955" s="68" t="s">
        <v>285</v>
      </c>
      <c r="H1955" s="69">
        <f t="shared" si="808"/>
        <v>0</v>
      </c>
      <c r="I1955" s="70">
        <f t="shared" si="809"/>
        <v>0</v>
      </c>
      <c r="J1955" s="73" t="str">
        <f t="shared" si="810"/>
        <v>--</v>
      </c>
      <c r="K1955" s="32"/>
      <c r="L1955" s="233"/>
      <c r="M1955" s="278"/>
      <c r="N1955" s="278"/>
      <c r="O1955" s="278"/>
      <c r="P1955" s="278"/>
      <c r="Q1955" s="278"/>
      <c r="R1955" s="278"/>
      <c r="S1955" s="278"/>
      <c r="T1955" s="278"/>
      <c r="U1955" s="27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 thickBot="1" x14ac:dyDescent="0.35">
      <c r="A1956" s="88"/>
      <c r="B1956" s="66" t="s">
        <v>301</v>
      </c>
      <c r="C1956" s="67"/>
      <c r="D1956" s="102"/>
      <c r="E1956" s="32"/>
      <c r="F1956" s="32"/>
      <c r="G1956" s="68" t="s">
        <v>285</v>
      </c>
      <c r="H1956" s="69">
        <f t="shared" si="808"/>
        <v>0</v>
      </c>
      <c r="I1956" s="70">
        <f t="shared" si="809"/>
        <v>0</v>
      </c>
      <c r="J1956" s="73" t="str">
        <f t="shared" si="810"/>
        <v>--</v>
      </c>
      <c r="K1956" s="32"/>
      <c r="L1956" s="233"/>
      <c r="M1956" s="278"/>
      <c r="N1956" s="278"/>
      <c r="O1956" s="278"/>
      <c r="P1956" s="278"/>
      <c r="Q1956" s="278"/>
      <c r="R1956" s="278"/>
      <c r="S1956" s="278"/>
      <c r="T1956" s="278"/>
      <c r="U1956" s="27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 thickBot="1" x14ac:dyDescent="0.35">
      <c r="A1957" s="88"/>
      <c r="B1957" s="66" t="s">
        <v>302</v>
      </c>
      <c r="C1957" s="67"/>
      <c r="D1957" s="102"/>
      <c r="E1957" s="32"/>
      <c r="F1957" s="32"/>
      <c r="G1957" s="68" t="s">
        <v>285</v>
      </c>
      <c r="H1957" s="69">
        <f t="shared" si="808"/>
        <v>0</v>
      </c>
      <c r="I1957" s="70">
        <f t="shared" si="809"/>
        <v>0</v>
      </c>
      <c r="J1957" s="73" t="str">
        <f t="shared" si="810"/>
        <v>--</v>
      </c>
      <c r="K1957" s="32"/>
      <c r="L1957" s="233"/>
      <c r="M1957" s="278"/>
      <c r="N1957" s="278"/>
      <c r="O1957" s="278"/>
      <c r="P1957" s="278"/>
      <c r="Q1957" s="278"/>
      <c r="R1957" s="278"/>
      <c r="S1957" s="278"/>
      <c r="T1957" s="278"/>
      <c r="U1957" s="27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 thickBot="1" x14ac:dyDescent="0.35">
      <c r="A1958" s="88"/>
      <c r="B1958" s="66" t="s">
        <v>303</v>
      </c>
      <c r="C1958" s="67"/>
      <c r="D1958" s="102"/>
      <c r="E1958" s="32"/>
      <c r="F1958" s="32"/>
      <c r="G1958" s="68" t="s">
        <v>285</v>
      </c>
      <c r="H1958" s="69">
        <f t="shared" si="808"/>
        <v>0</v>
      </c>
      <c r="I1958" s="70">
        <f t="shared" si="809"/>
        <v>0</v>
      </c>
      <c r="J1958" s="73" t="str">
        <f t="shared" si="810"/>
        <v>--</v>
      </c>
      <c r="K1958" s="32"/>
      <c r="L1958" s="233"/>
      <c r="M1958" s="278"/>
      <c r="N1958" s="278"/>
      <c r="O1958" s="278"/>
      <c r="P1958" s="278"/>
      <c r="Q1958" s="278"/>
      <c r="R1958" s="278"/>
      <c r="S1958" s="278"/>
      <c r="T1958" s="278"/>
      <c r="U1958" s="27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 thickBot="1" x14ac:dyDescent="0.35">
      <c r="A1959" s="88"/>
      <c r="B1959" s="66" t="s">
        <v>304</v>
      </c>
      <c r="C1959" s="67"/>
      <c r="D1959" s="102"/>
      <c r="E1959" s="32"/>
      <c r="F1959" s="32"/>
      <c r="G1959" s="68" t="s">
        <v>285</v>
      </c>
      <c r="H1959" s="69">
        <f t="shared" si="808"/>
        <v>0</v>
      </c>
      <c r="I1959" s="70">
        <f t="shared" si="809"/>
        <v>0</v>
      </c>
      <c r="J1959" s="73" t="str">
        <f t="shared" si="810"/>
        <v>--</v>
      </c>
      <c r="K1959" s="32"/>
      <c r="L1959" s="233"/>
      <c r="M1959" s="278"/>
      <c r="N1959" s="278"/>
      <c r="O1959" s="278"/>
      <c r="P1959" s="278"/>
      <c r="Q1959" s="278"/>
      <c r="R1959" s="278"/>
      <c r="S1959" s="278"/>
      <c r="T1959" s="278"/>
      <c r="U1959" s="27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 thickBot="1" x14ac:dyDescent="0.35">
      <c r="A1960" s="88"/>
      <c r="B1960" s="66" t="s">
        <v>305</v>
      </c>
      <c r="C1960" s="67"/>
      <c r="D1960" s="102"/>
      <c r="E1960" s="32"/>
      <c r="F1960" s="32"/>
      <c r="G1960" s="68" t="s">
        <v>285</v>
      </c>
      <c r="H1960" s="69">
        <f t="shared" si="808"/>
        <v>0</v>
      </c>
      <c r="I1960" s="70">
        <f t="shared" si="809"/>
        <v>0</v>
      </c>
      <c r="J1960" s="73" t="str">
        <f t="shared" si="810"/>
        <v>--</v>
      </c>
      <c r="K1960" s="32"/>
      <c r="L1960" s="233"/>
      <c r="M1960" s="278"/>
      <c r="N1960" s="278"/>
      <c r="O1960" s="278"/>
      <c r="P1960" s="278"/>
      <c r="Q1960" s="278"/>
      <c r="R1960" s="278"/>
      <c r="S1960" s="278"/>
      <c r="T1960" s="278"/>
      <c r="U1960" s="27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 thickBot="1" x14ac:dyDescent="0.35">
      <c r="A1961" s="88"/>
      <c r="B1961" s="66" t="s">
        <v>306</v>
      </c>
      <c r="C1961" s="67"/>
      <c r="D1961" s="102"/>
      <c r="E1961" s="32"/>
      <c r="F1961" s="32"/>
      <c r="G1961" s="68" t="s">
        <v>285</v>
      </c>
      <c r="H1961" s="69">
        <f t="shared" si="808"/>
        <v>0</v>
      </c>
      <c r="I1961" s="70">
        <f t="shared" si="809"/>
        <v>0</v>
      </c>
      <c r="J1961" s="73" t="str">
        <f t="shared" si="810"/>
        <v>--</v>
      </c>
      <c r="K1961" s="32"/>
      <c r="L1961" s="233"/>
      <c r="M1961" s="278"/>
      <c r="N1961" s="278"/>
      <c r="O1961" s="278"/>
      <c r="P1961" s="278"/>
      <c r="Q1961" s="278"/>
      <c r="R1961" s="278"/>
      <c r="S1961" s="278"/>
      <c r="T1961" s="278"/>
      <c r="U1961" s="27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 thickBot="1" x14ac:dyDescent="0.35">
      <c r="A1962" s="88"/>
      <c r="B1962" s="66" t="s">
        <v>307</v>
      </c>
      <c r="C1962" s="67"/>
      <c r="D1962" s="102"/>
      <c r="E1962" s="32"/>
      <c r="F1962" s="32"/>
      <c r="G1962" s="68" t="s">
        <v>285</v>
      </c>
      <c r="H1962" s="69">
        <f t="shared" si="808"/>
        <v>0</v>
      </c>
      <c r="I1962" s="70">
        <f t="shared" si="809"/>
        <v>0</v>
      </c>
      <c r="J1962" s="73" t="str">
        <f t="shared" si="810"/>
        <v>--</v>
      </c>
      <c r="K1962" s="32"/>
      <c r="L1962" s="233"/>
      <c r="M1962" s="278"/>
      <c r="N1962" s="278"/>
      <c r="O1962" s="278"/>
      <c r="P1962" s="278"/>
      <c r="Q1962" s="278"/>
      <c r="R1962" s="278"/>
      <c r="S1962" s="278"/>
      <c r="T1962" s="278"/>
      <c r="U1962" s="27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 thickBot="1" x14ac:dyDescent="0.35">
      <c r="A1963" s="88"/>
      <c r="B1963" s="66" t="s">
        <v>308</v>
      </c>
      <c r="C1963" s="67"/>
      <c r="D1963" s="102"/>
      <c r="E1963" s="32"/>
      <c r="F1963" s="32"/>
      <c r="G1963" s="68" t="s">
        <v>285</v>
      </c>
      <c r="H1963" s="69">
        <f t="shared" si="808"/>
        <v>0</v>
      </c>
      <c r="I1963" s="70">
        <f t="shared" si="809"/>
        <v>0</v>
      </c>
      <c r="J1963" s="73" t="str">
        <f t="shared" si="810"/>
        <v>--</v>
      </c>
      <c r="K1963" s="32"/>
      <c r="L1963" s="233"/>
      <c r="M1963" s="278"/>
      <c r="N1963" s="278"/>
      <c r="O1963" s="278"/>
      <c r="P1963" s="278"/>
      <c r="Q1963" s="278"/>
      <c r="R1963" s="278"/>
      <c r="S1963" s="278"/>
      <c r="T1963" s="278"/>
      <c r="U1963" s="27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 thickBot="1" x14ac:dyDescent="0.35">
      <c r="A1964" s="88"/>
      <c r="B1964" s="66" t="s">
        <v>309</v>
      </c>
      <c r="C1964" s="67"/>
      <c r="D1964" s="102"/>
      <c r="E1964" s="32"/>
      <c r="F1964" s="32"/>
      <c r="G1964" s="68" t="s">
        <v>285</v>
      </c>
      <c r="H1964" s="69">
        <f t="shared" si="808"/>
        <v>0</v>
      </c>
      <c r="I1964" s="70">
        <f t="shared" si="809"/>
        <v>0</v>
      </c>
      <c r="J1964" s="73" t="str">
        <f t="shared" si="810"/>
        <v>--</v>
      </c>
      <c r="K1964" s="32"/>
      <c r="L1964" s="233"/>
      <c r="M1964" s="278"/>
      <c r="N1964" s="278"/>
      <c r="O1964" s="278"/>
      <c r="P1964" s="278"/>
      <c r="Q1964" s="278"/>
      <c r="R1964" s="278"/>
      <c r="S1964" s="278"/>
      <c r="T1964" s="278"/>
      <c r="U1964" s="27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 thickBot="1" x14ac:dyDescent="0.35">
      <c r="A1965" s="88"/>
      <c r="B1965" s="66" t="s">
        <v>310</v>
      </c>
      <c r="C1965" s="67"/>
      <c r="D1965" s="102"/>
      <c r="E1965" s="32"/>
      <c r="F1965" s="32"/>
      <c r="G1965" s="68" t="s">
        <v>285</v>
      </c>
      <c r="H1965" s="69">
        <f t="shared" si="808"/>
        <v>0</v>
      </c>
      <c r="I1965" s="70">
        <f t="shared" si="809"/>
        <v>0</v>
      </c>
      <c r="J1965" s="73" t="str">
        <f t="shared" si="810"/>
        <v>--</v>
      </c>
      <c r="K1965" s="32"/>
      <c r="L1965" s="233"/>
      <c r="M1965" s="278"/>
      <c r="N1965" s="278"/>
      <c r="O1965" s="278"/>
      <c r="P1965" s="278"/>
      <c r="Q1965" s="278"/>
      <c r="R1965" s="278"/>
      <c r="S1965" s="278"/>
      <c r="T1965" s="278"/>
      <c r="U1965" s="27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 thickBot="1" x14ac:dyDescent="0.35">
      <c r="A1966" s="88"/>
      <c r="B1966" s="66" t="s">
        <v>311</v>
      </c>
      <c r="C1966" s="67"/>
      <c r="D1966" s="102"/>
      <c r="E1966" s="32"/>
      <c r="F1966" s="32"/>
      <c r="G1966" s="68" t="s">
        <v>285</v>
      </c>
      <c r="H1966" s="69">
        <f t="shared" si="808"/>
        <v>0</v>
      </c>
      <c r="I1966" s="70">
        <f t="shared" si="809"/>
        <v>0</v>
      </c>
      <c r="J1966" s="73" t="str">
        <f t="shared" si="810"/>
        <v>--</v>
      </c>
      <c r="K1966" s="32"/>
      <c r="L1966" s="233"/>
      <c r="M1966" s="278"/>
      <c r="N1966" s="278"/>
      <c r="O1966" s="278"/>
      <c r="P1966" s="278"/>
      <c r="Q1966" s="278"/>
      <c r="R1966" s="278"/>
      <c r="S1966" s="278"/>
      <c r="T1966" s="278"/>
      <c r="U1966" s="27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 thickBot="1" x14ac:dyDescent="0.35">
      <c r="A1967" s="88"/>
      <c r="B1967" s="66" t="s">
        <v>312</v>
      </c>
      <c r="C1967" s="67"/>
      <c r="D1967" s="102"/>
      <c r="E1967" s="32"/>
      <c r="F1967" s="32"/>
      <c r="G1967" s="68" t="s">
        <v>285</v>
      </c>
      <c r="H1967" s="69">
        <f t="shared" si="808"/>
        <v>0</v>
      </c>
      <c r="I1967" s="70">
        <f t="shared" si="809"/>
        <v>0</v>
      </c>
      <c r="J1967" s="73" t="str">
        <f t="shared" si="810"/>
        <v>--</v>
      </c>
      <c r="K1967" s="32"/>
      <c r="L1967" s="233"/>
      <c r="M1967" s="278"/>
      <c r="N1967" s="278"/>
      <c r="O1967" s="278"/>
      <c r="P1967" s="278"/>
      <c r="Q1967" s="278"/>
      <c r="R1967" s="278"/>
      <c r="S1967" s="278"/>
      <c r="T1967" s="278"/>
      <c r="U1967" s="27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 thickBot="1" x14ac:dyDescent="0.35">
      <c r="A1968" s="88"/>
      <c r="B1968" s="66" t="s">
        <v>313</v>
      </c>
      <c r="C1968" s="67"/>
      <c r="D1968" s="102"/>
      <c r="E1968" s="32"/>
      <c r="F1968" s="32"/>
      <c r="G1968" s="68" t="s">
        <v>285</v>
      </c>
      <c r="H1968" s="69">
        <f t="shared" si="808"/>
        <v>0</v>
      </c>
      <c r="I1968" s="70">
        <f t="shared" si="809"/>
        <v>0</v>
      </c>
      <c r="J1968" s="73" t="str">
        <f t="shared" si="810"/>
        <v>--</v>
      </c>
      <c r="K1968" s="32"/>
      <c r="L1968" s="234"/>
      <c r="M1968" s="278"/>
      <c r="N1968" s="278"/>
      <c r="O1968" s="278"/>
      <c r="P1968" s="278"/>
      <c r="Q1968" s="278"/>
      <c r="R1968" s="278"/>
      <c r="S1968" s="278"/>
      <c r="T1968" s="278"/>
      <c r="U1968" s="27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2" thickBot="1" x14ac:dyDescent="0.35">
      <c r="A1969" s="88"/>
      <c r="B1969" s="319" t="s">
        <v>470</v>
      </c>
      <c r="C1969" s="320"/>
      <c r="D1969" s="79"/>
      <c r="E1969" s="80"/>
      <c r="F1969" s="80"/>
      <c r="G1969" s="81"/>
      <c r="H1969" s="192"/>
      <c r="I1969" s="192"/>
      <c r="J1969" s="192"/>
      <c r="K1969" s="82"/>
      <c r="L1969" s="319" t="s">
        <v>319</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2" thickBot="1" x14ac:dyDescent="0.35">
      <c r="A1970" s="88"/>
      <c r="B1970" s="319" t="s">
        <v>320</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3">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 thickBot="1" x14ac:dyDescent="0.35">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5">
      <c r="A1973" s="88"/>
      <c r="B1973" s="85" t="s">
        <v>471</v>
      </c>
      <c r="C1973" s="25"/>
      <c r="D1973" s="25"/>
      <c r="E1973" s="25"/>
      <c r="F1973" s="88"/>
      <c r="G1973" s="25"/>
      <c r="H1973" s="25"/>
      <c r="I1973" s="87"/>
      <c r="J1973" s="26"/>
      <c r="K1973" s="25"/>
      <c r="L1973" s="25"/>
      <c r="M1973" s="196" t="s">
        <v>217</v>
      </c>
      <c r="N1973" s="196" t="s">
        <v>218</v>
      </c>
      <c r="O1973" s="196" t="s">
        <v>219</v>
      </c>
      <c r="P1973" s="196" t="s">
        <v>220</v>
      </c>
      <c r="Q1973" s="196" t="s">
        <v>221</v>
      </c>
      <c r="R1973" s="196" t="s">
        <v>222</v>
      </c>
      <c r="S1973" s="196" t="s">
        <v>223</v>
      </c>
      <c r="T1973" s="196" t="s">
        <v>224</v>
      </c>
      <c r="U1973" s="196" t="s">
        <v>225</v>
      </c>
      <c r="V1973" s="196" t="s">
        <v>226</v>
      </c>
      <c r="W1973" s="113" t="s">
        <v>227</v>
      </c>
      <c r="X1973" s="196" t="s">
        <v>228</v>
      </c>
      <c r="Y1973" s="25"/>
      <c r="Z1973" s="25"/>
      <c r="AA1973" s="25"/>
      <c r="AB1973" s="25"/>
      <c r="AC1973" s="25"/>
      <c r="AD1973" s="25"/>
      <c r="BA1973" s="226"/>
    </row>
    <row r="1974" spans="1:53" ht="15.6" thickTop="1" thickBot="1" x14ac:dyDescent="0.35">
      <c r="A1974" s="88"/>
      <c r="B1974" s="312" t="s">
        <v>229</v>
      </c>
      <c r="C1974" s="313"/>
      <c r="D1974" s="314" t="s">
        <v>230</v>
      </c>
      <c r="E1974" s="305"/>
      <c r="F1974" s="88"/>
      <c r="G1974" s="315" t="s">
        <v>231</v>
      </c>
      <c r="H1974" s="316"/>
      <c r="I1974" s="28">
        <f>SUM(E1985:E2009)</f>
        <v>0</v>
      </c>
      <c r="J1974" s="317" t="s">
        <v>232</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233</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234</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5">
      <c r="A1975" s="88"/>
      <c r="B1975" s="29" t="s">
        <v>235</v>
      </c>
      <c r="C1975" s="30">
        <v>0</v>
      </c>
      <c r="D1975" s="31" t="s">
        <v>236</v>
      </c>
      <c r="E1975" s="66" t="str">
        <f>TEXT(IF('Cable Calculator'!IJ7="","",'Cable Calculator'!IJ7),)</f>
        <v/>
      </c>
      <c r="F1975" s="88"/>
      <c r="G1975" s="304" t="s">
        <v>237</v>
      </c>
      <c r="H1975" s="305"/>
      <c r="I1975" s="33">
        <f>E1976-I1974</f>
        <v>0</v>
      </c>
      <c r="J1975" s="289" t="s">
        <v>238</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239</v>
      </c>
      <c r="AA1975" s="300" t="s">
        <v>240</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241</v>
      </c>
      <c r="AU1975" s="109">
        <f>COUNTIFS($E1975,"SS",$AS1975,"Y")</f>
        <v>0</v>
      </c>
      <c r="AV1975" s="111">
        <f>COUNTIFS($E1975,"RPX",$AS1975,"Y")</f>
        <v>0</v>
      </c>
      <c r="AW1975" s="111">
        <f>COUNTIFS($E1975,"EUC",$AS1975,"Y")</f>
        <v>0</v>
      </c>
      <c r="AX1975" s="109">
        <f>COUNTIFS($E1975,"RPX-T",$AS1975,"Y")</f>
        <v>0</v>
      </c>
      <c r="BA1975" s="227"/>
    </row>
    <row r="1976" spans="1:53" ht="15.6" thickTop="1" thickBot="1" x14ac:dyDescent="0.35">
      <c r="A1976" s="88"/>
      <c r="B1976" s="36" t="s">
        <v>242</v>
      </c>
      <c r="C1976" s="37">
        <v>0</v>
      </c>
      <c r="D1976" s="38" t="s">
        <v>243</v>
      </c>
      <c r="E1976" s="32"/>
      <c r="F1976" s="88"/>
      <c r="G1976" s="291" t="s">
        <v>244</v>
      </c>
      <c r="H1976" s="292"/>
      <c r="I1976" s="35">
        <f>IF(E1976=0,0,12-(MOD(I1974,12)))</f>
        <v>0</v>
      </c>
      <c r="J1976" s="289" t="s">
        <v>245</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246</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5">
      <c r="A1977" s="88"/>
      <c r="B1977" s="40" t="s">
        <v>247</v>
      </c>
      <c r="C1977" s="30">
        <v>0</v>
      </c>
      <c r="D1977" s="41" t="s">
        <v>248</v>
      </c>
      <c r="E1977" s="42"/>
      <c r="F1977" s="88"/>
      <c r="G1977" s="321" t="s">
        <v>249</v>
      </c>
      <c r="H1977" s="43" t="s">
        <v>250</v>
      </c>
      <c r="I1977" s="35">
        <f>IF(E1977&lt;&gt;0,1,0)</f>
        <v>0</v>
      </c>
      <c r="J1977" s="291" t="s">
        <v>251</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252</v>
      </c>
      <c r="AU1977" s="109">
        <f>COUNTIFS($E1975,"SS",$AS1977,"Y")</f>
        <v>0</v>
      </c>
      <c r="AV1977" s="108">
        <f>COUNTIFS($E1975,"RPX",$AS1977,"Y")</f>
        <v>0</v>
      </c>
      <c r="AW1977" s="108">
        <f>COUNTIFS($E1975,"EUC",$AS1977,"Y")</f>
        <v>0</v>
      </c>
      <c r="AX1977" s="109">
        <f>COUNTIFS($E1975,"RPX-T",$AS1977,"Y")</f>
        <v>0</v>
      </c>
      <c r="BA1977" s="227"/>
    </row>
    <row r="1978" spans="1:53" ht="15.6" thickTop="1" thickBot="1" x14ac:dyDescent="0.35">
      <c r="A1978" s="88"/>
      <c r="B1978" s="29" t="s">
        <v>253</v>
      </c>
      <c r="C1978" s="37">
        <v>0</v>
      </c>
      <c r="D1978" s="41" t="s">
        <v>254</v>
      </c>
      <c r="E1978" s="42"/>
      <c r="F1978" s="88"/>
      <c r="G1978" s="322"/>
      <c r="H1978" s="47" t="s">
        <v>255</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5">
      <c r="A1979" s="88"/>
      <c r="B1979" s="36" t="s">
        <v>256</v>
      </c>
      <c r="C1979" s="30">
        <v>0</v>
      </c>
      <c r="D1979" s="49" t="s">
        <v>257</v>
      </c>
      <c r="E1979" s="50">
        <f>E1976/12</f>
        <v>0</v>
      </c>
      <c r="F1979" s="88"/>
      <c r="G1979" s="321" t="s">
        <v>258</v>
      </c>
      <c r="H1979" s="51" t="s">
        <v>259</v>
      </c>
      <c r="I1979" s="112">
        <f>E1978</f>
        <v>0</v>
      </c>
      <c r="J1979" s="323" t="s">
        <v>260</v>
      </c>
      <c r="K1979" s="324"/>
      <c r="L1979" s="325"/>
      <c r="M1979" s="52" t="s">
        <v>261</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5.6" thickTop="1" thickBot="1" x14ac:dyDescent="0.35">
      <c r="A1980" s="88"/>
      <c r="B1980" s="36" t="s">
        <v>262</v>
      </c>
      <c r="C1980" s="30">
        <v>0</v>
      </c>
      <c r="D1980" s="31" t="s">
        <v>263</v>
      </c>
      <c r="E1980" s="101" t="str">
        <f>IF('Cable Calculator'!IJ5="","",'Cable Calculator'!IJ5)</f>
        <v/>
      </c>
      <c r="F1980" s="88"/>
      <c r="G1980" s="322"/>
      <c r="H1980" s="47" t="s">
        <v>264</v>
      </c>
      <c r="I1980" s="35" t="str">
        <f>IF(E1978="","0",IF(AND(E1975="EUC",E1976=432), I1979+(203-E1977),IF(E1978=0,0,(E1978+(E1976-E1977)-1))))</f>
        <v>0</v>
      </c>
      <c r="J1980" s="286" t="str">
        <f>IFERROR(IF(OR(E1975="EUC",E1975="SS"),"---",IF(OR(P1974,S1974),"NO 2F Tethers for RPX!",IF(OR(P1976,S1976),"NO 6F Tethers for RPX!","---"))),"---")</f>
        <v>---</v>
      </c>
      <c r="K1980" s="287"/>
      <c r="L1980" s="288"/>
      <c r="M1980" s="286" t="str">
        <f>IF(E1977&gt;60,"Dead Count &gt;60: Consider Downsize","---")</f>
        <v>---</v>
      </c>
      <c r="N1980" s="287"/>
      <c r="O1980" s="287"/>
      <c r="P1980" s="287"/>
      <c r="Q1980" s="287"/>
      <c r="R1980" s="287"/>
      <c r="S1980" s="287"/>
      <c r="T1980" s="287"/>
      <c r="U1980" s="288"/>
      <c r="V1980" s="100"/>
      <c r="W1980" s="54">
        <f>SUM(P1980:U1980)</f>
        <v>0</v>
      </c>
      <c r="X1980" s="54"/>
      <c r="Y1980" s="25"/>
      <c r="Z1980" s="45">
        <v>4</v>
      </c>
      <c r="AA1980" s="46">
        <v>37</v>
      </c>
      <c r="AB1980" s="46">
        <v>48</v>
      </c>
      <c r="AC1980" s="25"/>
      <c r="AD1980" s="25"/>
      <c r="BA1980" s="227"/>
    </row>
    <row r="1981" spans="1:53" ht="15.6" thickTop="1" thickBot="1" x14ac:dyDescent="0.35">
      <c r="A1981" s="88"/>
      <c r="B1981" s="55" t="s">
        <v>265</v>
      </c>
      <c r="C1981" s="56">
        <f>SUM(C1975:C1980)+I1974</f>
        <v>0</v>
      </c>
      <c r="D1981" s="31" t="s">
        <v>266</v>
      </c>
      <c r="E1981" s="101" t="str">
        <f>IF(AS1975="Y","DBL",IF(AS1976="Y","TRPL",IF(AS1977="Y","QUAD","")))</f>
        <v/>
      </c>
      <c r="F1981" s="88"/>
      <c r="G1981" s="192"/>
      <c r="H1981" s="57"/>
      <c r="I1981" s="192"/>
      <c r="J1981" s="286"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7"/>
      <c r="L1981" s="288"/>
      <c r="M1981" s="286" t="str">
        <f>IF(AND(OR(E1975="SS",E1975="RPX",E1975="EUC",E1975="RPX-T"),(OR(C1985="",C1985="Field SPL"))),"Cannot have FlexNap cables without tethers","---")</f>
        <v>---</v>
      </c>
      <c r="N1981" s="287"/>
      <c r="O1981" s="287"/>
      <c r="P1981" s="287"/>
      <c r="Q1981" s="287"/>
      <c r="R1981" s="287"/>
      <c r="S1981" s="287"/>
      <c r="T1981" s="287"/>
      <c r="U1981" s="288"/>
      <c r="V1981" s="25"/>
      <c r="W1981" s="58"/>
      <c r="X1981" s="58"/>
      <c r="Y1981" s="25"/>
      <c r="Z1981" s="45">
        <v>5</v>
      </c>
      <c r="AA1981" s="46">
        <v>49</v>
      </c>
      <c r="AB1981" s="46">
        <v>60</v>
      </c>
      <c r="AC1981" s="25"/>
      <c r="AD1981" s="25"/>
      <c r="BA1981" s="227"/>
    </row>
    <row r="1982" spans="1:53" ht="15.6" thickTop="1" thickBot="1" x14ac:dyDescent="0.35">
      <c r="A1982" s="88"/>
      <c r="B1982" s="59"/>
      <c r="C1982" s="60"/>
      <c r="D1982" s="61"/>
      <c r="E1982" s="62"/>
      <c r="F1982" s="88"/>
      <c r="G1982" s="63"/>
      <c r="H1982" s="64"/>
      <c r="I1982" s="63"/>
      <c r="J1982" s="286" t="str">
        <f>IF(AND(OR(E1975="RPX", E1975="RPX-T", E1975="SS"),E1976=216),"NO 216 For RPX, RPX-T, OR SS CABLE","---")</f>
        <v>---</v>
      </c>
      <c r="K1982" s="287"/>
      <c r="L1982" s="288"/>
      <c r="M1982" s="286" t="str" cm="1">
        <f t="array" ref="M1982">IF(AND(E1975="",OR(C1985:C2009="FST",C1985:C2009="REV T",C1985:C2009="DBL REV",C1985:C2009="TPL REV", C1985:C2009="QD REV")),"Non-FlexNap cables cannot have tethers","---")</f>
        <v>---</v>
      </c>
      <c r="N1982" s="287"/>
      <c r="O1982" s="287"/>
      <c r="P1982" s="287"/>
      <c r="Q1982" s="287"/>
      <c r="R1982" s="287"/>
      <c r="S1982" s="287"/>
      <c r="T1982" s="287"/>
      <c r="U1982" s="288"/>
      <c r="V1982" s="25"/>
      <c r="W1982" s="58"/>
      <c r="X1982" s="58"/>
      <c r="Y1982" s="25"/>
      <c r="Z1982" s="45">
        <v>6</v>
      </c>
      <c r="AA1982" s="65">
        <v>61</v>
      </c>
      <c r="AB1982" s="65">
        <v>72</v>
      </c>
      <c r="AC1982" s="25"/>
      <c r="AD1982" s="25"/>
      <c r="BA1982" s="226"/>
    </row>
    <row r="1983" spans="1:53" ht="15.75" customHeight="1" thickBot="1" x14ac:dyDescent="0.35">
      <c r="A1983" s="88"/>
      <c r="B1983" s="321" t="s">
        <v>267</v>
      </c>
      <c r="C1983" s="293" t="s">
        <v>268</v>
      </c>
      <c r="D1983" s="293" t="s">
        <v>269</v>
      </c>
      <c r="E1983" s="306" t="s">
        <v>270</v>
      </c>
      <c r="F1983" s="293" t="s">
        <v>271</v>
      </c>
      <c r="G1983" s="308" t="s">
        <v>272</v>
      </c>
      <c r="H1983" s="308" t="s">
        <v>273</v>
      </c>
      <c r="I1983" s="308" t="s">
        <v>274</v>
      </c>
      <c r="J1983" s="310" t="s">
        <v>275</v>
      </c>
      <c r="K1983" s="293" t="s">
        <v>276</v>
      </c>
      <c r="L1983" s="280" t="s">
        <v>277</v>
      </c>
      <c r="M1983" s="282" t="s">
        <v>278</v>
      </c>
      <c r="N1983" s="282"/>
      <c r="O1983" s="282"/>
      <c r="P1983" s="282"/>
      <c r="Q1983" s="282"/>
      <c r="R1983" s="282"/>
      <c r="S1983" s="282"/>
      <c r="T1983" s="282"/>
      <c r="U1983" s="283"/>
      <c r="V1983" s="107"/>
      <c r="W1983" s="72"/>
      <c r="X1983" s="72"/>
      <c r="Y1983" s="72"/>
      <c r="Z1983" s="45">
        <v>7</v>
      </c>
      <c r="AA1983" s="65">
        <v>73</v>
      </c>
      <c r="AB1983" s="65">
        <v>84</v>
      </c>
      <c r="AC1983" s="25"/>
      <c r="AD1983" s="25"/>
      <c r="BA1983" s="228"/>
    </row>
    <row r="1984" spans="1:53" ht="15" thickBot="1" x14ac:dyDescent="0.35">
      <c r="A1984" s="88"/>
      <c r="B1984" s="322"/>
      <c r="C1984" s="294"/>
      <c r="D1984" s="294"/>
      <c r="E1984" s="307"/>
      <c r="F1984" s="294"/>
      <c r="G1984" s="309"/>
      <c r="H1984" s="309"/>
      <c r="I1984" s="309"/>
      <c r="J1984" s="311"/>
      <c r="K1984" s="294"/>
      <c r="L1984" s="281"/>
      <c r="M1984" s="284"/>
      <c r="N1984" s="284"/>
      <c r="O1984" s="284"/>
      <c r="P1984" s="284"/>
      <c r="Q1984" s="284"/>
      <c r="R1984" s="284"/>
      <c r="S1984" s="284"/>
      <c r="T1984" s="284"/>
      <c r="U1984" s="285"/>
      <c r="V1984" s="107"/>
      <c r="W1984" s="72"/>
      <c r="X1984" s="72"/>
      <c r="Y1984" s="72"/>
      <c r="Z1984" s="45">
        <v>8</v>
      </c>
      <c r="AA1984" s="46">
        <v>85</v>
      </c>
      <c r="AB1984" s="46">
        <v>96</v>
      </c>
      <c r="AC1984" s="25"/>
      <c r="AD1984" s="25"/>
      <c r="AI1984" s="109" t="s">
        <v>279</v>
      </c>
      <c r="AJ1984" s="109" t="s">
        <v>280</v>
      </c>
      <c r="AK1984" s="109" t="s">
        <v>281</v>
      </c>
      <c r="AL1984" s="109" t="s">
        <v>282</v>
      </c>
      <c r="BA1984" s="228"/>
    </row>
    <row r="1985" spans="1:53" ht="15" thickBot="1" x14ac:dyDescent="0.35">
      <c r="A1985" s="88"/>
      <c r="B1985" s="66" t="s">
        <v>283</v>
      </c>
      <c r="C1985" s="67"/>
      <c r="D1985" s="102"/>
      <c r="E1985" s="32"/>
      <c r="F1985" s="32"/>
      <c r="G1985" s="68" t="s">
        <v>285</v>
      </c>
      <c r="H1985" s="69">
        <f>IF(I1985=0,0,I1985-(E1985-1))</f>
        <v>0</v>
      </c>
      <c r="I1985" s="70">
        <f>IF(E1985=0,0,I1980)</f>
        <v>0</v>
      </c>
      <c r="J1985" s="71" t="s">
        <v>286</v>
      </c>
      <c r="K1985" s="32"/>
      <c r="L1985" s="233"/>
      <c r="M1985" s="278"/>
      <c r="N1985" s="278"/>
      <c r="O1985" s="278"/>
      <c r="P1985" s="278"/>
      <c r="Q1985" s="278"/>
      <c r="R1985" s="278"/>
      <c r="S1985" s="278"/>
      <c r="T1985" s="278"/>
      <c r="U1985" s="27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 thickBot="1" x14ac:dyDescent="0.35">
      <c r="A1986" s="88"/>
      <c r="B1986" s="66" t="s">
        <v>288</v>
      </c>
      <c r="C1986" s="67"/>
      <c r="D1986" s="102"/>
      <c r="E1986" s="32"/>
      <c r="F1986" s="32"/>
      <c r="G1986" s="68" t="s">
        <v>285</v>
      </c>
      <c r="H1986" s="69">
        <f t="shared" ref="H1986:H2009" si="825">IF(E1986=0,0,I1986-(E1986-1))</f>
        <v>0</v>
      </c>
      <c r="I1986" s="70">
        <f t="shared" ref="I1986:I2009" si="826">IF(E1986=0,0,H1985-1)</f>
        <v>0</v>
      </c>
      <c r="J1986" s="73" t="str">
        <f>IF(C1986="","--",IF(AND(C1986&lt;&gt;"FST",C1986&lt;&gt;"TCF",BA1985&lt;&gt;0),BA1985,"--"))</f>
        <v>--</v>
      </c>
      <c r="K1986" s="32"/>
      <c r="L1986" s="233"/>
      <c r="M1986" s="278"/>
      <c r="N1986" s="278"/>
      <c r="O1986" s="278"/>
      <c r="P1986" s="278"/>
      <c r="Q1986" s="278"/>
      <c r="R1986" s="278"/>
      <c r="S1986" s="278"/>
      <c r="T1986" s="278"/>
      <c r="U1986" s="27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 thickBot="1" x14ac:dyDescent="0.35">
      <c r="A1987" s="88"/>
      <c r="B1987" s="74" t="s">
        <v>290</v>
      </c>
      <c r="C1987" s="67"/>
      <c r="D1987" s="102"/>
      <c r="E1987" s="32"/>
      <c r="F1987" s="32"/>
      <c r="G1987" s="75" t="s">
        <v>285</v>
      </c>
      <c r="H1987" s="69">
        <f t="shared" si="825"/>
        <v>0</v>
      </c>
      <c r="I1987" s="70">
        <f t="shared" si="826"/>
        <v>0</v>
      </c>
      <c r="J1987" s="73" t="str">
        <f t="shared" ref="J1987:J2009" si="827">IF(C1987="","--",IF(AND(C1987&lt;&gt;"FST",C1987&lt;&gt;"TCF",BA1986&lt;&gt;0),BA1986,"--"))</f>
        <v>--</v>
      </c>
      <c r="K1987" s="32"/>
      <c r="L1987" s="233"/>
      <c r="M1987" s="278"/>
      <c r="N1987" s="278"/>
      <c r="O1987" s="278"/>
      <c r="P1987" s="278"/>
      <c r="Q1987" s="278"/>
      <c r="R1987" s="278"/>
      <c r="S1987" s="278"/>
      <c r="T1987" s="278"/>
      <c r="U1987" s="27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 thickBot="1" x14ac:dyDescent="0.35">
      <c r="A1988" s="88"/>
      <c r="B1988" s="66" t="s">
        <v>292</v>
      </c>
      <c r="C1988" s="67"/>
      <c r="D1988" s="102"/>
      <c r="E1988" s="32"/>
      <c r="F1988" s="32"/>
      <c r="G1988" s="68" t="s">
        <v>285</v>
      </c>
      <c r="H1988" s="69">
        <f t="shared" si="825"/>
        <v>0</v>
      </c>
      <c r="I1988" s="70">
        <f t="shared" si="826"/>
        <v>0</v>
      </c>
      <c r="J1988" s="73" t="str">
        <f t="shared" si="827"/>
        <v>--</v>
      </c>
      <c r="K1988" s="32"/>
      <c r="L1988" s="233"/>
      <c r="M1988" s="278"/>
      <c r="N1988" s="278"/>
      <c r="O1988" s="278"/>
      <c r="P1988" s="278"/>
      <c r="Q1988" s="278"/>
      <c r="R1988" s="278"/>
      <c r="S1988" s="278"/>
      <c r="T1988" s="278"/>
      <c r="U1988" s="27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 thickBot="1" x14ac:dyDescent="0.35">
      <c r="A1989" s="88"/>
      <c r="B1989" s="66" t="s">
        <v>293</v>
      </c>
      <c r="C1989" s="67"/>
      <c r="D1989" s="102"/>
      <c r="E1989" s="32"/>
      <c r="F1989" s="32"/>
      <c r="G1989" s="68" t="s">
        <v>285</v>
      </c>
      <c r="H1989" s="69">
        <f t="shared" si="825"/>
        <v>0</v>
      </c>
      <c r="I1989" s="70">
        <f t="shared" si="826"/>
        <v>0</v>
      </c>
      <c r="J1989" s="73" t="str">
        <f t="shared" si="827"/>
        <v>--</v>
      </c>
      <c r="K1989" s="32"/>
      <c r="L1989" s="233"/>
      <c r="M1989" s="278"/>
      <c r="N1989" s="278"/>
      <c r="O1989" s="278"/>
      <c r="P1989" s="278"/>
      <c r="Q1989" s="278"/>
      <c r="R1989" s="278"/>
      <c r="S1989" s="278"/>
      <c r="T1989" s="278"/>
      <c r="U1989" s="27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 thickBot="1" x14ac:dyDescent="0.35">
      <c r="A1990" s="88"/>
      <c r="B1990" s="66" t="s">
        <v>294</v>
      </c>
      <c r="C1990" s="67"/>
      <c r="D1990" s="102"/>
      <c r="E1990" s="32"/>
      <c r="F1990" s="32"/>
      <c r="G1990" s="68" t="s">
        <v>285</v>
      </c>
      <c r="H1990" s="69">
        <f t="shared" si="825"/>
        <v>0</v>
      </c>
      <c r="I1990" s="70">
        <f t="shared" si="826"/>
        <v>0</v>
      </c>
      <c r="J1990" s="73" t="str">
        <f t="shared" si="827"/>
        <v>--</v>
      </c>
      <c r="K1990" s="32"/>
      <c r="L1990" s="233"/>
      <c r="M1990" s="278"/>
      <c r="N1990" s="278"/>
      <c r="O1990" s="278"/>
      <c r="P1990" s="278"/>
      <c r="Q1990" s="278"/>
      <c r="R1990" s="278"/>
      <c r="S1990" s="278"/>
      <c r="T1990" s="278"/>
      <c r="U1990" s="27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 thickBot="1" x14ac:dyDescent="0.35">
      <c r="A1991" s="88"/>
      <c r="B1991" s="66" t="s">
        <v>295</v>
      </c>
      <c r="C1991" s="67"/>
      <c r="D1991" s="102"/>
      <c r="E1991" s="32"/>
      <c r="F1991" s="32"/>
      <c r="G1991" s="68" t="s">
        <v>285</v>
      </c>
      <c r="H1991" s="69">
        <f t="shared" si="825"/>
        <v>0</v>
      </c>
      <c r="I1991" s="70">
        <f t="shared" si="826"/>
        <v>0</v>
      </c>
      <c r="J1991" s="73" t="str">
        <f t="shared" si="827"/>
        <v>--</v>
      </c>
      <c r="K1991" s="32"/>
      <c r="L1991" s="233"/>
      <c r="M1991" s="278"/>
      <c r="N1991" s="278"/>
      <c r="O1991" s="278"/>
      <c r="P1991" s="278"/>
      <c r="Q1991" s="278"/>
      <c r="R1991" s="278"/>
      <c r="S1991" s="278"/>
      <c r="T1991" s="278"/>
      <c r="U1991" s="27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 thickBot="1" x14ac:dyDescent="0.35">
      <c r="A1992" s="88"/>
      <c r="B1992" s="66" t="s">
        <v>296</v>
      </c>
      <c r="C1992" s="67"/>
      <c r="D1992" s="102"/>
      <c r="E1992" s="32"/>
      <c r="F1992" s="32"/>
      <c r="G1992" s="68" t="s">
        <v>285</v>
      </c>
      <c r="H1992" s="69">
        <f t="shared" si="825"/>
        <v>0</v>
      </c>
      <c r="I1992" s="70">
        <f t="shared" si="826"/>
        <v>0</v>
      </c>
      <c r="J1992" s="73" t="str">
        <f t="shared" si="827"/>
        <v>--</v>
      </c>
      <c r="K1992" s="32"/>
      <c r="L1992" s="233"/>
      <c r="M1992" s="278"/>
      <c r="N1992" s="278"/>
      <c r="O1992" s="278"/>
      <c r="P1992" s="278"/>
      <c r="Q1992" s="278"/>
      <c r="R1992" s="278"/>
      <c r="S1992" s="278"/>
      <c r="T1992" s="278"/>
      <c r="U1992" s="27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 thickBot="1" x14ac:dyDescent="0.35">
      <c r="A1993" s="88"/>
      <c r="B1993" s="66" t="s">
        <v>297</v>
      </c>
      <c r="C1993" s="67"/>
      <c r="D1993" s="102"/>
      <c r="E1993" s="32"/>
      <c r="F1993" s="32"/>
      <c r="G1993" s="68" t="s">
        <v>285</v>
      </c>
      <c r="H1993" s="69">
        <f t="shared" si="825"/>
        <v>0</v>
      </c>
      <c r="I1993" s="70">
        <f t="shared" si="826"/>
        <v>0</v>
      </c>
      <c r="J1993" s="73" t="str">
        <f t="shared" si="827"/>
        <v>--</v>
      </c>
      <c r="K1993" s="32"/>
      <c r="L1993" s="233"/>
      <c r="M1993" s="278"/>
      <c r="N1993" s="278"/>
      <c r="O1993" s="278"/>
      <c r="P1993" s="278"/>
      <c r="Q1993" s="278"/>
      <c r="R1993" s="278"/>
      <c r="S1993" s="278"/>
      <c r="T1993" s="278"/>
      <c r="U1993" s="27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 thickBot="1" x14ac:dyDescent="0.35">
      <c r="A1994" s="88"/>
      <c r="B1994" s="66" t="s">
        <v>298</v>
      </c>
      <c r="C1994" s="67"/>
      <c r="D1994" s="102"/>
      <c r="E1994" s="32"/>
      <c r="F1994" s="32"/>
      <c r="G1994" s="68" t="s">
        <v>285</v>
      </c>
      <c r="H1994" s="69">
        <f t="shared" si="825"/>
        <v>0</v>
      </c>
      <c r="I1994" s="70">
        <f t="shared" si="826"/>
        <v>0</v>
      </c>
      <c r="J1994" s="73" t="str">
        <f t="shared" si="827"/>
        <v>--</v>
      </c>
      <c r="K1994" s="32"/>
      <c r="L1994" s="233"/>
      <c r="M1994" s="278"/>
      <c r="N1994" s="278"/>
      <c r="O1994" s="278"/>
      <c r="P1994" s="278"/>
      <c r="Q1994" s="278"/>
      <c r="R1994" s="278"/>
      <c r="S1994" s="278"/>
      <c r="T1994" s="278"/>
      <c r="U1994" s="27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 thickBot="1" x14ac:dyDescent="0.35">
      <c r="A1995" s="88"/>
      <c r="B1995" s="66" t="s">
        <v>299</v>
      </c>
      <c r="C1995" s="67"/>
      <c r="D1995" s="102"/>
      <c r="E1995" s="32"/>
      <c r="F1995" s="32"/>
      <c r="G1995" s="68" t="s">
        <v>285</v>
      </c>
      <c r="H1995" s="69">
        <f t="shared" si="825"/>
        <v>0</v>
      </c>
      <c r="I1995" s="70">
        <f t="shared" si="826"/>
        <v>0</v>
      </c>
      <c r="J1995" s="73" t="str">
        <f t="shared" si="827"/>
        <v>--</v>
      </c>
      <c r="K1995" s="32"/>
      <c r="L1995" s="233"/>
      <c r="M1995" s="278"/>
      <c r="N1995" s="278"/>
      <c r="O1995" s="278"/>
      <c r="P1995" s="278"/>
      <c r="Q1995" s="278"/>
      <c r="R1995" s="278"/>
      <c r="S1995" s="278"/>
      <c r="T1995" s="278"/>
      <c r="U1995" s="27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 thickBot="1" x14ac:dyDescent="0.35">
      <c r="A1996" s="88"/>
      <c r="B1996" s="66" t="s">
        <v>300</v>
      </c>
      <c r="C1996" s="67"/>
      <c r="D1996" s="102"/>
      <c r="E1996" s="32"/>
      <c r="F1996" s="32"/>
      <c r="G1996" s="68" t="s">
        <v>285</v>
      </c>
      <c r="H1996" s="69">
        <f t="shared" si="825"/>
        <v>0</v>
      </c>
      <c r="I1996" s="70">
        <f t="shared" si="826"/>
        <v>0</v>
      </c>
      <c r="J1996" s="73" t="str">
        <f t="shared" si="827"/>
        <v>--</v>
      </c>
      <c r="K1996" s="32"/>
      <c r="L1996" s="233"/>
      <c r="M1996" s="278"/>
      <c r="N1996" s="278"/>
      <c r="O1996" s="278"/>
      <c r="P1996" s="278"/>
      <c r="Q1996" s="278"/>
      <c r="R1996" s="278"/>
      <c r="S1996" s="278"/>
      <c r="T1996" s="278"/>
      <c r="U1996" s="27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 thickBot="1" x14ac:dyDescent="0.35">
      <c r="A1997" s="88"/>
      <c r="B1997" s="66" t="s">
        <v>301</v>
      </c>
      <c r="C1997" s="67"/>
      <c r="D1997" s="102"/>
      <c r="E1997" s="32"/>
      <c r="F1997" s="32"/>
      <c r="G1997" s="68" t="s">
        <v>285</v>
      </c>
      <c r="H1997" s="69">
        <f t="shared" si="825"/>
        <v>0</v>
      </c>
      <c r="I1997" s="70">
        <f t="shared" si="826"/>
        <v>0</v>
      </c>
      <c r="J1997" s="73" t="str">
        <f t="shared" si="827"/>
        <v>--</v>
      </c>
      <c r="K1997" s="32"/>
      <c r="L1997" s="233"/>
      <c r="M1997" s="278"/>
      <c r="N1997" s="278"/>
      <c r="O1997" s="278"/>
      <c r="P1997" s="278"/>
      <c r="Q1997" s="278"/>
      <c r="R1997" s="278"/>
      <c r="S1997" s="278"/>
      <c r="T1997" s="278"/>
      <c r="U1997" s="27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 thickBot="1" x14ac:dyDescent="0.35">
      <c r="A1998" s="88"/>
      <c r="B1998" s="66" t="s">
        <v>302</v>
      </c>
      <c r="C1998" s="67"/>
      <c r="D1998" s="102"/>
      <c r="E1998" s="32"/>
      <c r="F1998" s="32"/>
      <c r="G1998" s="68" t="s">
        <v>285</v>
      </c>
      <c r="H1998" s="69">
        <f t="shared" si="825"/>
        <v>0</v>
      </c>
      <c r="I1998" s="70">
        <f t="shared" si="826"/>
        <v>0</v>
      </c>
      <c r="J1998" s="73" t="str">
        <f t="shared" si="827"/>
        <v>--</v>
      </c>
      <c r="K1998" s="32"/>
      <c r="L1998" s="233"/>
      <c r="M1998" s="278"/>
      <c r="N1998" s="278"/>
      <c r="O1998" s="278"/>
      <c r="P1998" s="278"/>
      <c r="Q1998" s="278"/>
      <c r="R1998" s="278"/>
      <c r="S1998" s="278"/>
      <c r="T1998" s="278"/>
      <c r="U1998" s="27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 thickBot="1" x14ac:dyDescent="0.35">
      <c r="A1999" s="88"/>
      <c r="B1999" s="66" t="s">
        <v>303</v>
      </c>
      <c r="C1999" s="67"/>
      <c r="D1999" s="102"/>
      <c r="E1999" s="32"/>
      <c r="F1999" s="32"/>
      <c r="G1999" s="68" t="s">
        <v>285</v>
      </c>
      <c r="H1999" s="69">
        <f t="shared" si="825"/>
        <v>0</v>
      </c>
      <c r="I1999" s="70">
        <f t="shared" si="826"/>
        <v>0</v>
      </c>
      <c r="J1999" s="73" t="str">
        <f t="shared" si="827"/>
        <v>--</v>
      </c>
      <c r="K1999" s="32"/>
      <c r="L1999" s="233"/>
      <c r="M1999" s="278"/>
      <c r="N1999" s="278"/>
      <c r="O1999" s="278"/>
      <c r="P1999" s="278"/>
      <c r="Q1999" s="278"/>
      <c r="R1999" s="278"/>
      <c r="S1999" s="278"/>
      <c r="T1999" s="278"/>
      <c r="U1999" s="27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 thickBot="1" x14ac:dyDescent="0.35">
      <c r="A2000" s="88"/>
      <c r="B2000" s="66" t="s">
        <v>304</v>
      </c>
      <c r="C2000" s="67"/>
      <c r="D2000" s="102"/>
      <c r="E2000" s="32"/>
      <c r="F2000" s="32"/>
      <c r="G2000" s="68" t="s">
        <v>285</v>
      </c>
      <c r="H2000" s="69">
        <f t="shared" si="825"/>
        <v>0</v>
      </c>
      <c r="I2000" s="70">
        <f t="shared" si="826"/>
        <v>0</v>
      </c>
      <c r="J2000" s="73" t="str">
        <f t="shared" si="827"/>
        <v>--</v>
      </c>
      <c r="K2000" s="32"/>
      <c r="L2000" s="233"/>
      <c r="M2000" s="278"/>
      <c r="N2000" s="278"/>
      <c r="O2000" s="278"/>
      <c r="P2000" s="278"/>
      <c r="Q2000" s="278"/>
      <c r="R2000" s="278"/>
      <c r="S2000" s="278"/>
      <c r="T2000" s="278"/>
      <c r="U2000" s="27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 thickBot="1" x14ac:dyDescent="0.35">
      <c r="A2001" s="88"/>
      <c r="B2001" s="66" t="s">
        <v>305</v>
      </c>
      <c r="C2001" s="67"/>
      <c r="D2001" s="102"/>
      <c r="E2001" s="32"/>
      <c r="F2001" s="32"/>
      <c r="G2001" s="68" t="s">
        <v>285</v>
      </c>
      <c r="H2001" s="69">
        <f t="shared" si="825"/>
        <v>0</v>
      </c>
      <c r="I2001" s="70">
        <f t="shared" si="826"/>
        <v>0</v>
      </c>
      <c r="J2001" s="73" t="str">
        <f t="shared" si="827"/>
        <v>--</v>
      </c>
      <c r="K2001" s="32"/>
      <c r="L2001" s="233"/>
      <c r="M2001" s="278"/>
      <c r="N2001" s="278"/>
      <c r="O2001" s="278"/>
      <c r="P2001" s="278"/>
      <c r="Q2001" s="278"/>
      <c r="R2001" s="278"/>
      <c r="S2001" s="278"/>
      <c r="T2001" s="278"/>
      <c r="U2001" s="27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 thickBot="1" x14ac:dyDescent="0.35">
      <c r="A2002" s="88"/>
      <c r="B2002" s="66" t="s">
        <v>306</v>
      </c>
      <c r="C2002" s="67"/>
      <c r="D2002" s="102"/>
      <c r="E2002" s="32"/>
      <c r="F2002" s="32"/>
      <c r="G2002" s="68" t="s">
        <v>285</v>
      </c>
      <c r="H2002" s="69">
        <f t="shared" si="825"/>
        <v>0</v>
      </c>
      <c r="I2002" s="70">
        <f t="shared" si="826"/>
        <v>0</v>
      </c>
      <c r="J2002" s="73" t="str">
        <f t="shared" si="827"/>
        <v>--</v>
      </c>
      <c r="K2002" s="32"/>
      <c r="L2002" s="233"/>
      <c r="M2002" s="278"/>
      <c r="N2002" s="278"/>
      <c r="O2002" s="278"/>
      <c r="P2002" s="278"/>
      <c r="Q2002" s="278"/>
      <c r="R2002" s="278"/>
      <c r="S2002" s="278"/>
      <c r="T2002" s="278"/>
      <c r="U2002" s="27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 thickBot="1" x14ac:dyDescent="0.35">
      <c r="A2003" s="88"/>
      <c r="B2003" s="66" t="s">
        <v>307</v>
      </c>
      <c r="C2003" s="67"/>
      <c r="D2003" s="102"/>
      <c r="E2003" s="32"/>
      <c r="F2003" s="32"/>
      <c r="G2003" s="68" t="s">
        <v>285</v>
      </c>
      <c r="H2003" s="69">
        <f t="shared" si="825"/>
        <v>0</v>
      </c>
      <c r="I2003" s="70">
        <f t="shared" si="826"/>
        <v>0</v>
      </c>
      <c r="J2003" s="73" t="str">
        <f t="shared" si="827"/>
        <v>--</v>
      </c>
      <c r="K2003" s="32"/>
      <c r="L2003" s="233"/>
      <c r="M2003" s="278"/>
      <c r="N2003" s="278"/>
      <c r="O2003" s="278"/>
      <c r="P2003" s="278"/>
      <c r="Q2003" s="278"/>
      <c r="R2003" s="278"/>
      <c r="S2003" s="278"/>
      <c r="T2003" s="278"/>
      <c r="U2003" s="27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 thickBot="1" x14ac:dyDescent="0.35">
      <c r="A2004" s="88"/>
      <c r="B2004" s="66" t="s">
        <v>308</v>
      </c>
      <c r="C2004" s="67"/>
      <c r="D2004" s="102"/>
      <c r="E2004" s="32"/>
      <c r="F2004" s="32"/>
      <c r="G2004" s="68" t="s">
        <v>285</v>
      </c>
      <c r="H2004" s="69">
        <f t="shared" si="825"/>
        <v>0</v>
      </c>
      <c r="I2004" s="70">
        <f t="shared" si="826"/>
        <v>0</v>
      </c>
      <c r="J2004" s="73" t="str">
        <f t="shared" si="827"/>
        <v>--</v>
      </c>
      <c r="K2004" s="32"/>
      <c r="L2004" s="233"/>
      <c r="M2004" s="278"/>
      <c r="N2004" s="278"/>
      <c r="O2004" s="278"/>
      <c r="P2004" s="278"/>
      <c r="Q2004" s="278"/>
      <c r="R2004" s="278"/>
      <c r="S2004" s="278"/>
      <c r="T2004" s="278"/>
      <c r="U2004" s="27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 thickBot="1" x14ac:dyDescent="0.35">
      <c r="A2005" s="88"/>
      <c r="B2005" s="66" t="s">
        <v>309</v>
      </c>
      <c r="C2005" s="67"/>
      <c r="D2005" s="102"/>
      <c r="E2005" s="32"/>
      <c r="F2005" s="32"/>
      <c r="G2005" s="68" t="s">
        <v>285</v>
      </c>
      <c r="H2005" s="69">
        <f t="shared" si="825"/>
        <v>0</v>
      </c>
      <c r="I2005" s="70">
        <f t="shared" si="826"/>
        <v>0</v>
      </c>
      <c r="J2005" s="73" t="str">
        <f t="shared" si="827"/>
        <v>--</v>
      </c>
      <c r="K2005" s="32"/>
      <c r="L2005" s="233"/>
      <c r="M2005" s="278"/>
      <c r="N2005" s="278"/>
      <c r="O2005" s="278"/>
      <c r="P2005" s="278"/>
      <c r="Q2005" s="278"/>
      <c r="R2005" s="278"/>
      <c r="S2005" s="278"/>
      <c r="T2005" s="278"/>
      <c r="U2005" s="27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 thickBot="1" x14ac:dyDescent="0.35">
      <c r="A2006" s="88"/>
      <c r="B2006" s="66" t="s">
        <v>310</v>
      </c>
      <c r="C2006" s="67"/>
      <c r="D2006" s="102"/>
      <c r="E2006" s="32"/>
      <c r="F2006" s="32"/>
      <c r="G2006" s="68" t="s">
        <v>285</v>
      </c>
      <c r="H2006" s="69">
        <f t="shared" si="825"/>
        <v>0</v>
      </c>
      <c r="I2006" s="70">
        <f t="shared" si="826"/>
        <v>0</v>
      </c>
      <c r="J2006" s="73" t="str">
        <f t="shared" si="827"/>
        <v>--</v>
      </c>
      <c r="K2006" s="32"/>
      <c r="L2006" s="233"/>
      <c r="M2006" s="278"/>
      <c r="N2006" s="278"/>
      <c r="O2006" s="278"/>
      <c r="P2006" s="278"/>
      <c r="Q2006" s="278"/>
      <c r="R2006" s="278"/>
      <c r="S2006" s="278"/>
      <c r="T2006" s="278"/>
      <c r="U2006" s="27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 thickBot="1" x14ac:dyDescent="0.35">
      <c r="A2007" s="88"/>
      <c r="B2007" s="66" t="s">
        <v>311</v>
      </c>
      <c r="C2007" s="67"/>
      <c r="D2007" s="102"/>
      <c r="E2007" s="32"/>
      <c r="F2007" s="32"/>
      <c r="G2007" s="68" t="s">
        <v>285</v>
      </c>
      <c r="H2007" s="69">
        <f t="shared" si="825"/>
        <v>0</v>
      </c>
      <c r="I2007" s="70">
        <f t="shared" si="826"/>
        <v>0</v>
      </c>
      <c r="J2007" s="73" t="str">
        <f t="shared" si="827"/>
        <v>--</v>
      </c>
      <c r="K2007" s="32"/>
      <c r="L2007" s="233"/>
      <c r="M2007" s="278"/>
      <c r="N2007" s="278"/>
      <c r="O2007" s="278"/>
      <c r="P2007" s="278"/>
      <c r="Q2007" s="278"/>
      <c r="R2007" s="278"/>
      <c r="S2007" s="278"/>
      <c r="T2007" s="278"/>
      <c r="U2007" s="27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 thickBot="1" x14ac:dyDescent="0.35">
      <c r="A2008" s="88"/>
      <c r="B2008" s="66" t="s">
        <v>312</v>
      </c>
      <c r="C2008" s="67"/>
      <c r="D2008" s="102"/>
      <c r="E2008" s="32"/>
      <c r="F2008" s="32"/>
      <c r="G2008" s="68" t="s">
        <v>285</v>
      </c>
      <c r="H2008" s="69">
        <f t="shared" si="825"/>
        <v>0</v>
      </c>
      <c r="I2008" s="70">
        <f t="shared" si="826"/>
        <v>0</v>
      </c>
      <c r="J2008" s="73" t="str">
        <f t="shared" si="827"/>
        <v>--</v>
      </c>
      <c r="K2008" s="32"/>
      <c r="L2008" s="233"/>
      <c r="M2008" s="278"/>
      <c r="N2008" s="278"/>
      <c r="O2008" s="278"/>
      <c r="P2008" s="278"/>
      <c r="Q2008" s="278"/>
      <c r="R2008" s="278"/>
      <c r="S2008" s="278"/>
      <c r="T2008" s="278"/>
      <c r="U2008" s="27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 thickBot="1" x14ac:dyDescent="0.35">
      <c r="A2009" s="88"/>
      <c r="B2009" s="66" t="s">
        <v>313</v>
      </c>
      <c r="C2009" s="67"/>
      <c r="D2009" s="102"/>
      <c r="E2009" s="32"/>
      <c r="F2009" s="32"/>
      <c r="G2009" s="68" t="s">
        <v>285</v>
      </c>
      <c r="H2009" s="69">
        <f t="shared" si="825"/>
        <v>0</v>
      </c>
      <c r="I2009" s="70">
        <f t="shared" si="826"/>
        <v>0</v>
      </c>
      <c r="J2009" s="73" t="str">
        <f t="shared" si="827"/>
        <v>--</v>
      </c>
      <c r="K2009" s="32"/>
      <c r="L2009" s="234"/>
      <c r="M2009" s="278"/>
      <c r="N2009" s="278"/>
      <c r="O2009" s="278"/>
      <c r="P2009" s="278"/>
      <c r="Q2009" s="278"/>
      <c r="R2009" s="278"/>
      <c r="S2009" s="278"/>
      <c r="T2009" s="278"/>
      <c r="U2009" s="27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2" thickBot="1" x14ac:dyDescent="0.35">
      <c r="A2010" s="88"/>
      <c r="B2010" s="319" t="s">
        <v>472</v>
      </c>
      <c r="C2010" s="320"/>
      <c r="D2010" s="79"/>
      <c r="E2010" s="80"/>
      <c r="F2010" s="80"/>
      <c r="G2010" s="81"/>
      <c r="H2010" s="192"/>
      <c r="I2010" s="192"/>
      <c r="J2010" s="192"/>
      <c r="K2010" s="82"/>
      <c r="L2010" s="319" t="s">
        <v>319</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2" thickBot="1" x14ac:dyDescent="0.35">
      <c r="A2011" s="88"/>
      <c r="B2011" s="319" t="s">
        <v>320</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3">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 thickBot="1" x14ac:dyDescent="0.35">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5">
      <c r="A2014" s="88"/>
      <c r="B2014" s="85" t="s">
        <v>473</v>
      </c>
      <c r="C2014" s="25"/>
      <c r="D2014" s="25"/>
      <c r="E2014" s="25"/>
      <c r="F2014" s="88"/>
      <c r="G2014" s="25"/>
      <c r="H2014" s="25"/>
      <c r="I2014" s="87"/>
      <c r="J2014" s="26"/>
      <c r="K2014" s="25"/>
      <c r="L2014" s="25"/>
      <c r="M2014" s="196" t="s">
        <v>217</v>
      </c>
      <c r="N2014" s="196" t="s">
        <v>218</v>
      </c>
      <c r="O2014" s="196" t="s">
        <v>219</v>
      </c>
      <c r="P2014" s="196" t="s">
        <v>220</v>
      </c>
      <c r="Q2014" s="196" t="s">
        <v>221</v>
      </c>
      <c r="R2014" s="196" t="s">
        <v>222</v>
      </c>
      <c r="S2014" s="196" t="s">
        <v>223</v>
      </c>
      <c r="T2014" s="196" t="s">
        <v>224</v>
      </c>
      <c r="U2014" s="196" t="s">
        <v>225</v>
      </c>
      <c r="V2014" s="196" t="s">
        <v>226</v>
      </c>
      <c r="W2014" s="113" t="s">
        <v>227</v>
      </c>
      <c r="X2014" s="196" t="s">
        <v>228</v>
      </c>
      <c r="Y2014" s="25"/>
      <c r="Z2014" s="25"/>
      <c r="AA2014" s="25"/>
      <c r="AB2014" s="25"/>
      <c r="AC2014" s="25"/>
      <c r="AD2014" s="25"/>
      <c r="BA2014" s="226"/>
    </row>
    <row r="2015" spans="1:53" ht="15.6" thickTop="1" thickBot="1" x14ac:dyDescent="0.35">
      <c r="A2015" s="88"/>
      <c r="B2015" s="312" t="s">
        <v>229</v>
      </c>
      <c r="C2015" s="313"/>
      <c r="D2015" s="314" t="s">
        <v>230</v>
      </c>
      <c r="E2015" s="305"/>
      <c r="F2015" s="88"/>
      <c r="G2015" s="315" t="s">
        <v>231</v>
      </c>
      <c r="H2015" s="316"/>
      <c r="I2015" s="28">
        <f>SUM(E2026:E2050)</f>
        <v>0</v>
      </c>
      <c r="J2015" s="317" t="s">
        <v>232</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233</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234</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5">
      <c r="A2016" s="88"/>
      <c r="B2016" s="29" t="s">
        <v>235</v>
      </c>
      <c r="C2016" s="30">
        <v>0</v>
      </c>
      <c r="D2016" s="31" t="s">
        <v>236</v>
      </c>
      <c r="E2016" s="66" t="str">
        <f>TEXT(IF('Cable Calculator'!IO7="","",'Cable Calculator'!IO7),)</f>
        <v/>
      </c>
      <c r="F2016" s="88"/>
      <c r="G2016" s="304" t="s">
        <v>237</v>
      </c>
      <c r="H2016" s="305"/>
      <c r="I2016" s="33">
        <f>E2017-I2015</f>
        <v>0</v>
      </c>
      <c r="J2016" s="289" t="s">
        <v>238</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239</v>
      </c>
      <c r="AA2016" s="300" t="s">
        <v>240</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241</v>
      </c>
      <c r="AU2016" s="109">
        <f>COUNTIFS($E2016,"SS",$AS2016,"Y")</f>
        <v>0</v>
      </c>
      <c r="AV2016" s="111">
        <f>COUNTIFS($E2016,"RPX",$AS2016,"Y")</f>
        <v>0</v>
      </c>
      <c r="AW2016" s="111">
        <f>COUNTIFS($E2016,"EUC",$AS2016,"Y")</f>
        <v>0</v>
      </c>
      <c r="AX2016" s="109">
        <f>COUNTIFS($E2016,"RPX-T",$AS2016,"Y")</f>
        <v>0</v>
      </c>
      <c r="BA2016" s="227"/>
    </row>
    <row r="2017" spans="1:53" ht="15.6" thickTop="1" thickBot="1" x14ac:dyDescent="0.35">
      <c r="A2017" s="88"/>
      <c r="B2017" s="36" t="s">
        <v>242</v>
      </c>
      <c r="C2017" s="37">
        <v>0</v>
      </c>
      <c r="D2017" s="38" t="s">
        <v>243</v>
      </c>
      <c r="E2017" s="32"/>
      <c r="F2017" s="88"/>
      <c r="G2017" s="291" t="s">
        <v>244</v>
      </c>
      <c r="H2017" s="292"/>
      <c r="I2017" s="35">
        <f>IF(E2017=0,0,12-(MOD(I2015,12)))</f>
        <v>0</v>
      </c>
      <c r="J2017" s="289" t="s">
        <v>245</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246</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5">
      <c r="A2018" s="88"/>
      <c r="B2018" s="40" t="s">
        <v>247</v>
      </c>
      <c r="C2018" s="30">
        <v>0</v>
      </c>
      <c r="D2018" s="41" t="s">
        <v>248</v>
      </c>
      <c r="E2018" s="42"/>
      <c r="F2018" s="88"/>
      <c r="G2018" s="321" t="s">
        <v>249</v>
      </c>
      <c r="H2018" s="43" t="s">
        <v>250</v>
      </c>
      <c r="I2018" s="35">
        <f>IF(E2018&lt;&gt;0,1,0)</f>
        <v>0</v>
      </c>
      <c r="J2018" s="291" t="s">
        <v>251</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252</v>
      </c>
      <c r="AU2018" s="109">
        <f>COUNTIFS($E2016,"SS",$AS2018,"Y")</f>
        <v>0</v>
      </c>
      <c r="AV2018" s="108">
        <f>COUNTIFS($E2016,"RPX",$AS2018,"Y")</f>
        <v>0</v>
      </c>
      <c r="AW2018" s="108">
        <f>COUNTIFS($E2016,"EUC",$AS2018,"Y")</f>
        <v>0</v>
      </c>
      <c r="AX2018" s="109">
        <f>COUNTIFS($E2016,"RPX-T",$AS2018,"Y")</f>
        <v>0</v>
      </c>
      <c r="BA2018" s="227"/>
    </row>
    <row r="2019" spans="1:53" ht="15.6" thickTop="1" thickBot="1" x14ac:dyDescent="0.35">
      <c r="A2019" s="88"/>
      <c r="B2019" s="29" t="s">
        <v>253</v>
      </c>
      <c r="C2019" s="37">
        <v>0</v>
      </c>
      <c r="D2019" s="41" t="s">
        <v>254</v>
      </c>
      <c r="E2019" s="42"/>
      <c r="F2019" s="88"/>
      <c r="G2019" s="322"/>
      <c r="H2019" s="47" t="s">
        <v>255</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5">
      <c r="A2020" s="88"/>
      <c r="B2020" s="36" t="s">
        <v>256</v>
      </c>
      <c r="C2020" s="30">
        <v>0</v>
      </c>
      <c r="D2020" s="49" t="s">
        <v>257</v>
      </c>
      <c r="E2020" s="50">
        <f>E2017/12</f>
        <v>0</v>
      </c>
      <c r="F2020" s="88"/>
      <c r="G2020" s="321" t="s">
        <v>258</v>
      </c>
      <c r="H2020" s="51" t="s">
        <v>259</v>
      </c>
      <c r="I2020" s="112">
        <f>E2019</f>
        <v>0</v>
      </c>
      <c r="J2020" s="323" t="s">
        <v>260</v>
      </c>
      <c r="K2020" s="324"/>
      <c r="L2020" s="325"/>
      <c r="M2020" s="52" t="s">
        <v>261</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5.6" thickTop="1" thickBot="1" x14ac:dyDescent="0.35">
      <c r="A2021" s="88"/>
      <c r="B2021" s="36" t="s">
        <v>262</v>
      </c>
      <c r="C2021" s="30">
        <v>0</v>
      </c>
      <c r="D2021" s="31" t="s">
        <v>263</v>
      </c>
      <c r="E2021" s="101" t="str">
        <f>IF('Cable Calculator'!IO5="","",'Cable Calculator'!IO5)</f>
        <v/>
      </c>
      <c r="F2021" s="88"/>
      <c r="G2021" s="322"/>
      <c r="H2021" s="47" t="s">
        <v>264</v>
      </c>
      <c r="I2021" s="35" t="str">
        <f>IF(E2019="","0",IF(AND(E2016="EUC",E2017=432), I2020+(203-E2018),IF(E2019=0,0,(E2019+(E2017-E2018)-1))))</f>
        <v>0</v>
      </c>
      <c r="J2021" s="286" t="str">
        <f>IFERROR(IF(OR(E2016="EUC",E2016="SS"),"---",IF(OR(P2015,S2015),"NO 2F Tethers for RPX!",IF(OR(P2017,S2017),"NO 6F Tethers for RPX!","---"))),"---")</f>
        <v>---</v>
      </c>
      <c r="K2021" s="287"/>
      <c r="L2021" s="288"/>
      <c r="M2021" s="286" t="str">
        <f>IF(E2018&gt;60,"Dead Count &gt;60: Consider Downsize","---")</f>
        <v>---</v>
      </c>
      <c r="N2021" s="287"/>
      <c r="O2021" s="287"/>
      <c r="P2021" s="287"/>
      <c r="Q2021" s="287"/>
      <c r="R2021" s="287"/>
      <c r="S2021" s="287"/>
      <c r="T2021" s="287"/>
      <c r="U2021" s="288"/>
      <c r="V2021" s="100"/>
      <c r="W2021" s="54">
        <f>SUM(P2021:U2021)</f>
        <v>0</v>
      </c>
      <c r="X2021" s="54"/>
      <c r="Y2021" s="25"/>
      <c r="Z2021" s="45">
        <v>4</v>
      </c>
      <c r="AA2021" s="46">
        <v>37</v>
      </c>
      <c r="AB2021" s="46">
        <v>48</v>
      </c>
      <c r="AC2021" s="25"/>
      <c r="AD2021" s="25"/>
      <c r="BA2021" s="227"/>
    </row>
    <row r="2022" spans="1:53" ht="15.6" thickTop="1" thickBot="1" x14ac:dyDescent="0.35">
      <c r="A2022" s="88"/>
      <c r="B2022" s="55" t="s">
        <v>265</v>
      </c>
      <c r="C2022" s="56">
        <f>SUM(C2016:C2021)+I2015</f>
        <v>0</v>
      </c>
      <c r="D2022" s="31" t="s">
        <v>266</v>
      </c>
      <c r="E2022" s="101" t="str">
        <f>IF(AS2016="Y","DBL",IF(AS2017="Y","TRPL",IF(AS2018="Y","QUAD","")))</f>
        <v/>
      </c>
      <c r="F2022" s="88"/>
      <c r="G2022" s="192"/>
      <c r="H2022" s="57"/>
      <c r="I2022" s="192"/>
      <c r="J2022" s="286"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7"/>
      <c r="L2022" s="288"/>
      <c r="M2022" s="286" t="str">
        <f>IF(AND(OR(E2016="SS",E2016="RPX",E2016="EUC",E2016="RPX-T"),(OR(C2026="",C2026="Field SPL"))),"Cannot have FlexNap cables without tethers","---")</f>
        <v>---</v>
      </c>
      <c r="N2022" s="287"/>
      <c r="O2022" s="287"/>
      <c r="P2022" s="287"/>
      <c r="Q2022" s="287"/>
      <c r="R2022" s="287"/>
      <c r="S2022" s="287"/>
      <c r="T2022" s="287"/>
      <c r="U2022" s="288"/>
      <c r="V2022" s="25"/>
      <c r="W2022" s="58"/>
      <c r="X2022" s="58"/>
      <c r="Y2022" s="25"/>
      <c r="Z2022" s="45">
        <v>5</v>
      </c>
      <c r="AA2022" s="46">
        <v>49</v>
      </c>
      <c r="AB2022" s="46">
        <v>60</v>
      </c>
      <c r="AC2022" s="25"/>
      <c r="AD2022" s="25"/>
      <c r="BA2022" s="227"/>
    </row>
    <row r="2023" spans="1:53" ht="15.6" thickTop="1" thickBot="1" x14ac:dyDescent="0.35">
      <c r="A2023" s="88"/>
      <c r="B2023" s="59"/>
      <c r="C2023" s="60"/>
      <c r="D2023" s="61"/>
      <c r="E2023" s="62"/>
      <c r="F2023" s="88"/>
      <c r="G2023" s="63"/>
      <c r="H2023" s="64"/>
      <c r="I2023" s="63"/>
      <c r="J2023" s="286" t="str">
        <f>IF(AND(OR(E2016="RPX", E2016="RPX-T", E2016="SS"),E2017=216),"NO 216 For RPX, RPX-T, OR SS CABLE","---")</f>
        <v>---</v>
      </c>
      <c r="K2023" s="287"/>
      <c r="L2023" s="288"/>
      <c r="M2023" s="286" t="str" cm="1">
        <f t="array" ref="M2023">IF(AND(E2016="",OR(C2026:C2050="FST",C2026:C2050="REV T",C2026:C2050="DBL REV",C2026:C2050="TPL REV", C2026:C2050="QD REV")),"Non-FlexNap cables cannot have tethers","---")</f>
        <v>---</v>
      </c>
      <c r="N2023" s="287"/>
      <c r="O2023" s="287"/>
      <c r="P2023" s="287"/>
      <c r="Q2023" s="287"/>
      <c r="R2023" s="287"/>
      <c r="S2023" s="287"/>
      <c r="T2023" s="287"/>
      <c r="U2023" s="288"/>
      <c r="V2023" s="25"/>
      <c r="W2023" s="58"/>
      <c r="X2023" s="58"/>
      <c r="Y2023" s="25"/>
      <c r="Z2023" s="45">
        <v>6</v>
      </c>
      <c r="AA2023" s="65">
        <v>61</v>
      </c>
      <c r="AB2023" s="65">
        <v>72</v>
      </c>
      <c r="AC2023" s="25"/>
      <c r="AD2023" s="25"/>
      <c r="BA2023" s="226"/>
    </row>
    <row r="2024" spans="1:53" ht="15.75" customHeight="1" thickBot="1" x14ac:dyDescent="0.35">
      <c r="A2024" s="88"/>
      <c r="B2024" s="321" t="s">
        <v>267</v>
      </c>
      <c r="C2024" s="293" t="s">
        <v>268</v>
      </c>
      <c r="D2024" s="293" t="s">
        <v>269</v>
      </c>
      <c r="E2024" s="306" t="s">
        <v>270</v>
      </c>
      <c r="F2024" s="293" t="s">
        <v>271</v>
      </c>
      <c r="G2024" s="308" t="s">
        <v>272</v>
      </c>
      <c r="H2024" s="308" t="s">
        <v>273</v>
      </c>
      <c r="I2024" s="308" t="s">
        <v>274</v>
      </c>
      <c r="J2024" s="310" t="s">
        <v>275</v>
      </c>
      <c r="K2024" s="293" t="s">
        <v>276</v>
      </c>
      <c r="L2024" s="280" t="s">
        <v>277</v>
      </c>
      <c r="M2024" s="282" t="s">
        <v>278</v>
      </c>
      <c r="N2024" s="282"/>
      <c r="O2024" s="282"/>
      <c r="P2024" s="282"/>
      <c r="Q2024" s="282"/>
      <c r="R2024" s="282"/>
      <c r="S2024" s="282"/>
      <c r="T2024" s="282"/>
      <c r="U2024" s="283"/>
      <c r="V2024" s="107"/>
      <c r="W2024" s="72"/>
      <c r="X2024" s="72"/>
      <c r="Y2024" s="72"/>
      <c r="Z2024" s="45">
        <v>7</v>
      </c>
      <c r="AA2024" s="65">
        <v>73</v>
      </c>
      <c r="AB2024" s="65">
        <v>84</v>
      </c>
      <c r="AC2024" s="25"/>
      <c r="AD2024" s="25"/>
      <c r="BA2024" s="228"/>
    </row>
    <row r="2025" spans="1:53" ht="15" thickBot="1" x14ac:dyDescent="0.35">
      <c r="A2025" s="88"/>
      <c r="B2025" s="322"/>
      <c r="C2025" s="294"/>
      <c r="D2025" s="294"/>
      <c r="E2025" s="307"/>
      <c r="F2025" s="294"/>
      <c r="G2025" s="309"/>
      <c r="H2025" s="309"/>
      <c r="I2025" s="309"/>
      <c r="J2025" s="311"/>
      <c r="K2025" s="294"/>
      <c r="L2025" s="281"/>
      <c r="M2025" s="284"/>
      <c r="N2025" s="284"/>
      <c r="O2025" s="284"/>
      <c r="P2025" s="284"/>
      <c r="Q2025" s="284"/>
      <c r="R2025" s="284"/>
      <c r="S2025" s="284"/>
      <c r="T2025" s="284"/>
      <c r="U2025" s="285"/>
      <c r="V2025" s="107"/>
      <c r="W2025" s="72"/>
      <c r="X2025" s="72"/>
      <c r="Y2025" s="72"/>
      <c r="Z2025" s="45">
        <v>8</v>
      </c>
      <c r="AA2025" s="46">
        <v>85</v>
      </c>
      <c r="AB2025" s="46">
        <v>96</v>
      </c>
      <c r="AC2025" s="25"/>
      <c r="AD2025" s="25"/>
      <c r="AI2025" s="109" t="s">
        <v>279</v>
      </c>
      <c r="AJ2025" s="109" t="s">
        <v>280</v>
      </c>
      <c r="AK2025" s="109" t="s">
        <v>281</v>
      </c>
      <c r="AL2025" s="109" t="s">
        <v>282</v>
      </c>
      <c r="BA2025" s="228"/>
    </row>
    <row r="2026" spans="1:53" ht="15" thickBot="1" x14ac:dyDescent="0.35">
      <c r="A2026" s="88"/>
      <c r="B2026" s="66" t="s">
        <v>283</v>
      </c>
      <c r="C2026" s="67"/>
      <c r="D2026" s="102"/>
      <c r="E2026" s="32"/>
      <c r="F2026" s="32"/>
      <c r="G2026" s="68" t="s">
        <v>285</v>
      </c>
      <c r="H2026" s="69">
        <f>IF(I2026=0,0,I2026-(E2026-1))</f>
        <v>0</v>
      </c>
      <c r="I2026" s="70">
        <f>IF(E2026=0,0,I2021)</f>
        <v>0</v>
      </c>
      <c r="J2026" s="71" t="s">
        <v>286</v>
      </c>
      <c r="K2026" s="32"/>
      <c r="L2026" s="233"/>
      <c r="M2026" s="278"/>
      <c r="N2026" s="278"/>
      <c r="O2026" s="278"/>
      <c r="P2026" s="278"/>
      <c r="Q2026" s="278"/>
      <c r="R2026" s="278"/>
      <c r="S2026" s="278"/>
      <c r="T2026" s="278"/>
      <c r="U2026" s="27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 thickBot="1" x14ac:dyDescent="0.35">
      <c r="A2027" s="88"/>
      <c r="B2027" s="66" t="s">
        <v>288</v>
      </c>
      <c r="C2027" s="67"/>
      <c r="D2027" s="102"/>
      <c r="E2027" s="32"/>
      <c r="F2027" s="32"/>
      <c r="G2027" s="68" t="s">
        <v>285</v>
      </c>
      <c r="H2027" s="69">
        <f t="shared" ref="H2027:H2050" si="842">IF(E2027=0,0,I2027-(E2027-1))</f>
        <v>0</v>
      </c>
      <c r="I2027" s="70">
        <f t="shared" ref="I2027:I2050" si="843">IF(E2027=0,0,H2026-1)</f>
        <v>0</v>
      </c>
      <c r="J2027" s="73" t="str">
        <f>IF(C2027="","--",IF(AND(C2027&lt;&gt;"FST",C2027&lt;&gt;"TCF",BA2026&lt;&gt;0),BA2026,"--"))</f>
        <v>--</v>
      </c>
      <c r="K2027" s="32"/>
      <c r="L2027" s="233"/>
      <c r="M2027" s="278"/>
      <c r="N2027" s="278"/>
      <c r="O2027" s="278"/>
      <c r="P2027" s="278"/>
      <c r="Q2027" s="278"/>
      <c r="R2027" s="278"/>
      <c r="S2027" s="278"/>
      <c r="T2027" s="278"/>
      <c r="U2027" s="27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 thickBot="1" x14ac:dyDescent="0.35">
      <c r="A2028" s="88"/>
      <c r="B2028" s="74" t="s">
        <v>290</v>
      </c>
      <c r="C2028" s="67"/>
      <c r="D2028" s="102"/>
      <c r="E2028" s="32"/>
      <c r="F2028" s="32"/>
      <c r="G2028" s="75" t="s">
        <v>285</v>
      </c>
      <c r="H2028" s="69">
        <f t="shared" si="842"/>
        <v>0</v>
      </c>
      <c r="I2028" s="70">
        <f t="shared" si="843"/>
        <v>0</v>
      </c>
      <c r="J2028" s="73" t="str">
        <f t="shared" ref="J2028:J2050" si="844">IF(C2028="","--",IF(AND(C2028&lt;&gt;"FST",C2028&lt;&gt;"TCF",BA2027&lt;&gt;0),BA2027,"--"))</f>
        <v>--</v>
      </c>
      <c r="K2028" s="32"/>
      <c r="L2028" s="233"/>
      <c r="M2028" s="278"/>
      <c r="N2028" s="278"/>
      <c r="O2028" s="278"/>
      <c r="P2028" s="278"/>
      <c r="Q2028" s="278"/>
      <c r="R2028" s="278"/>
      <c r="S2028" s="278"/>
      <c r="T2028" s="278"/>
      <c r="U2028" s="27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 thickBot="1" x14ac:dyDescent="0.35">
      <c r="A2029" s="88"/>
      <c r="B2029" s="66" t="s">
        <v>292</v>
      </c>
      <c r="C2029" s="67"/>
      <c r="D2029" s="102"/>
      <c r="E2029" s="32"/>
      <c r="F2029" s="32"/>
      <c r="G2029" s="68" t="s">
        <v>285</v>
      </c>
      <c r="H2029" s="69">
        <f t="shared" si="842"/>
        <v>0</v>
      </c>
      <c r="I2029" s="70">
        <f t="shared" si="843"/>
        <v>0</v>
      </c>
      <c r="J2029" s="73" t="str">
        <f t="shared" si="844"/>
        <v>--</v>
      </c>
      <c r="K2029" s="32"/>
      <c r="L2029" s="233"/>
      <c r="M2029" s="278"/>
      <c r="N2029" s="278"/>
      <c r="O2029" s="278"/>
      <c r="P2029" s="278"/>
      <c r="Q2029" s="278"/>
      <c r="R2029" s="278"/>
      <c r="S2029" s="278"/>
      <c r="T2029" s="278"/>
      <c r="U2029" s="27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 thickBot="1" x14ac:dyDescent="0.35">
      <c r="A2030" s="88"/>
      <c r="B2030" s="66" t="s">
        <v>293</v>
      </c>
      <c r="C2030" s="67"/>
      <c r="D2030" s="102"/>
      <c r="E2030" s="32"/>
      <c r="F2030" s="32"/>
      <c r="G2030" s="68" t="s">
        <v>285</v>
      </c>
      <c r="H2030" s="69">
        <f t="shared" si="842"/>
        <v>0</v>
      </c>
      <c r="I2030" s="70">
        <f t="shared" si="843"/>
        <v>0</v>
      </c>
      <c r="J2030" s="73" t="str">
        <f t="shared" si="844"/>
        <v>--</v>
      </c>
      <c r="K2030" s="32"/>
      <c r="L2030" s="233"/>
      <c r="M2030" s="278"/>
      <c r="N2030" s="278"/>
      <c r="O2030" s="278"/>
      <c r="P2030" s="278"/>
      <c r="Q2030" s="278"/>
      <c r="R2030" s="278"/>
      <c r="S2030" s="278"/>
      <c r="T2030" s="278"/>
      <c r="U2030" s="27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 thickBot="1" x14ac:dyDescent="0.35">
      <c r="A2031" s="88"/>
      <c r="B2031" s="66" t="s">
        <v>294</v>
      </c>
      <c r="C2031" s="67"/>
      <c r="D2031" s="102"/>
      <c r="E2031" s="32"/>
      <c r="F2031" s="32"/>
      <c r="G2031" s="68" t="s">
        <v>285</v>
      </c>
      <c r="H2031" s="69">
        <f t="shared" si="842"/>
        <v>0</v>
      </c>
      <c r="I2031" s="70">
        <f t="shared" si="843"/>
        <v>0</v>
      </c>
      <c r="J2031" s="73" t="str">
        <f t="shared" si="844"/>
        <v>--</v>
      </c>
      <c r="K2031" s="32"/>
      <c r="L2031" s="233"/>
      <c r="M2031" s="278"/>
      <c r="N2031" s="278"/>
      <c r="O2031" s="278"/>
      <c r="P2031" s="278"/>
      <c r="Q2031" s="278"/>
      <c r="R2031" s="278"/>
      <c r="S2031" s="278"/>
      <c r="T2031" s="278"/>
      <c r="U2031" s="27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 thickBot="1" x14ac:dyDescent="0.35">
      <c r="A2032" s="88"/>
      <c r="B2032" s="66" t="s">
        <v>295</v>
      </c>
      <c r="C2032" s="67"/>
      <c r="D2032" s="102"/>
      <c r="E2032" s="32"/>
      <c r="F2032" s="32"/>
      <c r="G2032" s="68" t="s">
        <v>285</v>
      </c>
      <c r="H2032" s="69">
        <f t="shared" si="842"/>
        <v>0</v>
      </c>
      <c r="I2032" s="70">
        <f t="shared" si="843"/>
        <v>0</v>
      </c>
      <c r="J2032" s="73" t="str">
        <f t="shared" si="844"/>
        <v>--</v>
      </c>
      <c r="K2032" s="32"/>
      <c r="L2032" s="233"/>
      <c r="M2032" s="278"/>
      <c r="N2032" s="278"/>
      <c r="O2032" s="278"/>
      <c r="P2032" s="278"/>
      <c r="Q2032" s="278"/>
      <c r="R2032" s="278"/>
      <c r="S2032" s="278"/>
      <c r="T2032" s="278"/>
      <c r="U2032" s="27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 thickBot="1" x14ac:dyDescent="0.35">
      <c r="A2033" s="88"/>
      <c r="B2033" s="66" t="s">
        <v>296</v>
      </c>
      <c r="C2033" s="67"/>
      <c r="D2033" s="102"/>
      <c r="E2033" s="32"/>
      <c r="F2033" s="32"/>
      <c r="G2033" s="68" t="s">
        <v>285</v>
      </c>
      <c r="H2033" s="69">
        <f t="shared" si="842"/>
        <v>0</v>
      </c>
      <c r="I2033" s="70">
        <f t="shared" si="843"/>
        <v>0</v>
      </c>
      <c r="J2033" s="73" t="str">
        <f t="shared" si="844"/>
        <v>--</v>
      </c>
      <c r="K2033" s="32"/>
      <c r="L2033" s="233"/>
      <c r="M2033" s="278"/>
      <c r="N2033" s="278"/>
      <c r="O2033" s="278"/>
      <c r="P2033" s="278"/>
      <c r="Q2033" s="278"/>
      <c r="R2033" s="278"/>
      <c r="S2033" s="278"/>
      <c r="T2033" s="278"/>
      <c r="U2033" s="27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 thickBot="1" x14ac:dyDescent="0.35">
      <c r="A2034" s="88"/>
      <c r="B2034" s="66" t="s">
        <v>297</v>
      </c>
      <c r="C2034" s="67"/>
      <c r="D2034" s="102"/>
      <c r="E2034" s="32"/>
      <c r="F2034" s="32"/>
      <c r="G2034" s="68" t="s">
        <v>285</v>
      </c>
      <c r="H2034" s="69">
        <f t="shared" si="842"/>
        <v>0</v>
      </c>
      <c r="I2034" s="70">
        <f t="shared" si="843"/>
        <v>0</v>
      </c>
      <c r="J2034" s="73" t="str">
        <f t="shared" si="844"/>
        <v>--</v>
      </c>
      <c r="K2034" s="32"/>
      <c r="L2034" s="233"/>
      <c r="M2034" s="278"/>
      <c r="N2034" s="278"/>
      <c r="O2034" s="278"/>
      <c r="P2034" s="278"/>
      <c r="Q2034" s="278"/>
      <c r="R2034" s="278"/>
      <c r="S2034" s="278"/>
      <c r="T2034" s="278"/>
      <c r="U2034" s="27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 thickBot="1" x14ac:dyDescent="0.35">
      <c r="A2035" s="88"/>
      <c r="B2035" s="66" t="s">
        <v>298</v>
      </c>
      <c r="C2035" s="67"/>
      <c r="D2035" s="102"/>
      <c r="E2035" s="32"/>
      <c r="F2035" s="32"/>
      <c r="G2035" s="68" t="s">
        <v>285</v>
      </c>
      <c r="H2035" s="69">
        <f t="shared" si="842"/>
        <v>0</v>
      </c>
      <c r="I2035" s="70">
        <f t="shared" si="843"/>
        <v>0</v>
      </c>
      <c r="J2035" s="73" t="str">
        <f t="shared" si="844"/>
        <v>--</v>
      </c>
      <c r="K2035" s="32"/>
      <c r="L2035" s="233"/>
      <c r="M2035" s="278"/>
      <c r="N2035" s="278"/>
      <c r="O2035" s="278"/>
      <c r="P2035" s="278"/>
      <c r="Q2035" s="278"/>
      <c r="R2035" s="278"/>
      <c r="S2035" s="278"/>
      <c r="T2035" s="278"/>
      <c r="U2035" s="27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 thickBot="1" x14ac:dyDescent="0.35">
      <c r="A2036" s="88"/>
      <c r="B2036" s="66" t="s">
        <v>299</v>
      </c>
      <c r="C2036" s="67"/>
      <c r="D2036" s="102"/>
      <c r="E2036" s="32"/>
      <c r="F2036" s="32"/>
      <c r="G2036" s="68" t="s">
        <v>285</v>
      </c>
      <c r="H2036" s="69">
        <f t="shared" si="842"/>
        <v>0</v>
      </c>
      <c r="I2036" s="70">
        <f t="shared" si="843"/>
        <v>0</v>
      </c>
      <c r="J2036" s="73" t="str">
        <f t="shared" si="844"/>
        <v>--</v>
      </c>
      <c r="K2036" s="32"/>
      <c r="L2036" s="233"/>
      <c r="M2036" s="278"/>
      <c r="N2036" s="278"/>
      <c r="O2036" s="278"/>
      <c r="P2036" s="278"/>
      <c r="Q2036" s="278"/>
      <c r="R2036" s="278"/>
      <c r="S2036" s="278"/>
      <c r="T2036" s="278"/>
      <c r="U2036" s="27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 thickBot="1" x14ac:dyDescent="0.35">
      <c r="A2037" s="88"/>
      <c r="B2037" s="66" t="s">
        <v>300</v>
      </c>
      <c r="C2037" s="67"/>
      <c r="D2037" s="102"/>
      <c r="E2037" s="32"/>
      <c r="F2037" s="32"/>
      <c r="G2037" s="68" t="s">
        <v>285</v>
      </c>
      <c r="H2037" s="69">
        <f t="shared" si="842"/>
        <v>0</v>
      </c>
      <c r="I2037" s="70">
        <f t="shared" si="843"/>
        <v>0</v>
      </c>
      <c r="J2037" s="73" t="str">
        <f t="shared" si="844"/>
        <v>--</v>
      </c>
      <c r="K2037" s="32"/>
      <c r="L2037" s="233"/>
      <c r="M2037" s="278"/>
      <c r="N2037" s="278"/>
      <c r="O2037" s="278"/>
      <c r="P2037" s="278"/>
      <c r="Q2037" s="278"/>
      <c r="R2037" s="278"/>
      <c r="S2037" s="278"/>
      <c r="T2037" s="278"/>
      <c r="U2037" s="27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 thickBot="1" x14ac:dyDescent="0.35">
      <c r="A2038" s="88"/>
      <c r="B2038" s="66" t="s">
        <v>301</v>
      </c>
      <c r="C2038" s="67"/>
      <c r="D2038" s="102"/>
      <c r="E2038" s="32"/>
      <c r="F2038" s="32"/>
      <c r="G2038" s="68" t="s">
        <v>285</v>
      </c>
      <c r="H2038" s="69">
        <f t="shared" si="842"/>
        <v>0</v>
      </c>
      <c r="I2038" s="70">
        <f t="shared" si="843"/>
        <v>0</v>
      </c>
      <c r="J2038" s="73" t="str">
        <f t="shared" si="844"/>
        <v>--</v>
      </c>
      <c r="K2038" s="32"/>
      <c r="L2038" s="233"/>
      <c r="M2038" s="278"/>
      <c r="N2038" s="278"/>
      <c r="O2038" s="278"/>
      <c r="P2038" s="278"/>
      <c r="Q2038" s="278"/>
      <c r="R2038" s="278"/>
      <c r="S2038" s="278"/>
      <c r="T2038" s="278"/>
      <c r="U2038" s="27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 thickBot="1" x14ac:dyDescent="0.35">
      <c r="A2039" s="88"/>
      <c r="B2039" s="66" t="s">
        <v>302</v>
      </c>
      <c r="C2039" s="67"/>
      <c r="D2039" s="102"/>
      <c r="E2039" s="32"/>
      <c r="F2039" s="32"/>
      <c r="G2039" s="68" t="s">
        <v>285</v>
      </c>
      <c r="H2039" s="69">
        <f t="shared" si="842"/>
        <v>0</v>
      </c>
      <c r="I2039" s="70">
        <f t="shared" si="843"/>
        <v>0</v>
      </c>
      <c r="J2039" s="73" t="str">
        <f t="shared" si="844"/>
        <v>--</v>
      </c>
      <c r="K2039" s="32"/>
      <c r="L2039" s="233"/>
      <c r="M2039" s="278"/>
      <c r="N2039" s="278"/>
      <c r="O2039" s="278"/>
      <c r="P2039" s="278"/>
      <c r="Q2039" s="278"/>
      <c r="R2039" s="278"/>
      <c r="S2039" s="278"/>
      <c r="T2039" s="278"/>
      <c r="U2039" s="27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 thickBot="1" x14ac:dyDescent="0.35">
      <c r="A2040" s="88"/>
      <c r="B2040" s="66" t="s">
        <v>303</v>
      </c>
      <c r="C2040" s="67"/>
      <c r="D2040" s="102"/>
      <c r="E2040" s="32"/>
      <c r="F2040" s="32"/>
      <c r="G2040" s="68" t="s">
        <v>285</v>
      </c>
      <c r="H2040" s="69">
        <f t="shared" si="842"/>
        <v>0</v>
      </c>
      <c r="I2040" s="70">
        <f t="shared" si="843"/>
        <v>0</v>
      </c>
      <c r="J2040" s="73" t="str">
        <f t="shared" si="844"/>
        <v>--</v>
      </c>
      <c r="K2040" s="32"/>
      <c r="L2040" s="233"/>
      <c r="M2040" s="278"/>
      <c r="N2040" s="278"/>
      <c r="O2040" s="278"/>
      <c r="P2040" s="278"/>
      <c r="Q2040" s="278"/>
      <c r="R2040" s="278"/>
      <c r="S2040" s="278"/>
      <c r="T2040" s="278"/>
      <c r="U2040" s="27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 thickBot="1" x14ac:dyDescent="0.35">
      <c r="A2041" s="88"/>
      <c r="B2041" s="66" t="s">
        <v>304</v>
      </c>
      <c r="C2041" s="67"/>
      <c r="D2041" s="102"/>
      <c r="E2041" s="32"/>
      <c r="F2041" s="32"/>
      <c r="G2041" s="68" t="s">
        <v>285</v>
      </c>
      <c r="H2041" s="69">
        <f t="shared" si="842"/>
        <v>0</v>
      </c>
      <c r="I2041" s="70">
        <f t="shared" si="843"/>
        <v>0</v>
      </c>
      <c r="J2041" s="73" t="str">
        <f t="shared" si="844"/>
        <v>--</v>
      </c>
      <c r="K2041" s="32"/>
      <c r="L2041" s="233"/>
      <c r="M2041" s="278"/>
      <c r="N2041" s="278"/>
      <c r="O2041" s="278"/>
      <c r="P2041" s="278"/>
      <c r="Q2041" s="278"/>
      <c r="R2041" s="278"/>
      <c r="S2041" s="278"/>
      <c r="T2041" s="278"/>
      <c r="U2041" s="27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 thickBot="1" x14ac:dyDescent="0.35">
      <c r="A2042" s="88"/>
      <c r="B2042" s="66" t="s">
        <v>305</v>
      </c>
      <c r="C2042" s="67"/>
      <c r="D2042" s="102"/>
      <c r="E2042" s="32"/>
      <c r="F2042" s="32"/>
      <c r="G2042" s="68" t="s">
        <v>285</v>
      </c>
      <c r="H2042" s="69">
        <f t="shared" si="842"/>
        <v>0</v>
      </c>
      <c r="I2042" s="70">
        <f t="shared" si="843"/>
        <v>0</v>
      </c>
      <c r="J2042" s="73" t="str">
        <f t="shared" si="844"/>
        <v>--</v>
      </c>
      <c r="K2042" s="32"/>
      <c r="L2042" s="233"/>
      <c r="M2042" s="278"/>
      <c r="N2042" s="278"/>
      <c r="O2042" s="278"/>
      <c r="P2042" s="278"/>
      <c r="Q2042" s="278"/>
      <c r="R2042" s="278"/>
      <c r="S2042" s="278"/>
      <c r="T2042" s="278"/>
      <c r="U2042" s="27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 thickBot="1" x14ac:dyDescent="0.35">
      <c r="A2043" s="88"/>
      <c r="B2043" s="66" t="s">
        <v>306</v>
      </c>
      <c r="C2043" s="67"/>
      <c r="D2043" s="102"/>
      <c r="E2043" s="32"/>
      <c r="F2043" s="32"/>
      <c r="G2043" s="68" t="s">
        <v>285</v>
      </c>
      <c r="H2043" s="69">
        <f t="shared" si="842"/>
        <v>0</v>
      </c>
      <c r="I2043" s="70">
        <f t="shared" si="843"/>
        <v>0</v>
      </c>
      <c r="J2043" s="73" t="str">
        <f t="shared" si="844"/>
        <v>--</v>
      </c>
      <c r="K2043" s="32"/>
      <c r="L2043" s="233"/>
      <c r="M2043" s="278"/>
      <c r="N2043" s="278"/>
      <c r="O2043" s="278"/>
      <c r="P2043" s="278"/>
      <c r="Q2043" s="278"/>
      <c r="R2043" s="278"/>
      <c r="S2043" s="278"/>
      <c r="T2043" s="278"/>
      <c r="U2043" s="27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 thickBot="1" x14ac:dyDescent="0.35">
      <c r="A2044" s="88"/>
      <c r="B2044" s="66" t="s">
        <v>307</v>
      </c>
      <c r="C2044" s="67"/>
      <c r="D2044" s="102"/>
      <c r="E2044" s="32"/>
      <c r="F2044" s="32"/>
      <c r="G2044" s="68" t="s">
        <v>285</v>
      </c>
      <c r="H2044" s="69">
        <f t="shared" si="842"/>
        <v>0</v>
      </c>
      <c r="I2044" s="70">
        <f t="shared" si="843"/>
        <v>0</v>
      </c>
      <c r="J2044" s="73" t="str">
        <f t="shared" si="844"/>
        <v>--</v>
      </c>
      <c r="K2044" s="32"/>
      <c r="L2044" s="233"/>
      <c r="M2044" s="278"/>
      <c r="N2044" s="278"/>
      <c r="O2044" s="278"/>
      <c r="P2044" s="278"/>
      <c r="Q2044" s="278"/>
      <c r="R2044" s="278"/>
      <c r="S2044" s="278"/>
      <c r="T2044" s="278"/>
      <c r="U2044" s="27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 thickBot="1" x14ac:dyDescent="0.35">
      <c r="A2045" s="88"/>
      <c r="B2045" s="66" t="s">
        <v>308</v>
      </c>
      <c r="C2045" s="67"/>
      <c r="D2045" s="102"/>
      <c r="E2045" s="32"/>
      <c r="F2045" s="32"/>
      <c r="G2045" s="68" t="s">
        <v>285</v>
      </c>
      <c r="H2045" s="69">
        <f t="shared" si="842"/>
        <v>0</v>
      </c>
      <c r="I2045" s="70">
        <f t="shared" si="843"/>
        <v>0</v>
      </c>
      <c r="J2045" s="73" t="str">
        <f t="shared" si="844"/>
        <v>--</v>
      </c>
      <c r="K2045" s="32"/>
      <c r="L2045" s="233"/>
      <c r="M2045" s="278"/>
      <c r="N2045" s="278"/>
      <c r="O2045" s="278"/>
      <c r="P2045" s="278"/>
      <c r="Q2045" s="278"/>
      <c r="R2045" s="278"/>
      <c r="S2045" s="278"/>
      <c r="T2045" s="278"/>
      <c r="U2045" s="27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 thickBot="1" x14ac:dyDescent="0.35">
      <c r="A2046" s="88"/>
      <c r="B2046" s="66" t="s">
        <v>309</v>
      </c>
      <c r="C2046" s="67"/>
      <c r="D2046" s="102"/>
      <c r="E2046" s="32"/>
      <c r="F2046" s="32"/>
      <c r="G2046" s="68" t="s">
        <v>285</v>
      </c>
      <c r="H2046" s="69">
        <f t="shared" si="842"/>
        <v>0</v>
      </c>
      <c r="I2046" s="70">
        <f t="shared" si="843"/>
        <v>0</v>
      </c>
      <c r="J2046" s="73" t="str">
        <f t="shared" si="844"/>
        <v>--</v>
      </c>
      <c r="K2046" s="32"/>
      <c r="L2046" s="233"/>
      <c r="M2046" s="278"/>
      <c r="N2046" s="278"/>
      <c r="O2046" s="278"/>
      <c r="P2046" s="278"/>
      <c r="Q2046" s="278"/>
      <c r="R2046" s="278"/>
      <c r="S2046" s="278"/>
      <c r="T2046" s="278"/>
      <c r="U2046" s="27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 thickBot="1" x14ac:dyDescent="0.35">
      <c r="A2047" s="88"/>
      <c r="B2047" s="66" t="s">
        <v>310</v>
      </c>
      <c r="C2047" s="67"/>
      <c r="D2047" s="102"/>
      <c r="E2047" s="32"/>
      <c r="F2047" s="32"/>
      <c r="G2047" s="68" t="s">
        <v>285</v>
      </c>
      <c r="H2047" s="69">
        <f t="shared" si="842"/>
        <v>0</v>
      </c>
      <c r="I2047" s="70">
        <f t="shared" si="843"/>
        <v>0</v>
      </c>
      <c r="J2047" s="73" t="str">
        <f t="shared" si="844"/>
        <v>--</v>
      </c>
      <c r="K2047" s="32"/>
      <c r="L2047" s="233"/>
      <c r="M2047" s="278"/>
      <c r="N2047" s="278"/>
      <c r="O2047" s="278"/>
      <c r="P2047" s="278"/>
      <c r="Q2047" s="278"/>
      <c r="R2047" s="278"/>
      <c r="S2047" s="278"/>
      <c r="T2047" s="278"/>
      <c r="U2047" s="27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 thickBot="1" x14ac:dyDescent="0.35">
      <c r="A2048" s="88"/>
      <c r="B2048" s="66" t="s">
        <v>311</v>
      </c>
      <c r="C2048" s="67"/>
      <c r="D2048" s="102"/>
      <c r="E2048" s="32"/>
      <c r="F2048" s="32"/>
      <c r="G2048" s="68" t="s">
        <v>285</v>
      </c>
      <c r="H2048" s="69">
        <f t="shared" si="842"/>
        <v>0</v>
      </c>
      <c r="I2048" s="70">
        <f t="shared" si="843"/>
        <v>0</v>
      </c>
      <c r="J2048" s="73" t="str">
        <f t="shared" si="844"/>
        <v>--</v>
      </c>
      <c r="K2048" s="32"/>
      <c r="L2048" s="233"/>
      <c r="M2048" s="278"/>
      <c r="N2048" s="278"/>
      <c r="O2048" s="278"/>
      <c r="P2048" s="278"/>
      <c r="Q2048" s="278"/>
      <c r="R2048" s="278"/>
      <c r="S2048" s="278"/>
      <c r="T2048" s="278"/>
      <c r="U2048" s="27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 thickBot="1" x14ac:dyDescent="0.35">
      <c r="A2049" s="88"/>
      <c r="B2049" s="66" t="s">
        <v>312</v>
      </c>
      <c r="C2049" s="67"/>
      <c r="D2049" s="102"/>
      <c r="E2049" s="32"/>
      <c r="F2049" s="32"/>
      <c r="G2049" s="68" t="s">
        <v>285</v>
      </c>
      <c r="H2049" s="69">
        <f t="shared" si="842"/>
        <v>0</v>
      </c>
      <c r="I2049" s="70">
        <f t="shared" si="843"/>
        <v>0</v>
      </c>
      <c r="J2049" s="73" t="str">
        <f t="shared" si="844"/>
        <v>--</v>
      </c>
      <c r="K2049" s="32"/>
      <c r="L2049" s="233"/>
      <c r="M2049" s="278"/>
      <c r="N2049" s="278"/>
      <c r="O2049" s="278"/>
      <c r="P2049" s="278"/>
      <c r="Q2049" s="278"/>
      <c r="R2049" s="278"/>
      <c r="S2049" s="278"/>
      <c r="T2049" s="278"/>
      <c r="U2049" s="27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 thickBot="1" x14ac:dyDescent="0.35">
      <c r="A2050" s="88"/>
      <c r="B2050" s="66" t="s">
        <v>313</v>
      </c>
      <c r="C2050" s="67"/>
      <c r="D2050" s="102"/>
      <c r="E2050" s="32"/>
      <c r="F2050" s="32"/>
      <c r="G2050" s="68" t="s">
        <v>285</v>
      </c>
      <c r="H2050" s="69">
        <f t="shared" si="842"/>
        <v>0</v>
      </c>
      <c r="I2050" s="70">
        <f t="shared" si="843"/>
        <v>0</v>
      </c>
      <c r="J2050" s="73" t="str">
        <f t="shared" si="844"/>
        <v>--</v>
      </c>
      <c r="K2050" s="32"/>
      <c r="L2050" s="234"/>
      <c r="M2050" s="278"/>
      <c r="N2050" s="278"/>
      <c r="O2050" s="278"/>
      <c r="P2050" s="278"/>
      <c r="Q2050" s="278"/>
      <c r="R2050" s="278"/>
      <c r="S2050" s="278"/>
      <c r="T2050" s="278"/>
      <c r="U2050" s="27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2" thickBot="1" x14ac:dyDescent="0.35">
      <c r="A2051" s="88"/>
      <c r="B2051" s="319" t="s">
        <v>320</v>
      </c>
      <c r="C2051" s="320"/>
      <c r="D2051" s="79"/>
      <c r="E2051" s="80"/>
      <c r="F2051" s="80"/>
      <c r="G2051" s="81"/>
      <c r="H2051" s="192"/>
      <c r="I2051" s="192"/>
      <c r="J2051" s="192"/>
      <c r="K2051" s="82"/>
      <c r="L2051" s="319" t="s">
        <v>319</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3">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hyperlink ref="B944:C944" location="'Assignment Tool'!B985" display="Go to Cable Reel #24"/>
    <hyperlink ref="B945:C945" location="'Assignment Tool'!B1" display="Go to Top"/>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99060</xdr:rowOff>
                  </from>
                  <to>
                    <xdr:col>19</xdr:col>
                    <xdr:colOff>342900</xdr:colOff>
                    <xdr:row>3</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816" yWindow="613" count="7">
        <x14:dataValidation type="list" allowBlank="1" showInputMessage="1" showErrorMessage="1" promptTitle="Enter tether size">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D208"/>
  <sheetViews>
    <sheetView zoomScaleNormal="100" workbookViewId="0">
      <selection activeCell="U6" sqref="U6:V6"/>
    </sheetView>
  </sheetViews>
  <sheetFormatPr defaultColWidth="8.88671875" defaultRowHeight="14.4" x14ac:dyDescent="0.3"/>
  <sheetData>
    <row r="1" spans="1:160" x14ac:dyDescent="0.3">
      <c r="A1" s="331" t="s">
        <v>474</v>
      </c>
      <c r="B1" s="332"/>
      <c r="C1" s="332"/>
      <c r="D1" s="333"/>
      <c r="E1" s="331" t="s">
        <v>291</v>
      </c>
      <c r="F1" s="332"/>
      <c r="G1" s="332"/>
      <c r="H1" s="333"/>
      <c r="I1" s="331" t="s">
        <v>317</v>
      </c>
      <c r="J1" s="332"/>
      <c r="K1" s="332"/>
      <c r="L1" s="333"/>
      <c r="M1" s="331" t="s">
        <v>399</v>
      </c>
      <c r="N1" s="332"/>
      <c r="O1" s="332"/>
      <c r="P1" s="333"/>
      <c r="Q1" s="331" t="s">
        <v>331</v>
      </c>
      <c r="R1" s="332"/>
      <c r="S1" s="332"/>
      <c r="T1" s="333"/>
      <c r="U1" s="331" t="s">
        <v>403</v>
      </c>
      <c r="V1" s="332"/>
      <c r="W1" s="332"/>
      <c r="X1" s="333"/>
      <c r="Y1" s="331" t="s">
        <v>398</v>
      </c>
      <c r="Z1" s="332"/>
      <c r="AA1" s="332"/>
      <c r="AB1" s="333"/>
      <c r="AC1" s="331" t="s">
        <v>475</v>
      </c>
      <c r="AD1" s="332"/>
      <c r="AE1" s="332"/>
      <c r="AF1" s="333"/>
      <c r="AG1" s="331" t="s">
        <v>287</v>
      </c>
      <c r="AH1" s="332"/>
      <c r="AI1" s="332"/>
      <c r="AJ1" s="333"/>
      <c r="AK1" s="331" t="s">
        <v>289</v>
      </c>
      <c r="AL1" s="332"/>
      <c r="AM1" s="332"/>
      <c r="AN1" s="333"/>
      <c r="AO1" s="331" t="s">
        <v>476</v>
      </c>
      <c r="AP1" s="332"/>
      <c r="AQ1" s="332"/>
      <c r="AR1" s="333"/>
      <c r="AS1" s="331" t="s">
        <v>477</v>
      </c>
      <c r="AT1" s="332"/>
      <c r="AU1" s="332"/>
      <c r="AV1" s="333"/>
      <c r="AW1" s="331" t="s">
        <v>478</v>
      </c>
      <c r="AX1" s="332"/>
      <c r="AY1" s="332"/>
      <c r="AZ1" s="333"/>
      <c r="BA1" s="331" t="s">
        <v>327</v>
      </c>
      <c r="BB1" s="332"/>
      <c r="BC1" s="332"/>
      <c r="BD1" s="333"/>
      <c r="BE1" s="331" t="s">
        <v>334</v>
      </c>
      <c r="BF1" s="332"/>
      <c r="BG1" s="332"/>
      <c r="BH1" s="333"/>
      <c r="BI1" s="331" t="s">
        <v>479</v>
      </c>
      <c r="BJ1" s="332"/>
      <c r="BK1" s="332"/>
      <c r="BL1" s="333"/>
      <c r="BM1" s="331" t="s">
        <v>480</v>
      </c>
      <c r="BN1" s="332"/>
      <c r="BO1" s="332"/>
      <c r="BP1" s="333"/>
      <c r="BQ1" s="331" t="s">
        <v>481</v>
      </c>
      <c r="BR1" s="332"/>
      <c r="BS1" s="332"/>
      <c r="BT1" s="333"/>
      <c r="BU1" s="331" t="s">
        <v>482</v>
      </c>
      <c r="BV1" s="332"/>
      <c r="BW1" s="332"/>
      <c r="BX1" s="333"/>
      <c r="BY1" s="331" t="s">
        <v>483</v>
      </c>
      <c r="BZ1" s="332"/>
      <c r="CA1" s="332"/>
      <c r="CB1" s="333"/>
      <c r="CC1" s="331" t="s">
        <v>484</v>
      </c>
      <c r="CD1" s="332"/>
      <c r="CE1" s="332"/>
      <c r="CF1" s="333"/>
      <c r="CG1" s="331" t="s">
        <v>485</v>
      </c>
      <c r="CH1" s="332"/>
      <c r="CI1" s="332"/>
      <c r="CJ1" s="333"/>
      <c r="CK1" s="331" t="s">
        <v>486</v>
      </c>
      <c r="CL1" s="332"/>
      <c r="CM1" s="332"/>
      <c r="CN1" s="333"/>
      <c r="CO1" s="331" t="s">
        <v>487</v>
      </c>
      <c r="CP1" s="332"/>
      <c r="CQ1" s="332"/>
      <c r="CR1" s="333"/>
      <c r="CS1" s="331" t="s">
        <v>488</v>
      </c>
      <c r="CT1" s="332"/>
      <c r="CU1" s="332"/>
      <c r="CV1" s="333"/>
      <c r="CW1" s="331" t="s">
        <v>489</v>
      </c>
      <c r="CX1" s="332"/>
      <c r="CY1" s="332"/>
      <c r="CZ1" s="333"/>
      <c r="DA1" s="331" t="s">
        <v>490</v>
      </c>
      <c r="DB1" s="332"/>
      <c r="DC1" s="332"/>
      <c r="DD1" s="333"/>
      <c r="DE1" s="331" t="s">
        <v>491</v>
      </c>
      <c r="DF1" s="332"/>
      <c r="DG1" s="332"/>
      <c r="DH1" s="333"/>
      <c r="DI1" s="331" t="s">
        <v>492</v>
      </c>
      <c r="DJ1" s="332"/>
      <c r="DK1" s="332"/>
      <c r="DL1" s="333"/>
      <c r="DM1" s="331" t="s">
        <v>493</v>
      </c>
      <c r="DN1" s="332"/>
      <c r="DO1" s="332"/>
      <c r="DP1" s="333"/>
      <c r="DQ1" s="331" t="s">
        <v>494</v>
      </c>
      <c r="DR1" s="332"/>
      <c r="DS1" s="332"/>
      <c r="DT1" s="333"/>
      <c r="DU1" s="331" t="s">
        <v>495</v>
      </c>
      <c r="DV1" s="332"/>
      <c r="DW1" s="332"/>
      <c r="DX1" s="333"/>
      <c r="DY1" s="331" t="s">
        <v>496</v>
      </c>
      <c r="DZ1" s="332"/>
      <c r="EA1" s="332"/>
      <c r="EB1" s="333"/>
      <c r="EC1" s="331" t="s">
        <v>497</v>
      </c>
      <c r="ED1" s="332"/>
      <c r="EE1" s="332"/>
      <c r="EF1" s="333"/>
      <c r="EG1" s="331" t="s">
        <v>498</v>
      </c>
      <c r="EH1" s="332"/>
      <c r="EI1" s="332"/>
      <c r="EJ1" s="333"/>
      <c r="EK1" s="331" t="s">
        <v>499</v>
      </c>
      <c r="EL1" s="332"/>
      <c r="EM1" s="332"/>
      <c r="EN1" s="333"/>
      <c r="EO1" s="331" t="s">
        <v>500</v>
      </c>
      <c r="EP1" s="332"/>
      <c r="EQ1" s="332"/>
      <c r="ER1" s="333"/>
      <c r="ES1" s="331" t="s">
        <v>501</v>
      </c>
      <c r="ET1" s="332"/>
      <c r="EU1" s="332"/>
      <c r="EV1" s="333"/>
      <c r="EW1" s="331" t="s">
        <v>502</v>
      </c>
      <c r="EX1" s="332"/>
      <c r="EY1" s="332"/>
      <c r="EZ1" s="333"/>
      <c r="FA1" s="331" t="s">
        <v>503</v>
      </c>
      <c r="FB1" s="332"/>
      <c r="FC1" s="332"/>
      <c r="FD1" s="333"/>
    </row>
    <row r="2" spans="1:160" x14ac:dyDescent="0.3">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3">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3">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3">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3">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3">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3">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3">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3">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3">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3">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3">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3">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3">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3">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3">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3">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3">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3">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3">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3">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3">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3">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3">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3">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3">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3">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3">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3">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3">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3">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3">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3">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3">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3">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3">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3">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3">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3">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3">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3">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3">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3">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3">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3">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3">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3">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3">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3">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3">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3">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3">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3">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3">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3">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3">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3">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3">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3">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3">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3">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3">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3">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3">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3">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3">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3">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3">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3">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3">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3">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3">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3">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3">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3">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3">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3">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3">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3">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3">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3">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3">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3">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3">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3">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3">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3">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3">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3">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3">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3">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3">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3">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3">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3">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3">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3">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3">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3">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3">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3">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3">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3">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3">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3">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3">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3">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3">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3">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3">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3">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3">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3">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3">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3">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3">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3">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3">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3">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3">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3">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3">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3">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3">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3">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3">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3">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3">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3">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3">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3">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3">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3">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3">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3">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3">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3">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3">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3">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3">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3">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3">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3">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3">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3">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3">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3">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3">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3">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3">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3">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3">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3">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3">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3">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3">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3">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3">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3">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3">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3">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3">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3">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3">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3">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3">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3">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3">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3">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3">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3">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3">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3">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3">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3">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3">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3">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3">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3">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3">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3">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3">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3">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3">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3">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3">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3">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3">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3">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3">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3">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3">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3">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3">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3">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3">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3">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3">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3">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3">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3">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3">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3">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3">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3">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3">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3">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9"/>
  <sheetViews>
    <sheetView workbookViewId="0">
      <selection activeCell="B2" sqref="B2"/>
    </sheetView>
  </sheetViews>
  <sheetFormatPr defaultColWidth="8.88671875" defaultRowHeight="14.4" x14ac:dyDescent="0.3"/>
  <cols>
    <col min="1" max="1" width="22.88671875" customWidth="1"/>
  </cols>
  <sheetData>
    <row r="1" spans="1:41" x14ac:dyDescent="0.3">
      <c r="B1" t="s">
        <v>474</v>
      </c>
      <c r="C1" t="s">
        <v>291</v>
      </c>
      <c r="D1" t="s">
        <v>317</v>
      </c>
      <c r="E1" t="s">
        <v>399</v>
      </c>
      <c r="F1" t="s">
        <v>331</v>
      </c>
      <c r="G1" t="s">
        <v>403</v>
      </c>
      <c r="H1" t="s">
        <v>398</v>
      </c>
      <c r="I1" t="s">
        <v>475</v>
      </c>
      <c r="J1" t="s">
        <v>287</v>
      </c>
      <c r="K1" t="s">
        <v>289</v>
      </c>
      <c r="L1" t="s">
        <v>476</v>
      </c>
      <c r="M1" t="s">
        <v>477</v>
      </c>
      <c r="N1" t="s">
        <v>478</v>
      </c>
      <c r="O1" t="s">
        <v>327</v>
      </c>
      <c r="P1" t="s">
        <v>334</v>
      </c>
      <c r="Q1" t="s">
        <v>479</v>
      </c>
      <c r="R1" t="s">
        <v>480</v>
      </c>
      <c r="S1" t="s">
        <v>481</v>
      </c>
      <c r="T1" t="s">
        <v>482</v>
      </c>
      <c r="U1" t="s">
        <v>483</v>
      </c>
      <c r="V1" t="s">
        <v>484</v>
      </c>
      <c r="W1" t="s">
        <v>485</v>
      </c>
      <c r="X1" t="s">
        <v>486</v>
      </c>
      <c r="Y1" t="s">
        <v>487</v>
      </c>
      <c r="Z1" t="s">
        <v>488</v>
      </c>
      <c r="AA1" t="s">
        <v>489</v>
      </c>
      <c r="AB1" t="s">
        <v>490</v>
      </c>
      <c r="AC1" t="s">
        <v>491</v>
      </c>
      <c r="AD1" t="s">
        <v>492</v>
      </c>
      <c r="AE1" t="s">
        <v>493</v>
      </c>
      <c r="AF1" t="s">
        <v>494</v>
      </c>
      <c r="AG1" t="s">
        <v>495</v>
      </c>
      <c r="AH1" t="s">
        <v>496</v>
      </c>
      <c r="AI1" t="s">
        <v>497</v>
      </c>
      <c r="AJ1" t="s">
        <v>498</v>
      </c>
      <c r="AK1" t="s">
        <v>499</v>
      </c>
      <c r="AL1" t="s">
        <v>500</v>
      </c>
      <c r="AM1" t="s">
        <v>501</v>
      </c>
      <c r="AN1" t="s">
        <v>502</v>
      </c>
      <c r="AO1" t="s">
        <v>503</v>
      </c>
    </row>
    <row r="2" spans="1:41" x14ac:dyDescent="0.3">
      <c r="A2" t="s">
        <v>504</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3">
      <c r="A3" s="98" t="s">
        <v>505</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3">
      <c r="A4" t="s">
        <v>506</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3">
      <c r="A5" t="s">
        <v>507</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3">
      <c r="A6" s="97" t="s">
        <v>508</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3">
      <c r="A7" s="97" t="s">
        <v>509</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3">
      <c r="A8" s="98" t="s">
        <v>510</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3">
      <c r="A9" t="s">
        <v>511</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42"/>
  <sheetViews>
    <sheetView topLeftCell="B2" workbookViewId="0">
      <selection activeCell="I23" sqref="I23"/>
    </sheetView>
  </sheetViews>
  <sheetFormatPr defaultColWidth="8.88671875" defaultRowHeight="14.4" x14ac:dyDescent="0.3"/>
  <cols>
    <col min="1" max="1" width="8.5546875" hidden="1" customWidth="1"/>
    <col min="3" max="4" width="12.109375" customWidth="1"/>
    <col min="5" max="8" width="13.44140625" customWidth="1"/>
    <col min="9" max="9" width="17.6640625" customWidth="1"/>
  </cols>
  <sheetData>
    <row r="1" spans="1:27" hidden="1" x14ac:dyDescent="0.3">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4">
      <c r="A2" s="146"/>
      <c r="B2" s="336" t="s">
        <v>512</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 x14ac:dyDescent="0.35">
      <c r="A3" s="146"/>
      <c r="B3" s="147" t="s">
        <v>513</v>
      </c>
      <c r="C3" s="335" t="s">
        <v>514</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 x14ac:dyDescent="0.35">
      <c r="A4" s="146"/>
      <c r="B4" s="147" t="s">
        <v>89</v>
      </c>
      <c r="C4" s="334" t="s">
        <v>515</v>
      </c>
      <c r="D4" s="334"/>
      <c r="E4" s="334" t="s">
        <v>516</v>
      </c>
      <c r="F4" s="334"/>
      <c r="G4" s="334"/>
      <c r="H4" s="334"/>
      <c r="I4" s="148">
        <f>Data!Q2</f>
        <v>24637.640000000003</v>
      </c>
      <c r="J4" s="146"/>
      <c r="K4" s="146"/>
      <c r="L4" s="146"/>
      <c r="M4" s="146"/>
      <c r="N4" s="146"/>
      <c r="O4" s="146"/>
      <c r="P4" s="146"/>
      <c r="Q4" s="146"/>
      <c r="R4" s="146"/>
      <c r="S4" s="146"/>
      <c r="T4" s="146"/>
      <c r="U4" s="146"/>
      <c r="V4" s="146"/>
      <c r="W4" s="146"/>
      <c r="X4" s="146"/>
      <c r="Y4" s="146"/>
      <c r="Z4" s="146"/>
      <c r="AA4" s="146"/>
    </row>
    <row r="5" spans="1:27" ht="18" x14ac:dyDescent="0.35">
      <c r="A5" s="146"/>
      <c r="B5" s="147" t="s">
        <v>517</v>
      </c>
      <c r="C5" s="334" t="s">
        <v>515</v>
      </c>
      <c r="D5" s="334"/>
      <c r="E5" s="334" t="s">
        <v>518</v>
      </c>
      <c r="F5" s="334"/>
      <c r="G5" s="334"/>
      <c r="H5" s="334"/>
      <c r="I5" s="148">
        <f>Data!P2</f>
        <v>6058.77</v>
      </c>
      <c r="J5" s="146"/>
      <c r="K5" s="146"/>
      <c r="L5" s="146"/>
      <c r="M5" s="146"/>
      <c r="N5" s="146"/>
      <c r="O5" s="146"/>
      <c r="P5" s="146"/>
      <c r="Q5" s="146"/>
      <c r="R5" s="146"/>
      <c r="S5" s="146"/>
      <c r="T5" s="146"/>
      <c r="U5" s="146"/>
      <c r="V5" s="146"/>
      <c r="W5" s="146"/>
      <c r="X5" s="146"/>
      <c r="Y5" s="146"/>
      <c r="Z5" s="146"/>
      <c r="AA5" s="146"/>
    </row>
    <row r="6" spans="1:27" ht="18" x14ac:dyDescent="0.35">
      <c r="A6" s="146"/>
      <c r="B6" s="147"/>
      <c r="C6" s="335" t="s">
        <v>519</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 x14ac:dyDescent="0.35">
      <c r="A7" s="146"/>
      <c r="B7" s="147" t="s">
        <v>520</v>
      </c>
      <c r="C7" s="334" t="s">
        <v>515</v>
      </c>
      <c r="D7" s="334"/>
      <c r="E7" s="334" t="s">
        <v>521</v>
      </c>
      <c r="F7" s="334"/>
      <c r="G7" s="334"/>
      <c r="H7" s="334"/>
      <c r="I7" s="148">
        <f>Data!R2</f>
        <v>1509.5200000000002</v>
      </c>
      <c r="J7" s="146"/>
      <c r="K7" s="146"/>
      <c r="L7" s="146"/>
      <c r="M7" s="146"/>
      <c r="N7" s="146"/>
      <c r="O7" s="146"/>
      <c r="P7" s="146"/>
      <c r="Q7" s="146"/>
      <c r="R7" s="146"/>
      <c r="S7" s="146"/>
      <c r="T7" s="146"/>
      <c r="U7" s="146"/>
      <c r="V7" s="146"/>
      <c r="W7" s="146"/>
      <c r="X7" s="146"/>
      <c r="Y7" s="146"/>
      <c r="Z7" s="146"/>
      <c r="AA7" s="146"/>
    </row>
    <row r="8" spans="1:27" x14ac:dyDescent="0.3">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 x14ac:dyDescent="0.35">
      <c r="A9" s="146"/>
      <c r="B9" s="147" t="s">
        <v>513</v>
      </c>
      <c r="C9" s="335" t="s">
        <v>522</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 x14ac:dyDescent="0.35">
      <c r="A10" s="146"/>
      <c r="B10" s="147" t="s">
        <v>89</v>
      </c>
      <c r="C10" s="334" t="s">
        <v>523</v>
      </c>
      <c r="D10" s="334"/>
      <c r="E10" s="334" t="s">
        <v>524</v>
      </c>
      <c r="F10" s="334"/>
      <c r="G10" s="334"/>
      <c r="H10" s="334"/>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3">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3">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3">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3">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3">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3">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3">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3">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3">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3">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3">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3">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3">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3">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3">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3">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3">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3">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3">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3">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3">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3">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3">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3">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3">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3">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3">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3">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3">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3">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3">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3">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35"/>
  <sheetViews>
    <sheetView topLeftCell="A58" workbookViewId="0">
      <selection activeCell="A82" sqref="A82"/>
    </sheetView>
  </sheetViews>
  <sheetFormatPr defaultColWidth="9.109375" defaultRowHeight="14.4" x14ac:dyDescent="0.3"/>
  <cols>
    <col min="1" max="1" width="10" style="1" bestFit="1" customWidth="1"/>
    <col min="2" max="2" width="30" style="1" bestFit="1" customWidth="1"/>
    <col min="3" max="3" width="40" style="1" bestFit="1" customWidth="1"/>
    <col min="4" max="4" width="9.5546875" style="1" customWidth="1"/>
    <col min="5" max="16384" width="9.109375" style="1"/>
  </cols>
  <sheetData>
    <row r="1" spans="1:29" ht="33" customHeight="1" x14ac:dyDescent="0.3">
      <c r="A1" s="1" t="s">
        <v>525</v>
      </c>
      <c r="B1" s="1" t="s">
        <v>526</v>
      </c>
      <c r="C1" s="1" t="s">
        <v>527</v>
      </c>
      <c r="D1" s="1" t="s">
        <v>528</v>
      </c>
      <c r="F1" s="1" t="s">
        <v>529</v>
      </c>
      <c r="G1" s="187" t="s">
        <v>530</v>
      </c>
      <c r="H1" s="184" t="s">
        <v>531</v>
      </c>
      <c r="I1" s="184" t="s">
        <v>532</v>
      </c>
      <c r="J1" s="188" t="s">
        <v>533</v>
      </c>
      <c r="K1" s="189" t="s">
        <v>534</v>
      </c>
      <c r="L1" s="189" t="s">
        <v>535</v>
      </c>
      <c r="M1" s="208"/>
      <c r="N1" s="181" t="s">
        <v>536</v>
      </c>
      <c r="O1" s="180" t="s">
        <v>537</v>
      </c>
      <c r="P1" s="181" t="s">
        <v>517</v>
      </c>
      <c r="Q1" s="180" t="s">
        <v>89</v>
      </c>
      <c r="R1" s="125" t="s">
        <v>520</v>
      </c>
      <c r="S1" s="1" t="s">
        <v>538</v>
      </c>
      <c r="T1" s="1" t="s">
        <v>539</v>
      </c>
      <c r="Z1" s="1">
        <v>0</v>
      </c>
      <c r="AA1" s="1">
        <v>0</v>
      </c>
      <c r="AB1" s="1">
        <v>0</v>
      </c>
    </row>
    <row r="2" spans="1:29" x14ac:dyDescent="0.3">
      <c r="A2" s="1">
        <v>200008938</v>
      </c>
      <c r="B2" s="1" t="s">
        <v>84</v>
      </c>
      <c r="C2" s="1" t="s">
        <v>540</v>
      </c>
      <c r="D2" s="1">
        <v>112.15</v>
      </c>
      <c r="E2" s="1">
        <f>SUM(G2:L2)</f>
        <v>67</v>
      </c>
      <c r="F2" s="186">
        <f t="shared" ref="F2:F5" si="0">PRODUCT(D2:E2)</f>
        <v>7514.05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31</v>
      </c>
      <c r="K2" s="180">
        <f>COUNTIFS('Assignment Tool'!$E$17:$E$2050, "4",'Assignment Tool'!$F$17:$F$2050,"PED", 'Assignment Tool'!$C$17:$C$2050, "FST",'Assignment Tool'!$K$17:$K$2050,"")</f>
        <v>0</v>
      </c>
      <c r="L2" s="180">
        <f>COUNTIFS('Assignment Tool'!$E$17:$E$2050, "4",'Assignment Tool'!$F$17:$F$2050,"HH", 'Assignment Tool'!$C$17:$C$2050, "FST",'Assignment Tool'!$K$17:$K$2050,"")</f>
        <v>36</v>
      </c>
      <c r="N2" s="181">
        <f>PRODUCT(SUM(G2,J2),D2)</f>
        <v>3476.65</v>
      </c>
      <c r="O2" s="180">
        <f>PRODUCT(SUM(H2:I2,K2:L2),D2)</f>
        <v>4037.4</v>
      </c>
      <c r="P2" s="183">
        <f>SUM(N2:N5,F11:F16,F27:F36,F43:F46,F51:F54,N88:N135)</f>
        <v>6058.77</v>
      </c>
      <c r="Q2" s="182">
        <f>SUM(O2:O5,F17:F26,F37:F42,F47:F50,F55:F58,F60:F67,O88:O135)</f>
        <v>24637.640000000003</v>
      </c>
      <c r="R2" s="126">
        <f>SUM(F69:F71)</f>
        <v>1509.5200000000002</v>
      </c>
      <c r="S2" s="1" t="s">
        <v>541</v>
      </c>
      <c r="T2" s="1" t="s">
        <v>542</v>
      </c>
      <c r="U2" s="1" t="s">
        <v>543</v>
      </c>
      <c r="V2" s="1" t="s">
        <v>177</v>
      </c>
      <c r="W2" s="1" t="s">
        <v>339</v>
      </c>
      <c r="X2" s="1" t="s">
        <v>322</v>
      </c>
      <c r="Y2" s="1">
        <v>0</v>
      </c>
      <c r="Z2" s="1">
        <v>1</v>
      </c>
      <c r="AA2" s="1">
        <v>12</v>
      </c>
      <c r="AB2" s="1">
        <v>24</v>
      </c>
      <c r="AC2" s="1">
        <v>25</v>
      </c>
    </row>
    <row r="3" spans="1:29" x14ac:dyDescent="0.3">
      <c r="A3" s="1">
        <v>200008979</v>
      </c>
      <c r="B3" s="1" t="s">
        <v>85</v>
      </c>
      <c r="C3" s="1" t="s">
        <v>544</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545</v>
      </c>
      <c r="T3" s="1" t="s">
        <v>89</v>
      </c>
      <c r="U3" s="1" t="s">
        <v>182</v>
      </c>
      <c r="V3" s="1" t="s">
        <v>176</v>
      </c>
      <c r="W3" s="1" t="s">
        <v>324</v>
      </c>
      <c r="X3" s="1" t="s">
        <v>546</v>
      </c>
      <c r="Y3" s="1">
        <v>2</v>
      </c>
      <c r="Z3" s="1">
        <v>2</v>
      </c>
      <c r="AA3" s="1">
        <f>12+AA2</f>
        <v>24</v>
      </c>
      <c r="AB3" s="1">
        <v>48</v>
      </c>
      <c r="AC3" s="1">
        <v>50</v>
      </c>
    </row>
    <row r="4" spans="1:29" x14ac:dyDescent="0.3">
      <c r="A4" s="1">
        <v>200008975</v>
      </c>
      <c r="B4" s="1" t="s">
        <v>86</v>
      </c>
      <c r="C4" s="1" t="s">
        <v>547</v>
      </c>
      <c r="D4" s="1">
        <v>169.77</v>
      </c>
      <c r="E4" s="1">
        <f t="shared" si="1"/>
        <v>1</v>
      </c>
      <c r="F4" s="186">
        <f t="shared" si="0"/>
        <v>169.77</v>
      </c>
      <c r="G4" s="181">
        <f>COUNTIFS('Assignment Tool'!$E$17:$E$2050, "8", 'Assignment Tool'!$F$17:$F$2050, "POLE", 'Assignment Tool'!$C$17:$C$2050, "FST",'Assignment Tool'!$K$17:$K$2050,"")</f>
        <v>1</v>
      </c>
      <c r="H4" s="180">
        <f>COUNTIFS('Assignment Tool'!$E$17:$E$2050, "8", 'Assignment Tool'!$F$17:$F$2050, "PED", 'Assignment Tool'!$C$17:$C$2050, "FST",'Assignment Tool'!$K$17:$K$2050,"")</f>
        <v>0</v>
      </c>
      <c r="I4" s="180">
        <f>COUNTIFS('Assignment Tool'!$E$17:$E$2050, "8", 'Assignment Tool'!$F$17:$F$2050, "HH", 'Assignment Tool'!$C$17:$C$2050, "FST",'Assignment Tool'!$K$17:$K$2050,"")</f>
        <v>0</v>
      </c>
      <c r="N4" s="181">
        <f t="shared" ref="N4:N5" si="2">PRODUCT(G4,D4)</f>
        <v>169.77</v>
      </c>
      <c r="O4" s="180">
        <f t="shared" ref="O4:O5" si="3">PRODUCT(SUM(H4:I4),D4)</f>
        <v>0</v>
      </c>
      <c r="S4" s="1" t="s">
        <v>548</v>
      </c>
      <c r="T4" s="1" t="s">
        <v>520</v>
      </c>
      <c r="U4" s="1" t="s">
        <v>181</v>
      </c>
      <c r="W4" s="1" t="s">
        <v>549</v>
      </c>
      <c r="X4" s="1" t="s">
        <v>402</v>
      </c>
      <c r="Y4" s="1">
        <v>4</v>
      </c>
      <c r="AA4" s="1">
        <f t="shared" ref="AA4:AA21" si="4">12+AA3</f>
        <v>36</v>
      </c>
      <c r="AB4" s="1">
        <v>72</v>
      </c>
      <c r="AC4" s="1">
        <v>100</v>
      </c>
    </row>
    <row r="5" spans="1:29" x14ac:dyDescent="0.3">
      <c r="A5" s="1">
        <v>200009003</v>
      </c>
      <c r="B5" s="1" t="s">
        <v>87</v>
      </c>
      <c r="C5" s="1" t="s">
        <v>550</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551</v>
      </c>
      <c r="T5" s="1" t="s">
        <v>552</v>
      </c>
      <c r="U5" s="1" t="s">
        <v>553</v>
      </c>
      <c r="X5" s="1" t="s">
        <v>330</v>
      </c>
      <c r="Y5" s="1">
        <v>6</v>
      </c>
      <c r="AA5" s="1">
        <f t="shared" si="4"/>
        <v>48</v>
      </c>
      <c r="AB5" s="1">
        <v>144</v>
      </c>
      <c r="AC5" s="1">
        <v>200</v>
      </c>
    </row>
    <row r="6" spans="1:29" x14ac:dyDescent="0.3">
      <c r="F6" s="186"/>
      <c r="X6" s="1" t="s">
        <v>554</v>
      </c>
      <c r="Y6" s="1">
        <v>8</v>
      </c>
      <c r="AA6" s="1">
        <f t="shared" si="4"/>
        <v>60</v>
      </c>
      <c r="AB6" s="1">
        <v>216</v>
      </c>
      <c r="AC6" s="1">
        <v>300</v>
      </c>
    </row>
    <row r="7" spans="1:29" x14ac:dyDescent="0.3">
      <c r="F7" s="186"/>
      <c r="X7" s="1" t="s">
        <v>555</v>
      </c>
      <c r="Y7" s="1">
        <v>12</v>
      </c>
      <c r="AA7" s="1">
        <f t="shared" si="4"/>
        <v>72</v>
      </c>
      <c r="AB7" s="1">
        <v>288</v>
      </c>
      <c r="AC7" s="1">
        <v>400</v>
      </c>
    </row>
    <row r="8" spans="1:29" x14ac:dyDescent="0.3">
      <c r="F8" s="186"/>
      <c r="X8" s="1" t="s">
        <v>284</v>
      </c>
      <c r="Y8" s="1">
        <v>24</v>
      </c>
      <c r="AA8" s="1">
        <f t="shared" si="4"/>
        <v>84</v>
      </c>
      <c r="AB8" s="1">
        <v>360</v>
      </c>
      <c r="AC8" s="1">
        <v>500</v>
      </c>
    </row>
    <row r="9" spans="1:29" x14ac:dyDescent="0.3">
      <c r="F9" s="186"/>
      <c r="Y9" s="1">
        <v>36</v>
      </c>
      <c r="AA9" s="1">
        <f t="shared" si="4"/>
        <v>96</v>
      </c>
      <c r="AB9" s="1">
        <v>432</v>
      </c>
      <c r="AC9" s="1">
        <v>600</v>
      </c>
    </row>
    <row r="10" spans="1:29" x14ac:dyDescent="0.3">
      <c r="Q10" s="21"/>
      <c r="R10" s="21"/>
      <c r="Y10" s="1">
        <v>48</v>
      </c>
      <c r="AA10" s="1">
        <f t="shared" si="4"/>
        <v>108</v>
      </c>
      <c r="AB10" s="1">
        <v>576</v>
      </c>
      <c r="AC10" s="1">
        <v>700</v>
      </c>
    </row>
    <row r="11" spans="1:29" x14ac:dyDescent="0.3">
      <c r="A11" s="181">
        <v>100083495</v>
      </c>
      <c r="B11" s="181"/>
      <c r="C11" s="181" t="s">
        <v>556</v>
      </c>
      <c r="D11" s="1">
        <v>247.18</v>
      </c>
      <c r="E11" s="162">
        <f>'Construction Exempt Material'!B17</f>
        <v>0</v>
      </c>
      <c r="F11" s="181">
        <f>E11*D11</f>
        <v>0</v>
      </c>
      <c r="Q11" s="21"/>
      <c r="R11" s="21"/>
      <c r="Y11" s="1">
        <v>60</v>
      </c>
      <c r="AA11" s="1">
        <f t="shared" si="4"/>
        <v>120</v>
      </c>
      <c r="AB11" s="1">
        <v>864</v>
      </c>
      <c r="AC11" s="1">
        <v>800</v>
      </c>
    </row>
    <row r="12" spans="1:29" x14ac:dyDescent="0.3">
      <c r="A12" s="181">
        <v>100083494</v>
      </c>
      <c r="B12" s="181"/>
      <c r="C12" s="181" t="s">
        <v>557</v>
      </c>
      <c r="D12" s="1">
        <v>215.15</v>
      </c>
      <c r="E12" s="162">
        <f>'Construction Exempt Material'!B18</f>
        <v>1</v>
      </c>
      <c r="F12" s="181">
        <f t="shared" ref="F12:F58" si="5">E12*D12</f>
        <v>215.15</v>
      </c>
      <c r="Q12" s="21"/>
      <c r="R12" s="21"/>
      <c r="Y12" s="1">
        <v>72</v>
      </c>
      <c r="AA12" s="1">
        <f t="shared" si="4"/>
        <v>132</v>
      </c>
      <c r="AC12" s="1">
        <v>900</v>
      </c>
    </row>
    <row r="13" spans="1:29" x14ac:dyDescent="0.3">
      <c r="A13" s="181">
        <v>100083493</v>
      </c>
      <c r="B13" s="181"/>
      <c r="C13" s="181" t="s">
        <v>558</v>
      </c>
      <c r="D13" s="1">
        <v>183.1</v>
      </c>
      <c r="E13" s="162">
        <f>'Construction Exempt Material'!B19</f>
        <v>12</v>
      </c>
      <c r="F13" s="181">
        <f t="shared" si="5"/>
        <v>2197.1999999999998</v>
      </c>
      <c r="Q13" s="21"/>
      <c r="R13" s="21"/>
      <c r="Y13" s="1">
        <v>84</v>
      </c>
      <c r="AA13" s="1">
        <f t="shared" si="4"/>
        <v>144</v>
      </c>
      <c r="AC13" s="1">
        <v>1000</v>
      </c>
    </row>
    <row r="14" spans="1:29" x14ac:dyDescent="0.3">
      <c r="A14" s="181">
        <v>100089023</v>
      </c>
      <c r="B14" s="181"/>
      <c r="C14" s="181" t="s">
        <v>559</v>
      </c>
      <c r="D14" s="1">
        <v>247.18</v>
      </c>
      <c r="E14" s="162">
        <f>'Construction Exempt Material'!B20</f>
        <v>0</v>
      </c>
      <c r="F14" s="181">
        <f t="shared" si="5"/>
        <v>0</v>
      </c>
      <c r="Q14" s="21"/>
      <c r="R14" s="21"/>
      <c r="Y14" s="1">
        <v>96</v>
      </c>
      <c r="AA14" s="1">
        <f t="shared" si="4"/>
        <v>156</v>
      </c>
    </row>
    <row r="15" spans="1:29" x14ac:dyDescent="0.3">
      <c r="A15" s="181">
        <v>200000002</v>
      </c>
      <c r="B15" s="181"/>
      <c r="C15" s="181" t="s">
        <v>560</v>
      </c>
      <c r="D15" s="1">
        <v>215.15</v>
      </c>
      <c r="E15" s="162">
        <f>'Construction Exempt Material'!B21</f>
        <v>0</v>
      </c>
      <c r="F15" s="181">
        <f t="shared" si="5"/>
        <v>0</v>
      </c>
      <c r="Q15" s="21"/>
      <c r="R15" s="21"/>
      <c r="Y15" s="1">
        <v>108</v>
      </c>
      <c r="AA15" s="1">
        <f t="shared" si="4"/>
        <v>168</v>
      </c>
    </row>
    <row r="16" spans="1:29" x14ac:dyDescent="0.3">
      <c r="A16" s="181">
        <v>200000003</v>
      </c>
      <c r="B16" s="181"/>
      <c r="C16" s="181" t="s">
        <v>561</v>
      </c>
      <c r="D16" s="1">
        <v>183.1</v>
      </c>
      <c r="E16" s="162">
        <f>'Construction Exempt Material'!B22</f>
        <v>0</v>
      </c>
      <c r="F16" s="181">
        <f t="shared" si="5"/>
        <v>0</v>
      </c>
      <c r="Q16" s="21"/>
      <c r="R16" s="21"/>
      <c r="Y16" s="1">
        <v>120</v>
      </c>
      <c r="AA16" s="1">
        <f t="shared" si="4"/>
        <v>180</v>
      </c>
    </row>
    <row r="17" spans="1:27" x14ac:dyDescent="0.3">
      <c r="A17" s="180">
        <v>100083595</v>
      </c>
      <c r="B17" s="180"/>
      <c r="C17" s="180" t="s">
        <v>562</v>
      </c>
      <c r="D17" s="1">
        <v>266.77</v>
      </c>
      <c r="E17" s="162">
        <f>'Construction Exempt Material'!B23</f>
        <v>1</v>
      </c>
      <c r="F17" s="180">
        <f t="shared" si="5"/>
        <v>266.77</v>
      </c>
      <c r="Q17" s="21"/>
      <c r="Y17" s="1">
        <v>132</v>
      </c>
      <c r="AA17" s="1">
        <f t="shared" si="4"/>
        <v>192</v>
      </c>
    </row>
    <row r="18" spans="1:27" x14ac:dyDescent="0.3">
      <c r="A18" s="180">
        <v>100083594</v>
      </c>
      <c r="B18" s="180"/>
      <c r="C18" s="180" t="s">
        <v>563</v>
      </c>
      <c r="D18" s="1">
        <v>233.96</v>
      </c>
      <c r="E18" s="162">
        <f>'Construction Exempt Material'!B24</f>
        <v>0</v>
      </c>
      <c r="F18" s="180">
        <f t="shared" si="5"/>
        <v>0</v>
      </c>
      <c r="Q18" s="21"/>
      <c r="Y18" s="1">
        <v>144</v>
      </c>
      <c r="AA18" s="1">
        <f t="shared" si="4"/>
        <v>204</v>
      </c>
    </row>
    <row r="19" spans="1:27" x14ac:dyDescent="0.3">
      <c r="A19" s="180">
        <v>100083593</v>
      </c>
      <c r="B19" s="180"/>
      <c r="C19" s="180" t="s">
        <v>564</v>
      </c>
      <c r="D19" s="1">
        <v>226.44</v>
      </c>
      <c r="E19" s="162">
        <f>'Construction Exempt Material'!B25</f>
        <v>0</v>
      </c>
      <c r="F19" s="180">
        <f t="shared" si="5"/>
        <v>0</v>
      </c>
      <c r="Y19" s="1">
        <v>216</v>
      </c>
      <c r="AA19" s="1">
        <f t="shared" si="4"/>
        <v>216</v>
      </c>
    </row>
    <row r="20" spans="1:27" x14ac:dyDescent="0.3">
      <c r="A20" s="180">
        <v>100083592</v>
      </c>
      <c r="B20" s="180"/>
      <c r="C20" s="180" t="s">
        <v>565</v>
      </c>
      <c r="D20" s="1">
        <v>199.86</v>
      </c>
      <c r="E20" s="162">
        <f>'Construction Exempt Material'!B26</f>
        <v>58</v>
      </c>
      <c r="F20" s="180">
        <f t="shared" si="5"/>
        <v>11591.880000000001</v>
      </c>
      <c r="AA20" s="1">
        <f t="shared" si="4"/>
        <v>228</v>
      </c>
    </row>
    <row r="21" spans="1:27" x14ac:dyDescent="0.3">
      <c r="A21" s="180">
        <v>200008456</v>
      </c>
      <c r="B21" s="180"/>
      <c r="C21" s="180" t="s">
        <v>566</v>
      </c>
      <c r="D21" s="1">
        <v>201.13</v>
      </c>
      <c r="E21" s="162">
        <f>'Construction Exempt Material'!B27</f>
        <v>0</v>
      </c>
      <c r="F21" s="180">
        <f t="shared" si="5"/>
        <v>0</v>
      </c>
      <c r="AA21" s="1">
        <f t="shared" si="4"/>
        <v>240</v>
      </c>
    </row>
    <row r="22" spans="1:27" x14ac:dyDescent="0.3">
      <c r="A22" s="180">
        <v>100089396</v>
      </c>
      <c r="B22" s="180"/>
      <c r="C22" s="180" t="s">
        <v>567</v>
      </c>
      <c r="D22" s="1">
        <v>266.77</v>
      </c>
      <c r="E22" s="162">
        <f>'Construction Exempt Material'!B28</f>
        <v>0</v>
      </c>
      <c r="F22" s="180">
        <f t="shared" si="5"/>
        <v>0</v>
      </c>
      <c r="AA22" s="1">
        <f>12+AA21</f>
        <v>252</v>
      </c>
    </row>
    <row r="23" spans="1:27" x14ac:dyDescent="0.3">
      <c r="A23" s="180">
        <v>100089548</v>
      </c>
      <c r="B23" s="180"/>
      <c r="C23" s="180" t="s">
        <v>568</v>
      </c>
      <c r="D23" s="1">
        <v>233.96</v>
      </c>
      <c r="E23" s="162">
        <f>'Construction Exempt Material'!B29</f>
        <v>0</v>
      </c>
      <c r="F23" s="180">
        <f t="shared" si="5"/>
        <v>0</v>
      </c>
      <c r="AA23" s="1">
        <f>12+AA22</f>
        <v>264</v>
      </c>
    </row>
    <row r="24" spans="1:27" x14ac:dyDescent="0.3">
      <c r="A24" s="180">
        <v>100089397</v>
      </c>
      <c r="B24" s="180"/>
      <c r="C24" s="180" t="s">
        <v>569</v>
      </c>
      <c r="D24" s="1">
        <v>226.44</v>
      </c>
      <c r="E24" s="162">
        <f>'Construction Exempt Material'!B30</f>
        <v>0</v>
      </c>
      <c r="F24" s="180">
        <f t="shared" si="5"/>
        <v>0</v>
      </c>
      <c r="AA24" s="1">
        <f>12+AA23</f>
        <v>276</v>
      </c>
    </row>
    <row r="25" spans="1:27" x14ac:dyDescent="0.3">
      <c r="A25" s="180">
        <v>100089549</v>
      </c>
      <c r="B25" s="180"/>
      <c r="C25" s="180" t="s">
        <v>570</v>
      </c>
      <c r="D25" s="1">
        <v>199.86</v>
      </c>
      <c r="E25" s="162">
        <f>'Construction Exempt Material'!B31</f>
        <v>0</v>
      </c>
      <c r="F25" s="180">
        <f t="shared" si="5"/>
        <v>0</v>
      </c>
    </row>
    <row r="26" spans="1:27" x14ac:dyDescent="0.3">
      <c r="A26" s="180">
        <v>200008455</v>
      </c>
      <c r="B26" s="180"/>
      <c r="C26" s="180" t="s">
        <v>571</v>
      </c>
      <c r="D26" s="1">
        <v>201.13</v>
      </c>
      <c r="E26" s="162">
        <f>'Construction Exempt Material'!B32</f>
        <v>0</v>
      </c>
      <c r="F26" s="180">
        <f t="shared" si="5"/>
        <v>0</v>
      </c>
    </row>
    <row r="27" spans="1:27" x14ac:dyDescent="0.3">
      <c r="A27" s="181">
        <v>200002278</v>
      </c>
      <c r="B27" s="181"/>
      <c r="C27" s="181" t="s">
        <v>572</v>
      </c>
      <c r="D27" s="1">
        <v>323.39</v>
      </c>
      <c r="E27" s="162">
        <f>'Construction Exempt Material'!B33</f>
        <v>0</v>
      </c>
      <c r="F27" s="181">
        <f t="shared" si="5"/>
        <v>0</v>
      </c>
    </row>
    <row r="28" spans="1:27" x14ac:dyDescent="0.3">
      <c r="A28" s="181">
        <v>200002276</v>
      </c>
      <c r="B28" s="181"/>
      <c r="C28" s="181" t="s">
        <v>573</v>
      </c>
      <c r="D28" s="1">
        <v>282.69</v>
      </c>
      <c r="E28" s="162">
        <f>'Construction Exempt Material'!B34</f>
        <v>0</v>
      </c>
      <c r="F28" s="181">
        <f t="shared" si="5"/>
        <v>0</v>
      </c>
    </row>
    <row r="29" spans="1:27" x14ac:dyDescent="0.3">
      <c r="A29" s="181">
        <v>200002273</v>
      </c>
      <c r="B29" s="181"/>
      <c r="C29" s="181" t="s">
        <v>574</v>
      </c>
      <c r="D29" s="1">
        <v>268.75</v>
      </c>
      <c r="E29" s="162">
        <f>'Construction Exempt Material'!B35</f>
        <v>0</v>
      </c>
      <c r="F29" s="181">
        <f t="shared" si="5"/>
        <v>0</v>
      </c>
    </row>
    <row r="30" spans="1:27" x14ac:dyDescent="0.3">
      <c r="A30" s="181">
        <v>200002272</v>
      </c>
      <c r="B30" s="181"/>
      <c r="C30" s="181" t="s">
        <v>575</v>
      </c>
      <c r="D30" s="1">
        <v>242.07</v>
      </c>
      <c r="E30" s="162">
        <f>'Construction Exempt Material'!B36</f>
        <v>0</v>
      </c>
      <c r="F30" s="181">
        <f t="shared" si="5"/>
        <v>0</v>
      </c>
    </row>
    <row r="31" spans="1:27" x14ac:dyDescent="0.3">
      <c r="A31" s="181">
        <v>200008457</v>
      </c>
      <c r="B31" s="181"/>
      <c r="C31" s="181" t="s">
        <v>576</v>
      </c>
      <c r="D31" s="1">
        <v>232.72</v>
      </c>
      <c r="E31" s="162">
        <f>'Construction Exempt Material'!B37</f>
        <v>0</v>
      </c>
      <c r="F31" s="181">
        <f t="shared" si="5"/>
        <v>0</v>
      </c>
    </row>
    <row r="32" spans="1:27" x14ac:dyDescent="0.3">
      <c r="A32" s="181">
        <v>200002284</v>
      </c>
      <c r="B32" s="181"/>
      <c r="C32" s="181" t="s">
        <v>577</v>
      </c>
      <c r="D32" s="1">
        <v>323.39</v>
      </c>
      <c r="E32" s="162">
        <f>'Construction Exempt Material'!B38</f>
        <v>0</v>
      </c>
      <c r="F32" s="181">
        <f t="shared" si="5"/>
        <v>0</v>
      </c>
    </row>
    <row r="33" spans="1:6" x14ac:dyDescent="0.3">
      <c r="A33" s="181">
        <v>200002283</v>
      </c>
      <c r="B33" s="181"/>
      <c r="C33" s="181" t="s">
        <v>578</v>
      </c>
      <c r="D33" s="1">
        <v>282.69</v>
      </c>
      <c r="E33" s="162">
        <f>'Construction Exempt Material'!B39</f>
        <v>0</v>
      </c>
      <c r="F33" s="181">
        <f t="shared" si="5"/>
        <v>0</v>
      </c>
    </row>
    <row r="34" spans="1:6" x14ac:dyDescent="0.3">
      <c r="A34" s="181">
        <v>200002282</v>
      </c>
      <c r="B34" s="181"/>
      <c r="C34" s="181" t="s">
        <v>579</v>
      </c>
      <c r="D34" s="1">
        <v>268.75</v>
      </c>
      <c r="E34" s="162">
        <f>'Construction Exempt Material'!B40</f>
        <v>0</v>
      </c>
      <c r="F34" s="181">
        <f t="shared" si="5"/>
        <v>0</v>
      </c>
    </row>
    <row r="35" spans="1:6" x14ac:dyDescent="0.3">
      <c r="A35" s="181">
        <v>200002279</v>
      </c>
      <c r="B35" s="181"/>
      <c r="C35" s="181" t="s">
        <v>580</v>
      </c>
      <c r="D35" s="1">
        <v>242.07</v>
      </c>
      <c r="E35" s="162">
        <f>'Construction Exempt Material'!B41</f>
        <v>0</v>
      </c>
      <c r="F35" s="181">
        <f t="shared" si="5"/>
        <v>0</v>
      </c>
    </row>
    <row r="36" spans="1:6" x14ac:dyDescent="0.3">
      <c r="A36" s="181">
        <v>200008458</v>
      </c>
      <c r="B36" s="181"/>
      <c r="C36" s="181" t="s">
        <v>581</v>
      </c>
      <c r="D36" s="1">
        <v>232.72</v>
      </c>
      <c r="E36" s="162">
        <f>'Construction Exempt Material'!B42</f>
        <v>0</v>
      </c>
      <c r="F36" s="181">
        <f t="shared" si="5"/>
        <v>0</v>
      </c>
    </row>
    <row r="37" spans="1:6" x14ac:dyDescent="0.3">
      <c r="A37" s="180">
        <v>200002409</v>
      </c>
      <c r="B37" s="180"/>
      <c r="C37" s="180" t="s">
        <v>582</v>
      </c>
      <c r="D37" s="1">
        <v>271.56</v>
      </c>
      <c r="E37" s="162">
        <f>'Construction Exempt Material'!B43</f>
        <v>0</v>
      </c>
      <c r="F37" s="180">
        <f t="shared" si="5"/>
        <v>0</v>
      </c>
    </row>
    <row r="38" spans="1:6" x14ac:dyDescent="0.3">
      <c r="A38" s="180">
        <v>200002407</v>
      </c>
      <c r="B38" s="180"/>
      <c r="C38" s="180" t="s">
        <v>583</v>
      </c>
      <c r="D38" s="1">
        <v>236.35</v>
      </c>
      <c r="E38" s="162">
        <f>'Construction Exempt Material'!B44</f>
        <v>0</v>
      </c>
      <c r="F38" s="180">
        <f t="shared" si="5"/>
        <v>0</v>
      </c>
    </row>
    <row r="39" spans="1:6" x14ac:dyDescent="0.3">
      <c r="A39" s="180">
        <v>200002408</v>
      </c>
      <c r="B39" s="180"/>
      <c r="C39" s="180" t="s">
        <v>584</v>
      </c>
      <c r="D39" s="1">
        <v>201.17</v>
      </c>
      <c r="E39" s="162">
        <f>'Construction Exempt Material'!B45</f>
        <v>0</v>
      </c>
      <c r="F39" s="180">
        <f t="shared" si="5"/>
        <v>0</v>
      </c>
    </row>
    <row r="40" spans="1:6" x14ac:dyDescent="0.3">
      <c r="A40" s="180">
        <v>200002414</v>
      </c>
      <c r="B40" s="180"/>
      <c r="C40" s="180" t="s">
        <v>585</v>
      </c>
      <c r="D40" s="1">
        <v>271.56</v>
      </c>
      <c r="E40" s="162">
        <f>'Construction Exempt Material'!B46</f>
        <v>0</v>
      </c>
      <c r="F40" s="180">
        <f t="shared" si="5"/>
        <v>0</v>
      </c>
    </row>
    <row r="41" spans="1:6" x14ac:dyDescent="0.3">
      <c r="A41" s="180">
        <v>200002404</v>
      </c>
      <c r="B41" s="180"/>
      <c r="C41" s="180" t="s">
        <v>586</v>
      </c>
      <c r="D41" s="1">
        <v>236.35</v>
      </c>
      <c r="E41" s="162">
        <f>'Construction Exempt Material'!B47</f>
        <v>0</v>
      </c>
      <c r="F41" s="180">
        <f t="shared" si="5"/>
        <v>0</v>
      </c>
    </row>
    <row r="42" spans="1:6" x14ac:dyDescent="0.3">
      <c r="A42" s="180">
        <v>200002411</v>
      </c>
      <c r="B42" s="180"/>
      <c r="C42" s="180" t="s">
        <v>587</v>
      </c>
      <c r="D42" s="1">
        <v>201.17</v>
      </c>
      <c r="E42" s="162">
        <f>'Construction Exempt Material'!B48</f>
        <v>0</v>
      </c>
      <c r="F42" s="180">
        <f t="shared" si="5"/>
        <v>0</v>
      </c>
    </row>
    <row r="43" spans="1:6" x14ac:dyDescent="0.3">
      <c r="A43" s="181">
        <v>100088379</v>
      </c>
      <c r="B43" s="181"/>
      <c r="C43" s="181" t="s">
        <v>588</v>
      </c>
      <c r="D43" s="1">
        <v>247.44</v>
      </c>
      <c r="E43" s="162">
        <f>'Construction Exempt Material'!B49</f>
        <v>0</v>
      </c>
      <c r="F43" s="181">
        <f t="shared" si="5"/>
        <v>0</v>
      </c>
    </row>
    <row r="44" spans="1:6" x14ac:dyDescent="0.3">
      <c r="A44" s="181">
        <v>100088380</v>
      </c>
      <c r="B44" s="181"/>
      <c r="C44" s="181" t="s">
        <v>589</v>
      </c>
      <c r="D44" s="1">
        <v>494.87</v>
      </c>
      <c r="E44" s="162">
        <f>'Construction Exempt Material'!B50</f>
        <v>0</v>
      </c>
      <c r="F44" s="181">
        <f t="shared" si="5"/>
        <v>0</v>
      </c>
    </row>
    <row r="45" spans="1:6" x14ac:dyDescent="0.3">
      <c r="A45" s="181">
        <v>200002564</v>
      </c>
      <c r="B45" s="181"/>
      <c r="C45" s="181" t="s">
        <v>590</v>
      </c>
      <c r="D45" s="1">
        <v>742.32</v>
      </c>
      <c r="E45" s="162">
        <f>'Construction Exempt Material'!B51</f>
        <v>0</v>
      </c>
      <c r="F45" s="181">
        <f t="shared" si="5"/>
        <v>0</v>
      </c>
    </row>
    <row r="46" spans="1:6" x14ac:dyDescent="0.3">
      <c r="A46" s="181">
        <v>200002567</v>
      </c>
      <c r="B46" s="181"/>
      <c r="C46" s="181" t="s">
        <v>591</v>
      </c>
      <c r="D46" s="1">
        <v>989.75</v>
      </c>
      <c r="E46" s="162">
        <f>'Construction Exempt Material'!B52</f>
        <v>0</v>
      </c>
      <c r="F46" s="181">
        <f t="shared" si="5"/>
        <v>0</v>
      </c>
    </row>
    <row r="47" spans="1:6" x14ac:dyDescent="0.3">
      <c r="A47" s="180">
        <v>100089546</v>
      </c>
      <c r="B47" s="180"/>
      <c r="C47" s="180" t="s">
        <v>592</v>
      </c>
      <c r="D47" s="1">
        <v>266.77</v>
      </c>
      <c r="E47" s="162">
        <f>'Construction Exempt Material'!B53</f>
        <v>1</v>
      </c>
      <c r="F47" s="180">
        <f t="shared" si="5"/>
        <v>266.77</v>
      </c>
    </row>
    <row r="48" spans="1:6" x14ac:dyDescent="0.3">
      <c r="A48" s="180">
        <v>100089547</v>
      </c>
      <c r="B48" s="180"/>
      <c r="C48" s="180" t="s">
        <v>593</v>
      </c>
      <c r="D48" s="1">
        <v>533.53</v>
      </c>
      <c r="E48" s="162">
        <f>'Construction Exempt Material'!B54</f>
        <v>1</v>
      </c>
      <c r="F48" s="180">
        <f t="shared" si="5"/>
        <v>533.53</v>
      </c>
    </row>
    <row r="49" spans="1:10" x14ac:dyDescent="0.3">
      <c r="A49" s="180">
        <v>200002565</v>
      </c>
      <c r="B49" s="180"/>
      <c r="C49" s="180" t="s">
        <v>594</v>
      </c>
      <c r="D49" s="1">
        <v>804.41</v>
      </c>
      <c r="E49" s="162">
        <f>'Construction Exempt Material'!B55</f>
        <v>1</v>
      </c>
      <c r="F49" s="180">
        <f t="shared" si="5"/>
        <v>804.41</v>
      </c>
    </row>
    <row r="50" spans="1:10" x14ac:dyDescent="0.3">
      <c r="A50" s="180">
        <v>200002568</v>
      </c>
      <c r="B50" s="180"/>
      <c r="C50" s="180" t="s">
        <v>595</v>
      </c>
      <c r="D50" s="1">
        <v>1067.08</v>
      </c>
      <c r="E50" s="162">
        <f>'Construction Exempt Material'!B56</f>
        <v>0</v>
      </c>
      <c r="F50" s="180">
        <f t="shared" si="5"/>
        <v>0</v>
      </c>
    </row>
    <row r="51" spans="1:10" x14ac:dyDescent="0.3">
      <c r="A51" s="181">
        <v>200002285</v>
      </c>
      <c r="B51" s="181"/>
      <c r="C51" s="181" t="s">
        <v>596</v>
      </c>
      <c r="D51" s="1">
        <v>323.39</v>
      </c>
      <c r="E51" s="162">
        <f>'Construction Exempt Material'!B57</f>
        <v>0</v>
      </c>
      <c r="F51" s="181">
        <f t="shared" si="5"/>
        <v>0</v>
      </c>
      <c r="J51" s="1" t="s">
        <v>597</v>
      </c>
    </row>
    <row r="52" spans="1:10" x14ac:dyDescent="0.3">
      <c r="A52" s="181">
        <v>200002286</v>
      </c>
      <c r="B52" s="181"/>
      <c r="C52" s="181" t="s">
        <v>598</v>
      </c>
      <c r="D52" s="1">
        <v>646.77</v>
      </c>
      <c r="E52" s="162">
        <f>'Construction Exempt Material'!B58</f>
        <v>0</v>
      </c>
      <c r="F52" s="181">
        <f t="shared" si="5"/>
        <v>0</v>
      </c>
    </row>
    <row r="53" spans="1:10" x14ac:dyDescent="0.3">
      <c r="A53" s="181">
        <v>200004243</v>
      </c>
      <c r="B53" s="181"/>
      <c r="C53" s="181" t="s">
        <v>599</v>
      </c>
      <c r="D53" s="1">
        <v>970.16</v>
      </c>
      <c r="E53" s="162">
        <f>'Construction Exempt Material'!B59</f>
        <v>0</v>
      </c>
      <c r="F53" s="181">
        <f t="shared" si="5"/>
        <v>0</v>
      </c>
    </row>
    <row r="54" spans="1:10" x14ac:dyDescent="0.3">
      <c r="A54" s="181">
        <v>200004245</v>
      </c>
      <c r="B54" s="181"/>
      <c r="C54" s="181" t="s">
        <v>600</v>
      </c>
      <c r="D54" s="1">
        <v>1293.55</v>
      </c>
      <c r="E54" s="162">
        <f>'Construction Exempt Material'!B60</f>
        <v>0</v>
      </c>
      <c r="F54" s="181">
        <f t="shared" si="5"/>
        <v>0</v>
      </c>
    </row>
    <row r="55" spans="1:10" x14ac:dyDescent="0.3">
      <c r="A55" s="180">
        <v>200002410</v>
      </c>
      <c r="B55" s="180"/>
      <c r="C55" s="180" t="s">
        <v>601</v>
      </c>
      <c r="D55" s="1">
        <v>271.56</v>
      </c>
      <c r="E55" s="162">
        <f>'Construction Exempt Material'!B61</f>
        <v>0</v>
      </c>
      <c r="F55" s="180">
        <f t="shared" si="5"/>
        <v>0</v>
      </c>
    </row>
    <row r="56" spans="1:10" x14ac:dyDescent="0.3">
      <c r="A56" s="180">
        <v>200002412</v>
      </c>
      <c r="B56" s="180"/>
      <c r="C56" s="180" t="s">
        <v>602</v>
      </c>
      <c r="D56" s="1">
        <v>543.11</v>
      </c>
      <c r="E56" s="162">
        <f>'Construction Exempt Material'!B62</f>
        <v>0</v>
      </c>
      <c r="F56" s="180">
        <f t="shared" si="5"/>
        <v>0</v>
      </c>
    </row>
    <row r="57" spans="1:10" x14ac:dyDescent="0.3">
      <c r="A57" s="180">
        <v>200002566</v>
      </c>
      <c r="B57" s="180"/>
      <c r="C57" s="180" t="s">
        <v>603</v>
      </c>
      <c r="D57" s="1">
        <v>814.67</v>
      </c>
      <c r="E57" s="162">
        <f>'Construction Exempt Material'!B63</f>
        <v>0</v>
      </c>
      <c r="F57" s="180">
        <f t="shared" si="5"/>
        <v>0</v>
      </c>
    </row>
    <row r="58" spans="1:10" x14ac:dyDescent="0.3">
      <c r="A58" s="180">
        <v>200002569</v>
      </c>
      <c r="B58" s="180"/>
      <c r="C58" s="180" t="s">
        <v>604</v>
      </c>
      <c r="D58" s="1">
        <v>1086.21</v>
      </c>
      <c r="E58" s="162">
        <f>'Construction Exempt Material'!B64</f>
        <v>0</v>
      </c>
      <c r="F58" s="180">
        <f t="shared" si="5"/>
        <v>0</v>
      </c>
    </row>
    <row r="59" spans="1:10" x14ac:dyDescent="0.3">
      <c r="I59" s="1" t="s">
        <v>605</v>
      </c>
      <c r="J59" s="1" t="s">
        <v>606</v>
      </c>
    </row>
    <row r="60" spans="1:10" x14ac:dyDescent="0.3">
      <c r="A60" s="184">
        <v>100083605</v>
      </c>
      <c r="B60" s="180" t="s">
        <v>91</v>
      </c>
      <c r="C60" s="180" t="s">
        <v>607</v>
      </c>
      <c r="D60" s="1">
        <v>91.63</v>
      </c>
      <c r="E60" s="1">
        <f>SUM(H2,K2,H3:H5)</f>
        <v>0</v>
      </c>
      <c r="F60" s="180">
        <f>E60*D60</f>
        <v>0</v>
      </c>
      <c r="I60" s="1" t="s">
        <v>324</v>
      </c>
      <c r="J60" s="1" t="s">
        <v>324</v>
      </c>
    </row>
    <row r="61" spans="1:10" x14ac:dyDescent="0.3">
      <c r="A61" s="180">
        <v>100006143</v>
      </c>
      <c r="B61" s="180" t="s">
        <v>90</v>
      </c>
      <c r="C61" s="180" t="s">
        <v>608</v>
      </c>
      <c r="D61" s="1">
        <v>24.46</v>
      </c>
      <c r="E61" s="1">
        <f>'Construction Exempt Material'!B10</f>
        <v>0</v>
      </c>
      <c r="F61" s="180">
        <f t="shared" ref="F61:F67" si="6">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3">
      <c r="A62" s="180">
        <v>200001922</v>
      </c>
      <c r="B62" s="180" t="s">
        <v>90</v>
      </c>
      <c r="C62" s="180" t="s">
        <v>609</v>
      </c>
      <c r="D62" s="1">
        <v>143.94</v>
      </c>
      <c r="E62" s="1">
        <f>'Construction Exempt Material'!B11</f>
        <v>29</v>
      </c>
      <c r="F62" s="180">
        <f t="shared" si="6"/>
        <v>4174.26</v>
      </c>
      <c r="I62" s="1">
        <f>COUNTIFS('Assignment Tool'!C$17:C$2050,"TCF",'Assignment Tool'!E$17:E$2050,"4",'Assignment Tool'!F$17:F$2050,"HH")</f>
        <v>0</v>
      </c>
    </row>
    <row r="63" spans="1:10" x14ac:dyDescent="0.3">
      <c r="A63" s="185">
        <v>100035465</v>
      </c>
      <c r="B63" s="180" t="s">
        <v>610</v>
      </c>
      <c r="C63" s="180" t="s">
        <v>611</v>
      </c>
      <c r="D63" s="1">
        <v>493.77</v>
      </c>
      <c r="E63" s="1">
        <f>'Construction Exempt Material'!B13</f>
        <v>6</v>
      </c>
      <c r="F63" s="180">
        <f t="shared" si="6"/>
        <v>2962.62</v>
      </c>
      <c r="I63" s="1">
        <f>COUNTIFS('Assignment Tool'!C$17:C$2050,"TCF",'Assignment Tool'!E$17:E$2050,"6",'Assignment Tool'!F$17:F$2050,"HH")</f>
        <v>0</v>
      </c>
    </row>
    <row r="64" spans="1:10" x14ac:dyDescent="0.3">
      <c r="A64" s="180">
        <v>100081409</v>
      </c>
      <c r="B64" s="180" t="s">
        <v>612</v>
      </c>
      <c r="C64" s="180" t="s">
        <v>613</v>
      </c>
      <c r="D64" s="1">
        <v>639.85</v>
      </c>
      <c r="E64" s="1">
        <f>'Construction Exempt Material'!B15</f>
        <v>0</v>
      </c>
      <c r="F64" s="180">
        <f t="shared" si="6"/>
        <v>0</v>
      </c>
      <c r="I64" s="1">
        <f>COUNTIFS('Assignment Tool'!C$17:C$2050,"TCF",'Assignment Tool'!E$17:E$2050,"8",'Assignment Tool'!F$17:F$2050,"HH")</f>
        <v>0</v>
      </c>
    </row>
    <row r="65" spans="1:16" x14ac:dyDescent="0.3">
      <c r="A65" s="180">
        <v>100006191</v>
      </c>
      <c r="B65" s="180" t="s">
        <v>612</v>
      </c>
      <c r="C65" s="180" t="s">
        <v>614</v>
      </c>
      <c r="D65" s="1">
        <v>654.95000000000005</v>
      </c>
      <c r="E65" s="1">
        <f>'Construction Exempt Material'!B16</f>
        <v>0</v>
      </c>
      <c r="F65" s="180">
        <f t="shared" ref="F65" si="7">E65*D65</f>
        <v>0</v>
      </c>
    </row>
    <row r="66" spans="1:16" x14ac:dyDescent="0.3">
      <c r="A66" s="180">
        <v>100006155</v>
      </c>
      <c r="B66" s="180"/>
      <c r="C66" s="180" t="s">
        <v>615</v>
      </c>
      <c r="D66" s="1">
        <v>87.96</v>
      </c>
      <c r="E66" s="1">
        <f>'Construction Exempt Material'!B12</f>
        <v>0</v>
      </c>
      <c r="F66" s="180">
        <f t="shared" si="6"/>
        <v>0</v>
      </c>
      <c r="G66" s="1">
        <f>SUM(I5,I124:I135,J61)</f>
        <v>0</v>
      </c>
    </row>
    <row r="67" spans="1:16" x14ac:dyDescent="0.3">
      <c r="A67" s="180">
        <v>100006173</v>
      </c>
      <c r="B67" s="180"/>
      <c r="C67" s="180" t="s">
        <v>616</v>
      </c>
      <c r="D67" s="1">
        <v>424.23</v>
      </c>
      <c r="E67" s="1">
        <f>'Construction Exempt Material'!B14</f>
        <v>0</v>
      </c>
      <c r="F67" s="180">
        <f t="shared" si="6"/>
        <v>0</v>
      </c>
    </row>
    <row r="69" spans="1:16" x14ac:dyDescent="0.3">
      <c r="A69" s="1">
        <v>100006143</v>
      </c>
      <c r="B69" s="1" t="s">
        <v>90</v>
      </c>
      <c r="C69" s="1" t="s">
        <v>617</v>
      </c>
      <c r="D69" s="1">
        <v>22.66</v>
      </c>
      <c r="E69" s="1">
        <f>'Construction Exempt Material'!B70</f>
        <v>12</v>
      </c>
      <c r="F69" s="126">
        <f>E69*D69</f>
        <v>271.92</v>
      </c>
    </row>
    <row r="70" spans="1:16" x14ac:dyDescent="0.3">
      <c r="A70" s="1">
        <v>100069989</v>
      </c>
      <c r="B70" s="1" t="s">
        <v>618</v>
      </c>
      <c r="C70" s="1" t="s">
        <v>619</v>
      </c>
      <c r="D70" s="1">
        <v>0.65</v>
      </c>
      <c r="E70" s="1">
        <f>'Construction Exempt Material'!B69</f>
        <v>1904</v>
      </c>
      <c r="F70" s="126">
        <f>E70*D70</f>
        <v>1237.6000000000001</v>
      </c>
    </row>
    <row r="71" spans="1:16" x14ac:dyDescent="0.3">
      <c r="A71" s="1">
        <v>200001922</v>
      </c>
      <c r="B71" s="1" t="s">
        <v>90</v>
      </c>
      <c r="C71" s="1" t="s">
        <v>609</v>
      </c>
      <c r="D71" s="1">
        <v>143.94</v>
      </c>
      <c r="E71" s="1">
        <f>'Construction Exempt Material'!B71</f>
        <v>0</v>
      </c>
      <c r="F71" s="126">
        <f>E71*D71</f>
        <v>0</v>
      </c>
    </row>
    <row r="74" spans="1:16" x14ac:dyDescent="0.3">
      <c r="A74" s="1">
        <v>100001248</v>
      </c>
      <c r="B74" s="1" t="s">
        <v>620</v>
      </c>
      <c r="C74" s="1" t="s">
        <v>621</v>
      </c>
      <c r="D74" s="1">
        <v>1.23</v>
      </c>
      <c r="F74" s="1">
        <f>'HH Calculator'!D31*Data!D74</f>
        <v>0</v>
      </c>
    </row>
    <row r="75" spans="1:16" x14ac:dyDescent="0.3">
      <c r="A75" s="1">
        <v>100001242</v>
      </c>
      <c r="B75" s="1" t="s">
        <v>620</v>
      </c>
      <c r="C75" s="1" t="s">
        <v>622</v>
      </c>
      <c r="D75" s="1">
        <v>1.1100000000000001</v>
      </c>
      <c r="F75" s="1">
        <f>'Construction Exempt Material'!B76*Data!D75</f>
        <v>0</v>
      </c>
    </row>
    <row r="76" spans="1:16" x14ac:dyDescent="0.3">
      <c r="A76" s="1">
        <v>100001308</v>
      </c>
      <c r="B76" s="124" t="s">
        <v>623</v>
      </c>
      <c r="C76" s="337" t="s">
        <v>624</v>
      </c>
      <c r="D76" s="337">
        <v>1.08</v>
      </c>
    </row>
    <row r="77" spans="1:16" x14ac:dyDescent="0.3">
      <c r="A77" s="1">
        <v>100001338</v>
      </c>
      <c r="B77" s="124" t="s">
        <v>625</v>
      </c>
      <c r="C77" s="337"/>
      <c r="D77" s="337"/>
    </row>
    <row r="78" spans="1:16" x14ac:dyDescent="0.3">
      <c r="A78" s="1">
        <v>100001308</v>
      </c>
      <c r="B78" s="124" t="s">
        <v>626</v>
      </c>
      <c r="C78" s="337" t="s">
        <v>627</v>
      </c>
      <c r="D78" s="337">
        <v>1.62</v>
      </c>
    </row>
    <row r="79" spans="1:16" x14ac:dyDescent="0.3">
      <c r="A79" s="1">
        <v>100001310</v>
      </c>
      <c r="B79" s="124" t="s">
        <v>628</v>
      </c>
      <c r="C79" s="337"/>
      <c r="D79" s="337"/>
    </row>
    <row r="80" spans="1:16" x14ac:dyDescent="0.3">
      <c r="A80" s="1">
        <v>100001338</v>
      </c>
      <c r="B80" s="124"/>
      <c r="C80" s="337"/>
      <c r="D80" s="337"/>
      <c r="P80" s="21"/>
    </row>
    <row r="81" spans="1:15" x14ac:dyDescent="0.3">
      <c r="A81" s="99">
        <v>100087882</v>
      </c>
      <c r="B81" s="99" t="s">
        <v>629</v>
      </c>
      <c r="C81" s="99" t="s">
        <v>630</v>
      </c>
      <c r="D81" s="99">
        <v>583</v>
      </c>
    </row>
    <row r="82" spans="1:15" x14ac:dyDescent="0.3">
      <c r="A82" s="99">
        <v>100086300</v>
      </c>
      <c r="B82" s="99" t="s">
        <v>631</v>
      </c>
      <c r="C82" s="99" t="s">
        <v>632</v>
      </c>
      <c r="D82" s="99">
        <v>365.18</v>
      </c>
    </row>
    <row r="84" spans="1:15" x14ac:dyDescent="0.3">
      <c r="A84" s="22">
        <v>100069749</v>
      </c>
      <c r="B84" s="22" t="s">
        <v>633</v>
      </c>
      <c r="C84" s="22" t="s">
        <v>634</v>
      </c>
      <c r="D84" s="22">
        <v>1.97</v>
      </c>
      <c r="F84" s="1" t="str">
        <f>IFERROR(VLOOKUP(B84,'HH Calculator'!B:D,3,FALSE)*D84,"")</f>
        <v/>
      </c>
    </row>
    <row r="85" spans="1:15" x14ac:dyDescent="0.3">
      <c r="A85" s="1">
        <v>100083012</v>
      </c>
      <c r="B85" s="1" t="s">
        <v>635</v>
      </c>
      <c r="C85" s="1" t="s">
        <v>636</v>
      </c>
      <c r="D85" s="1">
        <v>0.32</v>
      </c>
      <c r="F85" s="1" t="str">
        <f>IFERROR(VLOOKUP(B85,'HH Calculator'!B:D,3,FALSE)*D85,"")</f>
        <v/>
      </c>
    </row>
    <row r="87" spans="1:15" ht="28.8" x14ac:dyDescent="0.3">
      <c r="G87" s="208" t="s">
        <v>530</v>
      </c>
      <c r="H87" s="208" t="s">
        <v>531</v>
      </c>
      <c r="I87" s="208" t="s">
        <v>532</v>
      </c>
      <c r="J87" s="208" t="s">
        <v>533</v>
      </c>
      <c r="K87" s="208" t="s">
        <v>534</v>
      </c>
      <c r="L87" s="208" t="s">
        <v>535</v>
      </c>
      <c r="M87" s="208"/>
      <c r="N87" s="1" t="s">
        <v>536</v>
      </c>
      <c r="O87" s="1" t="s">
        <v>537</v>
      </c>
    </row>
    <row r="88" spans="1:15" x14ac:dyDescent="0.3">
      <c r="A88" s="1">
        <v>200008960</v>
      </c>
      <c r="B88" s="1" t="s">
        <v>637</v>
      </c>
      <c r="C88" s="1" t="s">
        <v>638</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3">
      <c r="A89" s="1">
        <v>200008971</v>
      </c>
      <c r="B89" s="1" t="s">
        <v>639</v>
      </c>
      <c r="C89" s="1" t="s">
        <v>640</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3">
      <c r="A90" s="1">
        <v>200008932</v>
      </c>
      <c r="B90" s="1" t="s">
        <v>641</v>
      </c>
      <c r="C90" s="1" t="s">
        <v>642</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3">
      <c r="A91" s="1">
        <v>200008986</v>
      </c>
      <c r="B91" s="1" t="s">
        <v>643</v>
      </c>
      <c r="C91" s="1" t="s">
        <v>644</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3">
      <c r="A92" s="1">
        <v>200008966</v>
      </c>
      <c r="B92" s="1" t="s">
        <v>645</v>
      </c>
      <c r="C92" s="1" t="s">
        <v>646</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3">
      <c r="A93" s="1">
        <v>200009011</v>
      </c>
      <c r="B93" s="1" t="s">
        <v>647</v>
      </c>
      <c r="C93" s="1" t="s">
        <v>648</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3">
      <c r="A94" s="1">
        <v>200008988</v>
      </c>
      <c r="B94" s="1" t="s">
        <v>649</v>
      </c>
      <c r="C94" s="1" t="s">
        <v>650</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3">
      <c r="A95" s="1">
        <v>200008997</v>
      </c>
      <c r="B95" s="1" t="s">
        <v>651</v>
      </c>
      <c r="C95" s="1" t="s">
        <v>652</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3">
      <c r="A96" s="1">
        <v>200008992</v>
      </c>
      <c r="B96" s="1" t="s">
        <v>653</v>
      </c>
      <c r="C96" s="1" t="s">
        <v>654</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3">
      <c r="A97" s="1">
        <v>200009013</v>
      </c>
      <c r="B97" s="1" t="s">
        <v>655</v>
      </c>
      <c r="C97" s="1" t="s">
        <v>656</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3">
      <c r="A98" s="1">
        <v>200008927</v>
      </c>
      <c r="B98" s="1" t="s">
        <v>657</v>
      </c>
      <c r="C98" s="1" t="s">
        <v>658</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3">
      <c r="A99" s="1">
        <v>200008934</v>
      </c>
      <c r="B99" s="1" t="s">
        <v>659</v>
      </c>
      <c r="C99" s="1" t="s">
        <v>660</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3">
      <c r="A100" s="1">
        <v>200008981</v>
      </c>
      <c r="B100" s="1" t="s">
        <v>661</v>
      </c>
      <c r="C100" s="1" t="s">
        <v>662</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3">
      <c r="A101" s="1">
        <v>200008948</v>
      </c>
      <c r="B101" s="1" t="s">
        <v>663</v>
      </c>
      <c r="C101" s="1" t="s">
        <v>664</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3">
      <c r="A102" s="1">
        <v>200008998</v>
      </c>
      <c r="B102" s="1" t="s">
        <v>665</v>
      </c>
      <c r="C102" s="1" t="s">
        <v>666</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3">
      <c r="A103" s="1">
        <v>200008991</v>
      </c>
      <c r="B103" s="1" t="s">
        <v>667</v>
      </c>
      <c r="C103" s="1" t="s">
        <v>668</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3">
      <c r="A104" s="1">
        <v>200008935</v>
      </c>
      <c r="B104" s="1" t="s">
        <v>669</v>
      </c>
      <c r="C104" s="1" t="s">
        <v>670</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3">
      <c r="A105" s="1">
        <v>200008924</v>
      </c>
      <c r="B105" s="1" t="s">
        <v>671</v>
      </c>
      <c r="C105" s="1" t="s">
        <v>672</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3">
      <c r="A106" s="1">
        <v>200009010</v>
      </c>
      <c r="B106" s="1" t="s">
        <v>673</v>
      </c>
      <c r="C106" s="1" t="s">
        <v>674</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3">
      <c r="A107" s="1">
        <v>200008946</v>
      </c>
      <c r="B107" s="1" t="s">
        <v>675</v>
      </c>
      <c r="C107" s="1" t="s">
        <v>676</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3">
      <c r="A108" s="1">
        <v>200008972</v>
      </c>
      <c r="B108" s="1" t="s">
        <v>677</v>
      </c>
      <c r="C108" s="1" t="s">
        <v>678</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3">
      <c r="A109" s="1">
        <v>200008930</v>
      </c>
      <c r="B109" s="1" t="s">
        <v>679</v>
      </c>
      <c r="C109" s="1" t="s">
        <v>680</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3">
      <c r="A110" s="1">
        <v>200008957</v>
      </c>
      <c r="B110" s="1" t="s">
        <v>681</v>
      </c>
      <c r="C110" s="1" t="s">
        <v>682</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3">
      <c r="A111" s="1">
        <v>200008928</v>
      </c>
      <c r="B111" s="1" t="s">
        <v>683</v>
      </c>
      <c r="C111" s="1" t="s">
        <v>684</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3">
      <c r="A112" s="1">
        <v>200008951</v>
      </c>
      <c r="B112" s="1" t="s">
        <v>685</v>
      </c>
      <c r="C112" s="1" t="s">
        <v>686</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3">
      <c r="A113" s="1">
        <v>200008939</v>
      </c>
      <c r="B113" s="1" t="s">
        <v>687</v>
      </c>
      <c r="C113" s="1" t="s">
        <v>688</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3">
      <c r="A114" s="1">
        <v>200008922</v>
      </c>
      <c r="B114" s="1" t="s">
        <v>689</v>
      </c>
      <c r="C114" s="1" t="s">
        <v>690</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3">
      <c r="A115" s="1">
        <v>200008933</v>
      </c>
      <c r="B115" s="1" t="s">
        <v>691</v>
      </c>
      <c r="C115" s="1" t="s">
        <v>692</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3">
      <c r="A116" s="1">
        <v>200008984</v>
      </c>
      <c r="B116" s="1" t="s">
        <v>693</v>
      </c>
      <c r="C116" s="1" t="s">
        <v>694</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3">
      <c r="A117" s="1">
        <v>200008977</v>
      </c>
      <c r="B117" s="1" t="s">
        <v>695</v>
      </c>
      <c r="C117" s="1" t="s">
        <v>696</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3">
      <c r="A118" s="1">
        <v>200009004</v>
      </c>
      <c r="B118" s="1" t="s">
        <v>697</v>
      </c>
      <c r="C118" s="1" t="s">
        <v>698</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3">
      <c r="A119" s="1">
        <v>200008956</v>
      </c>
      <c r="B119" s="1" t="s">
        <v>699</v>
      </c>
      <c r="C119" s="1" t="s">
        <v>700</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3">
      <c r="A120" s="1">
        <v>200008987</v>
      </c>
      <c r="B120" s="1" t="s">
        <v>701</v>
      </c>
      <c r="C120" s="1" t="s">
        <v>702</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3">
      <c r="A121" s="1">
        <v>200008978</v>
      </c>
      <c r="B121" s="1" t="s">
        <v>703</v>
      </c>
      <c r="C121" s="1" t="s">
        <v>704</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3">
      <c r="A122" s="1">
        <v>200009005</v>
      </c>
      <c r="B122" s="1" t="s">
        <v>705</v>
      </c>
      <c r="C122" s="1" t="s">
        <v>706</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3">
      <c r="A123" s="1">
        <v>200008937</v>
      </c>
      <c r="B123" s="1" t="s">
        <v>707</v>
      </c>
      <c r="C123" s="1" t="s">
        <v>708</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3">
      <c r="A124" s="1">
        <v>200008943</v>
      </c>
      <c r="B124" s="1" t="s">
        <v>709</v>
      </c>
      <c r="C124" s="1" t="s">
        <v>710</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3">
      <c r="A125" s="1">
        <v>200008936</v>
      </c>
      <c r="B125" s="1" t="s">
        <v>711</v>
      </c>
      <c r="C125" s="1" t="s">
        <v>712</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3">
      <c r="A126" s="1">
        <v>200009007</v>
      </c>
      <c r="B126" s="1" t="s">
        <v>713</v>
      </c>
      <c r="C126" s="1" t="s">
        <v>714</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3">
      <c r="A127" s="1">
        <v>200009014</v>
      </c>
      <c r="B127" s="1" t="s">
        <v>715</v>
      </c>
      <c r="C127" s="1" t="s">
        <v>716</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3">
      <c r="A128" s="1">
        <v>200009000</v>
      </c>
      <c r="B128" s="1" t="s">
        <v>717</v>
      </c>
      <c r="C128" s="1" t="s">
        <v>718</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3">
      <c r="A129" s="1">
        <v>200008944</v>
      </c>
      <c r="B129" s="1" t="s">
        <v>719</v>
      </c>
      <c r="C129" s="1" t="s">
        <v>720</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3">
      <c r="A130" s="1">
        <v>200008996</v>
      </c>
      <c r="B130" s="1" t="s">
        <v>721</v>
      </c>
      <c r="C130" s="1" t="s">
        <v>722</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3">
      <c r="A131" s="1">
        <v>200008962</v>
      </c>
      <c r="B131" s="1" t="s">
        <v>723</v>
      </c>
      <c r="C131" s="1" t="s">
        <v>724</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3">
      <c r="A132" s="1">
        <v>200009001</v>
      </c>
      <c r="B132" s="1" t="s">
        <v>725</v>
      </c>
      <c r="C132" s="1" t="s">
        <v>726</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3">
      <c r="A133" s="1">
        <v>200008931</v>
      </c>
      <c r="B133" s="1" t="s">
        <v>727</v>
      </c>
      <c r="C133" s="1" t="s">
        <v>728</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3">
      <c r="A134" s="1">
        <v>200008980</v>
      </c>
      <c r="B134" s="1" t="s">
        <v>729</v>
      </c>
      <c r="C134" s="1" t="s">
        <v>730</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3">
      <c r="A135" s="1">
        <v>200008989</v>
      </c>
      <c r="B135" s="1" t="s">
        <v>731</v>
      </c>
      <c r="C135" s="1" t="s">
        <v>732</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W109"/>
  <sheetViews>
    <sheetView topLeftCell="B2" zoomScale="130" zoomScaleNormal="130" workbookViewId="0">
      <selection activeCell="F69" sqref="F69"/>
    </sheetView>
  </sheetViews>
  <sheetFormatPr defaultColWidth="9.109375" defaultRowHeight="14.4" x14ac:dyDescent="0.3"/>
  <cols>
    <col min="1" max="1" width="5" style="2" hidden="1" customWidth="1"/>
    <col min="2" max="2" width="12" style="2" customWidth="1"/>
    <col min="3" max="3" width="21.6640625" style="2" customWidth="1"/>
    <col min="4" max="4" width="15.6640625" style="2" customWidth="1"/>
    <col min="5" max="5" width="48.6640625" style="2" customWidth="1"/>
    <col min="6" max="6" width="10.6640625" style="206" customWidth="1"/>
    <col min="7" max="7" width="12" style="207" customWidth="1"/>
    <col min="8" max="8" width="21.6640625" style="206" customWidth="1"/>
    <col min="9" max="9" width="15.6640625" style="206" customWidth="1"/>
    <col min="10" max="10" width="48.6640625" style="206" customWidth="1"/>
    <col min="11" max="18" width="9.109375" style="206"/>
    <col min="19" max="16384" width="9.109375" style="2"/>
  </cols>
  <sheetData>
    <row r="1" spans="1:23" hidden="1" x14ac:dyDescent="0.3">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4">
      <c r="A2" s="149"/>
      <c r="B2" s="155" t="s">
        <v>733</v>
      </c>
      <c r="C2" s="179" t="s">
        <v>734</v>
      </c>
      <c r="D2" s="340" t="s">
        <v>735</v>
      </c>
      <c r="E2" s="341"/>
      <c r="F2" s="199"/>
      <c r="G2" s="200"/>
      <c r="H2" s="199"/>
      <c r="I2" s="199"/>
      <c r="J2" s="199"/>
      <c r="K2" s="199"/>
      <c r="L2" s="199"/>
      <c r="M2" s="199"/>
      <c r="N2" s="199"/>
      <c r="O2" s="199"/>
      <c r="P2" s="199"/>
      <c r="Q2" s="199"/>
      <c r="R2" s="199"/>
    </row>
    <row r="3" spans="1:23" ht="25.8" x14ac:dyDescent="0.5">
      <c r="A3" s="149"/>
      <c r="B3" s="223" t="s">
        <v>736</v>
      </c>
      <c r="C3" s="224"/>
      <c r="D3" s="224"/>
      <c r="E3" s="224"/>
      <c r="F3" s="224"/>
      <c r="G3" s="224"/>
      <c r="H3" s="224"/>
      <c r="I3" s="224"/>
      <c r="J3" s="225"/>
      <c r="K3" s="199"/>
      <c r="L3" s="199"/>
      <c r="M3" s="199"/>
      <c r="N3" s="199"/>
      <c r="O3" s="199"/>
      <c r="P3" s="199"/>
      <c r="Q3" s="199"/>
      <c r="R3" s="199"/>
    </row>
    <row r="4" spans="1:23" ht="24" x14ac:dyDescent="0.3">
      <c r="A4" s="149"/>
      <c r="B4" s="3" t="s">
        <v>737</v>
      </c>
      <c r="C4" s="3" t="s">
        <v>738</v>
      </c>
      <c r="D4" s="3" t="s">
        <v>525</v>
      </c>
      <c r="E4" s="23" t="s">
        <v>527</v>
      </c>
      <c r="F4" s="218"/>
      <c r="G4" s="3" t="s">
        <v>737</v>
      </c>
      <c r="H4" s="3" t="s">
        <v>738</v>
      </c>
      <c r="I4" s="3" t="s">
        <v>525</v>
      </c>
      <c r="J4" s="23" t="s">
        <v>527</v>
      </c>
      <c r="K4" s="199"/>
      <c r="L4" s="199"/>
      <c r="M4" s="199"/>
      <c r="N4" s="199"/>
      <c r="O4" s="199"/>
      <c r="P4" s="199"/>
      <c r="Q4" s="199"/>
      <c r="R4" s="199"/>
    </row>
    <row r="5" spans="1:23" x14ac:dyDescent="0.3">
      <c r="A5" s="149"/>
      <c r="B5" s="235">
        <f>Data!E2</f>
        <v>67</v>
      </c>
      <c r="C5" s="156" t="s">
        <v>84</v>
      </c>
      <c r="D5" s="156">
        <v>200008938</v>
      </c>
      <c r="E5" s="156" t="s">
        <v>540</v>
      </c>
      <c r="F5" s="219"/>
      <c r="G5" s="235">
        <f>Data!E88</f>
        <v>0</v>
      </c>
      <c r="H5" s="156" t="s">
        <v>637</v>
      </c>
      <c r="I5" s="156">
        <v>200008960</v>
      </c>
      <c r="J5" s="156" t="s">
        <v>638</v>
      </c>
      <c r="K5" s="199"/>
      <c r="L5" s="199"/>
      <c r="M5" s="199"/>
      <c r="N5" s="199"/>
      <c r="O5" s="199"/>
      <c r="P5" s="199"/>
      <c r="Q5" s="199"/>
      <c r="R5" s="199"/>
    </row>
    <row r="6" spans="1:23" x14ac:dyDescent="0.3">
      <c r="A6" s="149"/>
      <c r="B6" s="235">
        <f>Data!E3</f>
        <v>0</v>
      </c>
      <c r="C6" s="156" t="s">
        <v>85</v>
      </c>
      <c r="D6" s="156">
        <v>200008979</v>
      </c>
      <c r="E6" s="156" t="s">
        <v>544</v>
      </c>
      <c r="F6" s="219"/>
      <c r="G6" s="235">
        <f>Data!E89</f>
        <v>0</v>
      </c>
      <c r="H6" s="156" t="s">
        <v>639</v>
      </c>
      <c r="I6" s="156">
        <v>200008971</v>
      </c>
      <c r="J6" s="156" t="s">
        <v>640</v>
      </c>
      <c r="K6" s="199"/>
      <c r="L6" s="199"/>
      <c r="M6" s="199"/>
      <c r="N6" s="199"/>
      <c r="O6" s="199"/>
      <c r="P6" s="199"/>
      <c r="Q6" s="199"/>
      <c r="R6" s="199"/>
    </row>
    <row r="7" spans="1:23" x14ac:dyDescent="0.3">
      <c r="A7" s="149"/>
      <c r="B7" s="235">
        <f>Data!E4</f>
        <v>1</v>
      </c>
      <c r="C7" s="156" t="s">
        <v>86</v>
      </c>
      <c r="D7" s="156">
        <v>200008975</v>
      </c>
      <c r="E7" s="156" t="s">
        <v>547</v>
      </c>
      <c r="F7" s="219"/>
      <c r="G7" s="235">
        <f>Data!E90</f>
        <v>0</v>
      </c>
      <c r="H7" s="156" t="s">
        <v>641</v>
      </c>
      <c r="I7" s="156">
        <v>200008932</v>
      </c>
      <c r="J7" s="156" t="s">
        <v>642</v>
      </c>
      <c r="K7" s="199"/>
      <c r="L7" s="199"/>
      <c r="M7" s="199"/>
      <c r="N7" s="199"/>
      <c r="O7" s="199"/>
      <c r="P7" s="199"/>
      <c r="Q7" s="199"/>
      <c r="R7" s="199"/>
    </row>
    <row r="8" spans="1:23" x14ac:dyDescent="0.3">
      <c r="A8" s="149"/>
      <c r="B8" s="235">
        <f>Data!E5</f>
        <v>0</v>
      </c>
      <c r="C8" s="156" t="s">
        <v>87</v>
      </c>
      <c r="D8" s="156">
        <v>200009003</v>
      </c>
      <c r="E8" s="156" t="s">
        <v>550</v>
      </c>
      <c r="F8" s="219"/>
      <c r="G8" s="235">
        <f>Data!E91</f>
        <v>0</v>
      </c>
      <c r="H8" s="156" t="s">
        <v>643</v>
      </c>
      <c r="I8" s="156">
        <v>200008986</v>
      </c>
      <c r="J8" s="156" t="s">
        <v>644</v>
      </c>
      <c r="K8" s="199"/>
      <c r="L8" s="199"/>
      <c r="M8" s="199"/>
      <c r="N8" s="199"/>
      <c r="O8" s="199"/>
      <c r="P8" s="199"/>
      <c r="Q8" s="199"/>
      <c r="R8" s="199"/>
    </row>
    <row r="9" spans="1:23" x14ac:dyDescent="0.3">
      <c r="A9" s="149"/>
      <c r="B9" s="235">
        <f>'HH Calculator'!D21</f>
        <v>0</v>
      </c>
      <c r="C9" s="157" t="s">
        <v>91</v>
      </c>
      <c r="D9" s="243">
        <v>200010220</v>
      </c>
      <c r="E9" s="243" t="s">
        <v>607</v>
      </c>
      <c r="F9" s="210"/>
      <c r="G9" s="235">
        <f>Data!E92</f>
        <v>0</v>
      </c>
      <c r="H9" s="156" t="s">
        <v>645</v>
      </c>
      <c r="I9" s="156">
        <v>200008966</v>
      </c>
      <c r="J9" s="156" t="s">
        <v>646</v>
      </c>
      <c r="K9" s="199"/>
      <c r="L9" s="199"/>
      <c r="M9" s="199"/>
      <c r="N9" s="199"/>
      <c r="O9" s="199"/>
      <c r="P9" s="199"/>
      <c r="Q9" s="199"/>
      <c r="R9" s="199"/>
    </row>
    <row r="10" spans="1:23" x14ac:dyDescent="0.3">
      <c r="A10" s="149"/>
      <c r="B10" s="209"/>
      <c r="C10" s="158" t="s">
        <v>90</v>
      </c>
      <c r="D10" s="244">
        <v>100006143</v>
      </c>
      <c r="E10" s="244" t="s">
        <v>739</v>
      </c>
      <c r="F10" s="220"/>
      <c r="G10" s="235">
        <f>Data!E93</f>
        <v>0</v>
      </c>
      <c r="H10" s="156" t="s">
        <v>647</v>
      </c>
      <c r="I10" s="156">
        <v>200009011</v>
      </c>
      <c r="J10" s="156" t="s">
        <v>648</v>
      </c>
      <c r="K10" s="199"/>
      <c r="L10" s="199"/>
      <c r="M10" s="199"/>
      <c r="N10" s="199"/>
      <c r="O10" s="199"/>
      <c r="P10" s="199"/>
      <c r="Q10" s="199"/>
      <c r="R10" s="199"/>
    </row>
    <row r="11" spans="1:23" x14ac:dyDescent="0.3">
      <c r="A11" s="149"/>
      <c r="B11" s="209">
        <v>29</v>
      </c>
      <c r="C11" s="158" t="s">
        <v>90</v>
      </c>
      <c r="D11" s="244">
        <v>200001922</v>
      </c>
      <c r="E11" s="244" t="s">
        <v>740</v>
      </c>
      <c r="F11" s="220"/>
      <c r="G11" s="235">
        <f>Data!E94</f>
        <v>0</v>
      </c>
      <c r="H11" s="156" t="s">
        <v>649</v>
      </c>
      <c r="I11" s="156">
        <v>200008988</v>
      </c>
      <c r="J11" s="156" t="s">
        <v>650</v>
      </c>
      <c r="K11" s="199"/>
      <c r="L11" s="199"/>
      <c r="M11" s="199"/>
      <c r="N11" s="199"/>
      <c r="O11" s="199"/>
      <c r="P11" s="199"/>
      <c r="Q11" s="199"/>
      <c r="R11" s="199"/>
    </row>
    <row r="12" spans="1:23" x14ac:dyDescent="0.3">
      <c r="A12" s="149"/>
      <c r="B12" s="209"/>
      <c r="C12" s="159" t="s">
        <v>741</v>
      </c>
      <c r="D12" s="244">
        <v>100006155</v>
      </c>
      <c r="E12" s="245" t="s">
        <v>742</v>
      </c>
      <c r="F12" s="220"/>
      <c r="G12" s="235">
        <f>Data!E95</f>
        <v>0</v>
      </c>
      <c r="H12" s="156" t="s">
        <v>651</v>
      </c>
      <c r="I12" s="156">
        <v>200008997</v>
      </c>
      <c r="J12" s="156" t="s">
        <v>652</v>
      </c>
      <c r="K12" s="199"/>
      <c r="L12" s="199"/>
      <c r="M12" s="199"/>
      <c r="N12" s="199"/>
      <c r="O12" s="199"/>
      <c r="P12" s="199"/>
      <c r="Q12" s="199"/>
      <c r="R12" s="199"/>
    </row>
    <row r="13" spans="1:23" x14ac:dyDescent="0.3">
      <c r="A13" s="149"/>
      <c r="B13" s="209">
        <v>6</v>
      </c>
      <c r="C13" s="159" t="s">
        <v>610</v>
      </c>
      <c r="D13" s="245">
        <v>100035465</v>
      </c>
      <c r="E13" s="245" t="s">
        <v>743</v>
      </c>
      <c r="F13" s="221"/>
      <c r="G13" s="235">
        <f>Data!E96</f>
        <v>0</v>
      </c>
      <c r="H13" s="156" t="s">
        <v>653</v>
      </c>
      <c r="I13" s="156">
        <v>200008992</v>
      </c>
      <c r="J13" s="156" t="s">
        <v>654</v>
      </c>
      <c r="K13" s="199"/>
      <c r="L13" s="199"/>
      <c r="M13" s="199"/>
      <c r="N13" s="199"/>
      <c r="O13" s="199"/>
      <c r="P13" s="199"/>
      <c r="Q13" s="199"/>
      <c r="R13" s="199"/>
    </row>
    <row r="14" spans="1:23" x14ac:dyDescent="0.3">
      <c r="A14" s="149"/>
      <c r="B14" s="209"/>
      <c r="C14" s="159" t="s">
        <v>744</v>
      </c>
      <c r="D14" s="245">
        <v>100006173</v>
      </c>
      <c r="E14" s="245" t="s">
        <v>745</v>
      </c>
      <c r="F14" s="221"/>
      <c r="G14" s="235">
        <f>Data!E97</f>
        <v>0</v>
      </c>
      <c r="H14" s="156" t="s">
        <v>655</v>
      </c>
      <c r="I14" s="156">
        <v>200009013</v>
      </c>
      <c r="J14" s="156" t="s">
        <v>656</v>
      </c>
      <c r="K14" s="199"/>
      <c r="L14" s="199"/>
      <c r="M14" s="199"/>
      <c r="N14" s="199"/>
      <c r="O14" s="199"/>
      <c r="P14" s="199"/>
      <c r="Q14" s="199"/>
      <c r="R14" s="199"/>
    </row>
    <row r="15" spans="1:23" s="12" customFormat="1" ht="15" customHeight="1" x14ac:dyDescent="0.3">
      <c r="A15" s="150"/>
      <c r="B15" s="209"/>
      <c r="C15" s="160" t="s">
        <v>612</v>
      </c>
      <c r="D15" s="243">
        <v>100081409</v>
      </c>
      <c r="E15" s="247" t="s">
        <v>746</v>
      </c>
      <c r="F15" s="222"/>
      <c r="G15" s="235">
        <f>Data!E98</f>
        <v>0</v>
      </c>
      <c r="H15" s="156" t="s">
        <v>657</v>
      </c>
      <c r="I15" s="156">
        <v>200008927</v>
      </c>
      <c r="J15" s="156" t="s">
        <v>658</v>
      </c>
      <c r="K15" s="201"/>
      <c r="L15" s="201"/>
      <c r="M15" s="201"/>
      <c r="N15" s="201"/>
      <c r="O15" s="201"/>
      <c r="P15" s="201"/>
      <c r="Q15" s="201"/>
      <c r="R15" s="201"/>
    </row>
    <row r="16" spans="1:23" s="12" customFormat="1" ht="15" customHeight="1" x14ac:dyDescent="0.3">
      <c r="A16" s="150"/>
      <c r="B16" s="209"/>
      <c r="C16" s="160" t="s">
        <v>612</v>
      </c>
      <c r="D16" s="243">
        <v>100006191</v>
      </c>
      <c r="E16" s="247" t="s">
        <v>747</v>
      </c>
      <c r="F16" s="222"/>
      <c r="G16" s="235">
        <f>Data!E99</f>
        <v>0</v>
      </c>
      <c r="H16" s="156" t="s">
        <v>659</v>
      </c>
      <c r="I16" s="156">
        <v>200008934</v>
      </c>
      <c r="J16" s="156" t="s">
        <v>660</v>
      </c>
      <c r="K16" s="201"/>
      <c r="L16" s="201"/>
      <c r="M16" s="201"/>
      <c r="N16" s="201"/>
      <c r="O16" s="201"/>
      <c r="P16" s="201"/>
      <c r="Q16" s="201"/>
      <c r="R16" s="201"/>
    </row>
    <row r="17" spans="1:18" s="12" customFormat="1" ht="15" customHeight="1" x14ac:dyDescent="0.3">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286</v>
      </c>
      <c r="D17" s="244">
        <v>100083495</v>
      </c>
      <c r="E17" s="244" t="s">
        <v>556</v>
      </c>
      <c r="F17" s="220"/>
      <c r="G17" s="235">
        <f>Data!E100</f>
        <v>0</v>
      </c>
      <c r="H17" s="156" t="s">
        <v>661</v>
      </c>
      <c r="I17" s="156">
        <v>200008981</v>
      </c>
      <c r="J17" s="156" t="s">
        <v>662</v>
      </c>
      <c r="K17" s="201"/>
      <c r="L17" s="201"/>
      <c r="M17" s="201"/>
      <c r="N17" s="201"/>
      <c r="O17" s="201"/>
      <c r="P17" s="201"/>
      <c r="Q17" s="201"/>
      <c r="R17" s="201"/>
    </row>
    <row r="18" spans="1:18" s="12" customFormat="1" ht="15" customHeight="1" x14ac:dyDescent="0.3">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286</v>
      </c>
      <c r="D18" s="244">
        <v>100083494</v>
      </c>
      <c r="E18" s="244" t="s">
        <v>557</v>
      </c>
      <c r="F18" s="220"/>
      <c r="G18" s="235">
        <f>Data!E101</f>
        <v>0</v>
      </c>
      <c r="H18" s="156" t="s">
        <v>663</v>
      </c>
      <c r="I18" s="156">
        <v>200008948</v>
      </c>
      <c r="J18" s="156" t="s">
        <v>664</v>
      </c>
      <c r="K18" s="201"/>
      <c r="L18" s="201"/>
      <c r="M18" s="201"/>
      <c r="N18" s="201"/>
      <c r="O18" s="201"/>
      <c r="P18" s="201"/>
      <c r="Q18" s="201"/>
      <c r="R18" s="201"/>
    </row>
    <row r="19" spans="1:18" s="12" customFormat="1" ht="15" customHeight="1" x14ac:dyDescent="0.3">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12</v>
      </c>
      <c r="C19" s="161" t="s">
        <v>286</v>
      </c>
      <c r="D19" s="244">
        <v>100083493</v>
      </c>
      <c r="E19" s="244" t="s">
        <v>558</v>
      </c>
      <c r="F19" s="220"/>
      <c r="G19" s="235">
        <f>Data!E102</f>
        <v>0</v>
      </c>
      <c r="H19" s="156" t="s">
        <v>665</v>
      </c>
      <c r="I19" s="156">
        <v>200008998</v>
      </c>
      <c r="J19" s="156" t="s">
        <v>666</v>
      </c>
      <c r="K19" s="201"/>
      <c r="L19" s="201"/>
      <c r="M19" s="201"/>
      <c r="N19" s="201"/>
      <c r="O19" s="201"/>
      <c r="P19" s="201"/>
      <c r="Q19" s="201"/>
      <c r="R19" s="201"/>
    </row>
    <row r="20" spans="1:18" s="12" customFormat="1" ht="15" customHeight="1" x14ac:dyDescent="0.3">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286</v>
      </c>
      <c r="D20" s="244">
        <v>100089023</v>
      </c>
      <c r="E20" s="244" t="s">
        <v>559</v>
      </c>
      <c r="F20" s="220"/>
      <c r="G20" s="235">
        <f>Data!E103</f>
        <v>0</v>
      </c>
      <c r="H20" s="156" t="s">
        <v>667</v>
      </c>
      <c r="I20" s="156">
        <v>200008991</v>
      </c>
      <c r="J20" s="156" t="s">
        <v>668</v>
      </c>
      <c r="K20" s="201"/>
      <c r="L20" s="201"/>
      <c r="M20" s="201"/>
      <c r="N20" s="201"/>
      <c r="O20" s="201"/>
      <c r="P20" s="201"/>
      <c r="Q20" s="201"/>
      <c r="R20" s="201"/>
    </row>
    <row r="21" spans="1:18" s="12" customFormat="1" ht="15" customHeight="1" x14ac:dyDescent="0.3">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286</v>
      </c>
      <c r="D21" s="244">
        <v>200000002</v>
      </c>
      <c r="E21" s="244" t="s">
        <v>560</v>
      </c>
      <c r="F21" s="220"/>
      <c r="G21" s="235">
        <f>Data!E104</f>
        <v>0</v>
      </c>
      <c r="H21" s="156" t="s">
        <v>669</v>
      </c>
      <c r="I21" s="156">
        <v>200008935</v>
      </c>
      <c r="J21" s="156" t="s">
        <v>670</v>
      </c>
      <c r="K21" s="201"/>
      <c r="L21" s="201"/>
      <c r="M21" s="201"/>
      <c r="N21" s="201"/>
      <c r="O21" s="201"/>
      <c r="P21" s="201"/>
      <c r="Q21" s="201"/>
      <c r="R21" s="201"/>
    </row>
    <row r="22" spans="1:18" s="12" customFormat="1" ht="15" customHeight="1" x14ac:dyDescent="0.3">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286</v>
      </c>
      <c r="D22" s="244">
        <v>200000003</v>
      </c>
      <c r="E22" s="244" t="s">
        <v>561</v>
      </c>
      <c r="F22" s="220"/>
      <c r="G22" s="235">
        <f>Data!E105</f>
        <v>0</v>
      </c>
      <c r="H22" s="156" t="s">
        <v>671</v>
      </c>
      <c r="I22" s="156">
        <v>200008924</v>
      </c>
      <c r="J22" s="156" t="s">
        <v>672</v>
      </c>
      <c r="K22" s="201"/>
      <c r="L22" s="201"/>
      <c r="M22" s="201"/>
      <c r="N22" s="201"/>
      <c r="O22" s="201"/>
      <c r="P22" s="201"/>
      <c r="Q22" s="201"/>
      <c r="R22" s="201"/>
    </row>
    <row r="23" spans="1:18" x14ac:dyDescent="0.3">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v>
      </c>
      <c r="C23" s="161" t="s">
        <v>286</v>
      </c>
      <c r="D23" s="243">
        <v>100083595</v>
      </c>
      <c r="E23" s="243" t="s">
        <v>562</v>
      </c>
      <c r="F23" s="210"/>
      <c r="G23" s="235">
        <f>Data!E106</f>
        <v>0</v>
      </c>
      <c r="H23" s="156" t="s">
        <v>673</v>
      </c>
      <c r="I23" s="156">
        <v>200009010</v>
      </c>
      <c r="J23" s="156" t="s">
        <v>674</v>
      </c>
      <c r="K23" s="199"/>
      <c r="L23" s="199"/>
      <c r="M23" s="199"/>
      <c r="N23" s="199"/>
      <c r="O23" s="199"/>
      <c r="P23" s="199"/>
      <c r="Q23" s="199"/>
      <c r="R23" s="199"/>
    </row>
    <row r="24" spans="1:18" x14ac:dyDescent="0.3">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0</v>
      </c>
      <c r="C24" s="161" t="s">
        <v>286</v>
      </c>
      <c r="D24" s="243">
        <v>100083594</v>
      </c>
      <c r="E24" s="243" t="s">
        <v>563</v>
      </c>
      <c r="F24" s="210"/>
      <c r="G24" s="235">
        <f>Data!E107</f>
        <v>0</v>
      </c>
      <c r="H24" s="156" t="s">
        <v>675</v>
      </c>
      <c r="I24" s="156">
        <v>200008946</v>
      </c>
      <c r="J24" s="156" t="s">
        <v>676</v>
      </c>
      <c r="K24" s="199"/>
      <c r="L24" s="199"/>
      <c r="M24" s="199"/>
      <c r="N24" s="199"/>
      <c r="O24" s="199"/>
      <c r="P24" s="199"/>
      <c r="Q24" s="199"/>
      <c r="R24" s="199"/>
    </row>
    <row r="25" spans="1:18" x14ac:dyDescent="0.3">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286</v>
      </c>
      <c r="D25" s="246">
        <v>100083593</v>
      </c>
      <c r="E25" s="246" t="s">
        <v>564</v>
      </c>
      <c r="F25" s="220"/>
      <c r="G25" s="235">
        <f>Data!E108</f>
        <v>0</v>
      </c>
      <c r="H25" s="156" t="s">
        <v>677</v>
      </c>
      <c r="I25" s="156">
        <v>200008972</v>
      </c>
      <c r="J25" s="156" t="s">
        <v>678</v>
      </c>
      <c r="K25" s="199"/>
      <c r="L25" s="199"/>
      <c r="M25" s="199"/>
      <c r="N25" s="199"/>
      <c r="O25" s="199"/>
      <c r="P25" s="199"/>
      <c r="Q25" s="199"/>
      <c r="R25" s="199"/>
    </row>
    <row r="26" spans="1:18" x14ac:dyDescent="0.3">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58</v>
      </c>
      <c r="C26" s="161" t="s">
        <v>286</v>
      </c>
      <c r="D26" s="244">
        <v>100083592</v>
      </c>
      <c r="E26" s="244" t="s">
        <v>565</v>
      </c>
      <c r="F26" s="220"/>
      <c r="G26" s="235">
        <f>Data!E109</f>
        <v>0</v>
      </c>
      <c r="H26" s="156" t="s">
        <v>679</v>
      </c>
      <c r="I26" s="156">
        <v>200008930</v>
      </c>
      <c r="J26" s="156" t="s">
        <v>680</v>
      </c>
      <c r="K26" s="199"/>
      <c r="L26" s="199"/>
      <c r="M26" s="199"/>
      <c r="N26" s="199"/>
      <c r="O26" s="199"/>
      <c r="P26" s="199"/>
      <c r="Q26" s="199"/>
      <c r="R26" s="199"/>
    </row>
    <row r="27" spans="1:18" x14ac:dyDescent="0.3">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286</v>
      </c>
      <c r="D27" s="244">
        <v>200008456</v>
      </c>
      <c r="E27" s="244" t="s">
        <v>566</v>
      </c>
      <c r="F27" s="220"/>
      <c r="G27" s="235">
        <f>Data!E110</f>
        <v>0</v>
      </c>
      <c r="H27" s="156" t="s">
        <v>681</v>
      </c>
      <c r="I27" s="156">
        <v>200008957</v>
      </c>
      <c r="J27" s="156" t="s">
        <v>682</v>
      </c>
      <c r="K27" s="199"/>
      <c r="L27" s="199"/>
      <c r="M27" s="199"/>
      <c r="N27" s="199"/>
      <c r="O27" s="199"/>
      <c r="P27" s="199"/>
      <c r="Q27" s="199"/>
      <c r="R27" s="199"/>
    </row>
    <row r="28" spans="1:18" x14ac:dyDescent="0.3">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286</v>
      </c>
      <c r="D28" s="243">
        <v>100089396</v>
      </c>
      <c r="E28" s="243" t="s">
        <v>567</v>
      </c>
      <c r="F28" s="210"/>
      <c r="G28" s="235">
        <f>Data!E111</f>
        <v>0</v>
      </c>
      <c r="H28" s="156" t="s">
        <v>683</v>
      </c>
      <c r="I28" s="156">
        <v>200008928</v>
      </c>
      <c r="J28" s="156" t="s">
        <v>684</v>
      </c>
      <c r="K28" s="199" t="s">
        <v>261</v>
      </c>
      <c r="L28" s="199"/>
      <c r="M28" s="199"/>
      <c r="N28" s="199"/>
      <c r="O28" s="199"/>
      <c r="P28" s="199"/>
      <c r="Q28" s="199"/>
      <c r="R28" s="199"/>
    </row>
    <row r="29" spans="1:18" x14ac:dyDescent="0.3">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286</v>
      </c>
      <c r="D29" s="243">
        <v>100089548</v>
      </c>
      <c r="E29" s="243" t="s">
        <v>568</v>
      </c>
      <c r="F29" s="210"/>
      <c r="G29" s="235">
        <f>Data!E112</f>
        <v>0</v>
      </c>
      <c r="H29" s="156" t="s">
        <v>685</v>
      </c>
      <c r="I29" s="156">
        <v>200008951</v>
      </c>
      <c r="J29" s="156" t="s">
        <v>686</v>
      </c>
      <c r="K29" s="199"/>
      <c r="L29" s="199"/>
      <c r="M29" s="199"/>
      <c r="N29" s="199"/>
      <c r="O29" s="199"/>
      <c r="P29" s="199"/>
      <c r="Q29" s="199"/>
      <c r="R29" s="199"/>
    </row>
    <row r="30" spans="1:18" x14ac:dyDescent="0.3">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286</v>
      </c>
      <c r="D30" s="246">
        <v>100089397</v>
      </c>
      <c r="E30" s="246" t="s">
        <v>569</v>
      </c>
      <c r="F30" s="220"/>
      <c r="G30" s="235">
        <f>Data!E113</f>
        <v>0</v>
      </c>
      <c r="H30" s="156" t="s">
        <v>687</v>
      </c>
      <c r="I30" s="156">
        <v>200008939</v>
      </c>
      <c r="J30" s="156" t="s">
        <v>688</v>
      </c>
      <c r="K30" s="199"/>
      <c r="L30" s="199"/>
      <c r="M30" s="199"/>
      <c r="N30" s="199"/>
      <c r="O30" s="199"/>
      <c r="P30" s="199"/>
      <c r="Q30" s="199"/>
      <c r="R30" s="199"/>
    </row>
    <row r="31" spans="1:18" x14ac:dyDescent="0.3">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286</v>
      </c>
      <c r="D31" s="244">
        <v>100089549</v>
      </c>
      <c r="E31" s="244" t="s">
        <v>570</v>
      </c>
      <c r="F31" s="220"/>
      <c r="G31" s="235">
        <f>Data!E114</f>
        <v>0</v>
      </c>
      <c r="H31" s="156" t="s">
        <v>689</v>
      </c>
      <c r="I31" s="156">
        <v>200008922</v>
      </c>
      <c r="J31" s="156" t="s">
        <v>690</v>
      </c>
      <c r="K31" s="199"/>
      <c r="L31" s="199"/>
      <c r="M31" s="199"/>
      <c r="N31" s="199"/>
      <c r="O31" s="199"/>
      <c r="P31" s="199"/>
      <c r="Q31" s="199"/>
      <c r="R31" s="199"/>
    </row>
    <row r="32" spans="1:18" x14ac:dyDescent="0.3">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286</v>
      </c>
      <c r="D32" s="244">
        <v>200008455</v>
      </c>
      <c r="E32" s="244" t="s">
        <v>571</v>
      </c>
      <c r="F32" s="220"/>
      <c r="G32" s="235">
        <f>Data!E115</f>
        <v>0</v>
      </c>
      <c r="H32" s="156" t="s">
        <v>691</v>
      </c>
      <c r="I32" s="156">
        <v>200008933</v>
      </c>
      <c r="J32" s="156" t="s">
        <v>692</v>
      </c>
      <c r="K32" s="199"/>
      <c r="L32" s="199"/>
      <c r="M32" s="199"/>
      <c r="N32" s="199"/>
      <c r="O32" s="199"/>
      <c r="P32" s="199"/>
      <c r="Q32" s="199"/>
      <c r="R32" s="199"/>
    </row>
    <row r="33" spans="1:18" x14ac:dyDescent="0.3">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286</v>
      </c>
      <c r="D33" s="247">
        <v>200002278</v>
      </c>
      <c r="E33" s="247" t="s">
        <v>572</v>
      </c>
      <c r="F33" s="222"/>
      <c r="G33" s="235">
        <f>Data!E116</f>
        <v>0</v>
      </c>
      <c r="H33" s="156" t="s">
        <v>693</v>
      </c>
      <c r="I33" s="156">
        <v>200008984</v>
      </c>
      <c r="J33" s="156" t="s">
        <v>694</v>
      </c>
      <c r="K33" s="199"/>
      <c r="L33" s="199"/>
      <c r="M33" s="199"/>
      <c r="N33" s="199"/>
      <c r="O33" s="199"/>
      <c r="P33" s="199"/>
      <c r="Q33" s="199"/>
      <c r="R33" s="199"/>
    </row>
    <row r="34" spans="1:18" x14ac:dyDescent="0.3">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286</v>
      </c>
      <c r="D34" s="247">
        <v>200002276</v>
      </c>
      <c r="E34" s="247" t="s">
        <v>573</v>
      </c>
      <c r="F34" s="222"/>
      <c r="G34" s="235">
        <f>Data!E117</f>
        <v>0</v>
      </c>
      <c r="H34" s="156" t="s">
        <v>695</v>
      </c>
      <c r="I34" s="156">
        <v>200008977</v>
      </c>
      <c r="J34" s="156" t="s">
        <v>696</v>
      </c>
      <c r="K34" s="199"/>
      <c r="L34" s="199"/>
      <c r="M34" s="199"/>
      <c r="N34" s="199"/>
      <c r="O34" s="199"/>
      <c r="P34" s="199"/>
      <c r="Q34" s="199"/>
      <c r="R34" s="199"/>
    </row>
    <row r="35" spans="1:18" x14ac:dyDescent="0.3">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286</v>
      </c>
      <c r="D35" s="247">
        <v>200002273</v>
      </c>
      <c r="E35" s="247" t="s">
        <v>574</v>
      </c>
      <c r="F35" s="222"/>
      <c r="G35" s="235">
        <f>Data!E118</f>
        <v>0</v>
      </c>
      <c r="H35" s="156" t="s">
        <v>697</v>
      </c>
      <c r="I35" s="156">
        <v>200009004</v>
      </c>
      <c r="J35" s="156" t="s">
        <v>698</v>
      </c>
      <c r="K35" s="199"/>
      <c r="L35" s="199"/>
      <c r="M35" s="199"/>
      <c r="N35" s="199"/>
      <c r="O35" s="199"/>
      <c r="P35" s="199"/>
      <c r="Q35" s="199"/>
      <c r="R35" s="199"/>
    </row>
    <row r="36" spans="1:18" x14ac:dyDescent="0.3">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286</v>
      </c>
      <c r="D36" s="247">
        <v>200002272</v>
      </c>
      <c r="E36" s="247" t="s">
        <v>575</v>
      </c>
      <c r="F36" s="222"/>
      <c r="G36" s="235">
        <f>Data!E119</f>
        <v>0</v>
      </c>
      <c r="H36" s="156" t="s">
        <v>699</v>
      </c>
      <c r="I36" s="156">
        <v>200008956</v>
      </c>
      <c r="J36" s="156" t="s">
        <v>700</v>
      </c>
      <c r="K36" s="199"/>
      <c r="L36" s="199"/>
      <c r="M36" s="199"/>
      <c r="N36" s="199"/>
      <c r="O36" s="199"/>
      <c r="P36" s="199"/>
      <c r="Q36" s="199"/>
      <c r="R36" s="199"/>
    </row>
    <row r="37" spans="1:18" x14ac:dyDescent="0.3">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286</v>
      </c>
      <c r="D37" s="247">
        <v>200008457</v>
      </c>
      <c r="E37" s="247" t="s">
        <v>576</v>
      </c>
      <c r="F37" s="222"/>
      <c r="G37" s="235">
        <f>Data!E120</f>
        <v>0</v>
      </c>
      <c r="H37" s="156" t="s">
        <v>701</v>
      </c>
      <c r="I37" s="156">
        <v>200008987</v>
      </c>
      <c r="J37" s="156" t="s">
        <v>702</v>
      </c>
      <c r="K37" s="199"/>
      <c r="L37" s="199"/>
      <c r="M37" s="199"/>
      <c r="N37" s="199"/>
      <c r="O37" s="199"/>
      <c r="P37" s="199"/>
      <c r="Q37" s="199"/>
      <c r="R37" s="199"/>
    </row>
    <row r="38" spans="1:18" x14ac:dyDescent="0.3">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286</v>
      </c>
      <c r="D38" s="247">
        <v>200002284</v>
      </c>
      <c r="E38" s="247" t="s">
        <v>577</v>
      </c>
      <c r="F38" s="222"/>
      <c r="G38" s="235">
        <f>Data!E121</f>
        <v>0</v>
      </c>
      <c r="H38" s="156" t="s">
        <v>703</v>
      </c>
      <c r="I38" s="156">
        <v>200008978</v>
      </c>
      <c r="J38" s="156" t="s">
        <v>704</v>
      </c>
      <c r="K38" s="199"/>
      <c r="L38" s="199"/>
      <c r="M38" s="199"/>
      <c r="N38" s="199"/>
      <c r="O38" s="199"/>
      <c r="P38" s="199"/>
      <c r="Q38" s="199"/>
      <c r="R38" s="199"/>
    </row>
    <row r="39" spans="1:18" x14ac:dyDescent="0.3">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286</v>
      </c>
      <c r="D39" s="247">
        <v>200002283</v>
      </c>
      <c r="E39" s="247" t="s">
        <v>578</v>
      </c>
      <c r="F39" s="222"/>
      <c r="G39" s="235">
        <f>Data!E122</f>
        <v>0</v>
      </c>
      <c r="H39" s="156" t="s">
        <v>705</v>
      </c>
      <c r="I39" s="156">
        <v>200009005</v>
      </c>
      <c r="J39" s="156" t="s">
        <v>706</v>
      </c>
      <c r="K39" s="199"/>
      <c r="L39" s="199"/>
      <c r="M39" s="199"/>
      <c r="N39" s="199"/>
      <c r="O39" s="199"/>
      <c r="P39" s="199"/>
      <c r="Q39" s="199"/>
      <c r="R39" s="199"/>
    </row>
    <row r="40" spans="1:18" x14ac:dyDescent="0.3">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286</v>
      </c>
      <c r="D40" s="247">
        <v>200002282</v>
      </c>
      <c r="E40" s="247" t="s">
        <v>579</v>
      </c>
      <c r="F40" s="222"/>
      <c r="G40" s="235">
        <f>Data!E123</f>
        <v>0</v>
      </c>
      <c r="H40" s="156" t="s">
        <v>707</v>
      </c>
      <c r="I40" s="156">
        <v>200008937</v>
      </c>
      <c r="J40" s="156" t="s">
        <v>708</v>
      </c>
      <c r="K40" s="199"/>
      <c r="L40" s="199"/>
      <c r="M40" s="199"/>
      <c r="N40" s="199"/>
      <c r="O40" s="199"/>
      <c r="P40" s="199"/>
      <c r="Q40" s="199"/>
      <c r="R40" s="199"/>
    </row>
    <row r="41" spans="1:18" x14ac:dyDescent="0.3">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286</v>
      </c>
      <c r="D41" s="247">
        <v>200002279</v>
      </c>
      <c r="E41" s="247" t="s">
        <v>580</v>
      </c>
      <c r="F41" s="222"/>
      <c r="G41" s="235">
        <f>Data!E124</f>
        <v>0</v>
      </c>
      <c r="H41" s="156" t="s">
        <v>709</v>
      </c>
      <c r="I41" s="156">
        <v>200008943</v>
      </c>
      <c r="J41" s="156" t="s">
        <v>710</v>
      </c>
      <c r="K41" s="199"/>
      <c r="L41" s="199"/>
      <c r="M41" s="199"/>
      <c r="N41" s="199"/>
      <c r="O41" s="199"/>
      <c r="P41" s="199"/>
      <c r="Q41" s="199"/>
      <c r="R41" s="199"/>
    </row>
    <row r="42" spans="1:18" x14ac:dyDescent="0.3">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286</v>
      </c>
      <c r="D42" s="247">
        <v>200008458</v>
      </c>
      <c r="E42" s="247" t="s">
        <v>581</v>
      </c>
      <c r="F42" s="222"/>
      <c r="G42" s="235">
        <f>Data!E125</f>
        <v>0</v>
      </c>
      <c r="H42" s="156" t="s">
        <v>711</v>
      </c>
      <c r="I42" s="156">
        <v>200008936</v>
      </c>
      <c r="J42" s="156" t="s">
        <v>712</v>
      </c>
      <c r="K42" s="199"/>
      <c r="L42" s="199"/>
      <c r="M42" s="199"/>
      <c r="N42" s="199"/>
      <c r="O42" s="199"/>
      <c r="P42" s="199"/>
      <c r="Q42" s="199"/>
      <c r="R42" s="199"/>
    </row>
    <row r="43" spans="1:18" x14ac:dyDescent="0.3">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286</v>
      </c>
      <c r="D43" s="244">
        <v>200002409</v>
      </c>
      <c r="E43" s="244" t="s">
        <v>582</v>
      </c>
      <c r="F43" s="220"/>
      <c r="G43" s="235">
        <f>Data!E126</f>
        <v>0</v>
      </c>
      <c r="H43" s="156" t="s">
        <v>713</v>
      </c>
      <c r="I43" s="156">
        <v>200009007</v>
      </c>
      <c r="J43" s="156" t="s">
        <v>714</v>
      </c>
      <c r="K43" s="199"/>
      <c r="L43" s="199"/>
      <c r="M43" s="199"/>
      <c r="N43" s="199"/>
      <c r="O43" s="199"/>
      <c r="P43" s="199"/>
      <c r="Q43" s="199"/>
      <c r="R43" s="199"/>
    </row>
    <row r="44" spans="1:18" x14ac:dyDescent="0.3">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286</v>
      </c>
      <c r="D44" s="244">
        <v>200002407</v>
      </c>
      <c r="E44" s="244" t="s">
        <v>583</v>
      </c>
      <c r="F44" s="220"/>
      <c r="G44" s="235">
        <f>Data!E127</f>
        <v>0</v>
      </c>
      <c r="H44" s="156" t="s">
        <v>715</v>
      </c>
      <c r="I44" s="156">
        <v>200009014</v>
      </c>
      <c r="J44" s="156" t="s">
        <v>716</v>
      </c>
      <c r="K44" s="199"/>
      <c r="L44" s="199"/>
      <c r="M44" s="199"/>
      <c r="N44" s="199"/>
      <c r="O44" s="199"/>
      <c r="P44" s="199"/>
      <c r="Q44" s="199"/>
      <c r="R44" s="199"/>
    </row>
    <row r="45" spans="1:18" x14ac:dyDescent="0.3">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286</v>
      </c>
      <c r="D45" s="244">
        <v>200002408</v>
      </c>
      <c r="E45" s="244" t="s">
        <v>584</v>
      </c>
      <c r="F45" s="220"/>
      <c r="G45" s="235">
        <f>Data!E128</f>
        <v>0</v>
      </c>
      <c r="H45" s="156" t="s">
        <v>717</v>
      </c>
      <c r="I45" s="156">
        <v>200009000</v>
      </c>
      <c r="J45" s="156" t="s">
        <v>718</v>
      </c>
      <c r="K45" s="199"/>
      <c r="L45" s="199"/>
      <c r="M45" s="199"/>
      <c r="N45" s="199"/>
      <c r="O45" s="199"/>
      <c r="P45" s="199"/>
      <c r="Q45" s="199"/>
      <c r="R45" s="199"/>
    </row>
    <row r="46" spans="1:18" x14ac:dyDescent="0.3">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286</v>
      </c>
      <c r="D46" s="244">
        <v>200002414</v>
      </c>
      <c r="E46" s="244" t="s">
        <v>585</v>
      </c>
      <c r="F46" s="220"/>
      <c r="G46" s="235">
        <f>Data!E129</f>
        <v>0</v>
      </c>
      <c r="H46" s="156" t="s">
        <v>719</v>
      </c>
      <c r="I46" s="156">
        <v>200008944</v>
      </c>
      <c r="J46" s="156" t="s">
        <v>720</v>
      </c>
      <c r="K46" s="199"/>
      <c r="L46" s="199"/>
      <c r="M46" s="199"/>
      <c r="N46" s="199"/>
      <c r="O46" s="199"/>
      <c r="P46" s="199"/>
      <c r="Q46" s="199"/>
      <c r="R46" s="199"/>
    </row>
    <row r="47" spans="1:18" x14ac:dyDescent="0.3">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286</v>
      </c>
      <c r="D47" s="244">
        <v>200002404</v>
      </c>
      <c r="E47" s="244" t="s">
        <v>586</v>
      </c>
      <c r="F47" s="220"/>
      <c r="G47" s="235">
        <f>Data!E130</f>
        <v>0</v>
      </c>
      <c r="H47" s="156" t="s">
        <v>721</v>
      </c>
      <c r="I47" s="156">
        <v>200008996</v>
      </c>
      <c r="J47" s="156" t="s">
        <v>722</v>
      </c>
      <c r="K47" s="199"/>
      <c r="L47" s="199"/>
      <c r="M47" s="199"/>
      <c r="N47" s="199"/>
      <c r="O47" s="199"/>
      <c r="P47" s="199"/>
      <c r="Q47" s="199"/>
      <c r="R47" s="199"/>
    </row>
    <row r="48" spans="1:18" x14ac:dyDescent="0.3">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286</v>
      </c>
      <c r="D48" s="244">
        <v>200002411</v>
      </c>
      <c r="E48" s="244" t="s">
        <v>587</v>
      </c>
      <c r="F48" s="220"/>
      <c r="G48" s="235">
        <f>Data!E131</f>
        <v>0</v>
      </c>
      <c r="H48" s="156" t="s">
        <v>723</v>
      </c>
      <c r="I48" s="156">
        <v>200008962</v>
      </c>
      <c r="J48" s="156" t="s">
        <v>724</v>
      </c>
      <c r="K48" s="199"/>
      <c r="L48" s="199"/>
      <c r="M48" s="199"/>
      <c r="N48" s="199"/>
      <c r="O48" s="199"/>
      <c r="P48" s="199"/>
      <c r="Q48" s="199"/>
      <c r="R48" s="199"/>
    </row>
    <row r="49" spans="1:18" x14ac:dyDescent="0.3">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286</v>
      </c>
      <c r="D49" s="244">
        <v>100088379</v>
      </c>
      <c r="E49" s="244" t="s">
        <v>588</v>
      </c>
      <c r="F49" s="220"/>
      <c r="G49" s="235">
        <f>Data!E132</f>
        <v>0</v>
      </c>
      <c r="H49" s="156" t="s">
        <v>725</v>
      </c>
      <c r="I49" s="156">
        <v>200009001</v>
      </c>
      <c r="J49" s="156" t="s">
        <v>726</v>
      </c>
      <c r="K49" s="199"/>
      <c r="L49" s="199"/>
      <c r="M49" s="199"/>
      <c r="N49" s="199"/>
      <c r="O49" s="199"/>
      <c r="P49" s="199"/>
      <c r="Q49" s="199"/>
      <c r="R49" s="199"/>
    </row>
    <row r="50" spans="1:18" x14ac:dyDescent="0.3">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286</v>
      </c>
      <c r="D50" s="246">
        <v>100088380</v>
      </c>
      <c r="E50" s="246" t="s">
        <v>589</v>
      </c>
      <c r="F50" s="220"/>
      <c r="G50" s="235">
        <f>Data!E133</f>
        <v>0</v>
      </c>
      <c r="H50" s="156" t="s">
        <v>727</v>
      </c>
      <c r="I50" s="156">
        <v>200008931</v>
      </c>
      <c r="J50" s="156" t="s">
        <v>728</v>
      </c>
      <c r="K50" s="199"/>
      <c r="L50" s="199"/>
      <c r="M50" s="199"/>
      <c r="N50" s="199"/>
      <c r="O50" s="199"/>
      <c r="P50" s="199"/>
      <c r="Q50" s="199"/>
      <c r="R50" s="199"/>
    </row>
    <row r="51" spans="1:18" x14ac:dyDescent="0.3">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286</v>
      </c>
      <c r="D51" s="246">
        <v>200002564</v>
      </c>
      <c r="E51" s="244" t="s">
        <v>590</v>
      </c>
      <c r="F51" s="220"/>
      <c r="G51" s="235">
        <f>Data!E134</f>
        <v>0</v>
      </c>
      <c r="H51" s="156" t="s">
        <v>729</v>
      </c>
      <c r="I51" s="156">
        <v>200008980</v>
      </c>
      <c r="J51" s="156" t="s">
        <v>730</v>
      </c>
      <c r="K51" s="199"/>
      <c r="L51" s="199"/>
      <c r="M51" s="199"/>
      <c r="N51" s="199"/>
      <c r="O51" s="199"/>
      <c r="P51" s="199"/>
      <c r="Q51" s="199"/>
      <c r="R51" s="199"/>
    </row>
    <row r="52" spans="1:18" x14ac:dyDescent="0.3">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286</v>
      </c>
      <c r="D52" s="246">
        <v>200002567</v>
      </c>
      <c r="E52" s="244" t="s">
        <v>591</v>
      </c>
      <c r="F52" s="220"/>
      <c r="G52" s="235">
        <f>Data!E135</f>
        <v>0</v>
      </c>
      <c r="H52" s="156" t="s">
        <v>731</v>
      </c>
      <c r="I52" s="156">
        <v>200008989</v>
      </c>
      <c r="J52" s="156" t="s">
        <v>732</v>
      </c>
      <c r="K52" s="199"/>
      <c r="L52" s="199"/>
      <c r="M52" s="199"/>
      <c r="N52" s="199"/>
      <c r="O52" s="199"/>
      <c r="P52" s="199"/>
      <c r="Q52" s="199"/>
      <c r="R52" s="199"/>
    </row>
    <row r="53" spans="1:18" x14ac:dyDescent="0.3">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286</v>
      </c>
      <c r="D53" s="243">
        <v>100089546</v>
      </c>
      <c r="E53" s="243" t="s">
        <v>592</v>
      </c>
      <c r="F53" s="210"/>
      <c r="G53" s="211"/>
      <c r="H53" s="212"/>
      <c r="I53" s="212"/>
      <c r="J53" s="213"/>
      <c r="K53" s="199"/>
      <c r="L53" s="199"/>
      <c r="M53" s="199"/>
      <c r="N53" s="199"/>
      <c r="O53" s="199"/>
      <c r="P53" s="199"/>
      <c r="Q53" s="199"/>
      <c r="R53" s="199"/>
    </row>
    <row r="54" spans="1:18" x14ac:dyDescent="0.3">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286</v>
      </c>
      <c r="D54" s="243">
        <v>100089547</v>
      </c>
      <c r="E54" s="243" t="s">
        <v>593</v>
      </c>
      <c r="F54" s="210"/>
      <c r="G54" s="211"/>
      <c r="H54" s="212"/>
      <c r="I54" s="212"/>
      <c r="J54" s="213"/>
      <c r="K54" s="199"/>
      <c r="L54" s="199"/>
      <c r="M54" s="199"/>
      <c r="N54" s="199"/>
      <c r="O54" s="199"/>
      <c r="P54" s="199"/>
      <c r="Q54" s="199"/>
      <c r="R54" s="199"/>
    </row>
    <row r="55" spans="1:18" x14ac:dyDescent="0.3">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286</v>
      </c>
      <c r="D55" s="243">
        <v>200002565</v>
      </c>
      <c r="E55" s="243" t="s">
        <v>594</v>
      </c>
      <c r="F55" s="210"/>
      <c r="G55" s="211"/>
      <c r="H55" s="212"/>
      <c r="I55" s="212"/>
      <c r="J55" s="213"/>
      <c r="K55" s="199"/>
      <c r="L55" s="199"/>
      <c r="M55" s="199"/>
      <c r="N55" s="199"/>
      <c r="O55" s="199"/>
      <c r="P55" s="199"/>
      <c r="Q55" s="199"/>
      <c r="R55" s="199"/>
    </row>
    <row r="56" spans="1:18" x14ac:dyDescent="0.3">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286</v>
      </c>
      <c r="D56" s="243">
        <v>200002568</v>
      </c>
      <c r="E56" s="243" t="s">
        <v>595</v>
      </c>
      <c r="F56" s="210"/>
      <c r="G56" s="211"/>
      <c r="H56" s="212"/>
      <c r="I56" s="212"/>
      <c r="J56" s="213"/>
      <c r="K56" s="199"/>
      <c r="L56" s="199"/>
      <c r="M56" s="199"/>
      <c r="N56" s="199"/>
      <c r="O56" s="199"/>
      <c r="P56" s="199"/>
      <c r="Q56" s="199"/>
      <c r="R56" s="199"/>
    </row>
    <row r="57" spans="1:18" x14ac:dyDescent="0.3">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286</v>
      </c>
      <c r="D57" s="243">
        <v>200002285</v>
      </c>
      <c r="E57" s="243" t="s">
        <v>596</v>
      </c>
      <c r="F57" s="210"/>
      <c r="G57" s="211"/>
      <c r="H57" s="212"/>
      <c r="I57" s="212"/>
      <c r="J57" s="213"/>
      <c r="K57" s="199"/>
      <c r="L57" s="199"/>
      <c r="M57" s="199"/>
      <c r="N57" s="199"/>
      <c r="O57" s="199"/>
      <c r="P57" s="199"/>
      <c r="Q57" s="199"/>
      <c r="R57" s="199"/>
    </row>
    <row r="58" spans="1:18" x14ac:dyDescent="0.3">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286</v>
      </c>
      <c r="D58" s="243">
        <v>200002286</v>
      </c>
      <c r="E58" s="243" t="s">
        <v>598</v>
      </c>
      <c r="F58" s="210"/>
      <c r="G58" s="211"/>
      <c r="H58" s="212"/>
      <c r="I58" s="212"/>
      <c r="J58" s="213"/>
      <c r="K58" s="199"/>
      <c r="L58" s="199"/>
      <c r="M58" s="199"/>
      <c r="N58" s="199"/>
      <c r="O58" s="199"/>
      <c r="P58" s="199"/>
      <c r="Q58" s="199"/>
      <c r="R58" s="199"/>
    </row>
    <row r="59" spans="1:18" x14ac:dyDescent="0.3">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286</v>
      </c>
      <c r="D59" s="248">
        <v>200004243</v>
      </c>
      <c r="E59" s="243" t="s">
        <v>599</v>
      </c>
      <c r="F59" s="210"/>
      <c r="G59" s="211"/>
      <c r="H59" s="212"/>
      <c r="I59" s="212"/>
      <c r="J59" s="213"/>
      <c r="K59" s="199"/>
      <c r="L59" s="199"/>
      <c r="M59" s="199"/>
      <c r="N59" s="199"/>
      <c r="O59" s="199"/>
      <c r="P59" s="199"/>
      <c r="Q59" s="199"/>
      <c r="R59" s="199"/>
    </row>
    <row r="60" spans="1:18" x14ac:dyDescent="0.3">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286</v>
      </c>
      <c r="D60" s="248">
        <v>200004245</v>
      </c>
      <c r="E60" s="243" t="s">
        <v>600</v>
      </c>
      <c r="F60" s="210"/>
      <c r="G60" s="211"/>
      <c r="H60" s="212"/>
      <c r="I60" s="212"/>
      <c r="J60" s="213"/>
      <c r="K60" s="199"/>
      <c r="L60" s="199"/>
      <c r="M60" s="199"/>
      <c r="N60" s="199"/>
      <c r="O60" s="199"/>
      <c r="P60" s="199"/>
      <c r="Q60" s="199"/>
      <c r="R60" s="199"/>
    </row>
    <row r="61" spans="1:18" x14ac:dyDescent="0.3">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286</v>
      </c>
      <c r="D61" s="246">
        <v>200002410</v>
      </c>
      <c r="E61" s="243" t="s">
        <v>601</v>
      </c>
      <c r="F61" s="210"/>
      <c r="G61" s="211"/>
      <c r="H61" s="212"/>
      <c r="I61" s="212"/>
      <c r="J61" s="213"/>
      <c r="K61" s="199"/>
      <c r="L61" s="199"/>
      <c r="M61" s="199"/>
      <c r="N61" s="199"/>
      <c r="O61" s="199"/>
      <c r="P61" s="199"/>
      <c r="Q61" s="199"/>
      <c r="R61" s="199"/>
    </row>
    <row r="62" spans="1:18" x14ac:dyDescent="0.3">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286</v>
      </c>
      <c r="D62" s="246">
        <v>200002412</v>
      </c>
      <c r="E62" s="243" t="s">
        <v>602</v>
      </c>
      <c r="F62" s="210"/>
      <c r="G62" s="211"/>
      <c r="H62" s="212"/>
      <c r="I62" s="212"/>
      <c r="J62" s="213"/>
      <c r="K62" s="199"/>
      <c r="L62" s="199"/>
      <c r="M62" s="199"/>
      <c r="N62" s="199"/>
      <c r="O62" s="199"/>
      <c r="P62" s="199"/>
      <c r="Q62" s="199"/>
      <c r="R62" s="199"/>
    </row>
    <row r="63" spans="1:18" x14ac:dyDescent="0.3">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286</v>
      </c>
      <c r="D63" s="246">
        <v>200002566</v>
      </c>
      <c r="E63" s="243" t="s">
        <v>603</v>
      </c>
      <c r="F63" s="210"/>
      <c r="G63" s="211"/>
      <c r="H63" s="212"/>
      <c r="I63" s="212"/>
      <c r="J63" s="213"/>
      <c r="K63" s="199"/>
      <c r="L63" s="199"/>
      <c r="M63" s="199"/>
      <c r="N63" s="199"/>
      <c r="O63" s="199"/>
      <c r="P63" s="199"/>
      <c r="Q63" s="199"/>
      <c r="R63" s="199"/>
    </row>
    <row r="64" spans="1:18" x14ac:dyDescent="0.3">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286</v>
      </c>
      <c r="D64" s="246">
        <v>200002569</v>
      </c>
      <c r="E64" s="243" t="s">
        <v>604</v>
      </c>
      <c r="F64" s="214"/>
      <c r="G64" s="215"/>
      <c r="H64" s="216"/>
      <c r="I64" s="216"/>
      <c r="J64" s="217"/>
      <c r="K64" s="199"/>
      <c r="L64" s="199"/>
      <c r="M64" s="199"/>
      <c r="N64" s="199"/>
      <c r="O64" s="199"/>
      <c r="P64" s="199"/>
      <c r="Q64" s="199"/>
      <c r="R64" s="199"/>
    </row>
    <row r="65" spans="1:18" x14ac:dyDescent="0.3">
      <c r="A65" s="149"/>
      <c r="B65" s="163"/>
      <c r="C65" s="164"/>
      <c r="D65" s="165"/>
      <c r="E65" s="166"/>
      <c r="F65" s="202"/>
      <c r="G65" s="167"/>
      <c r="H65" s="199"/>
      <c r="I65" s="199"/>
      <c r="J65" s="199"/>
      <c r="K65" s="199"/>
      <c r="L65" s="199"/>
      <c r="M65" s="199"/>
      <c r="N65" s="199"/>
      <c r="O65" s="199"/>
      <c r="P65" s="199"/>
      <c r="Q65" s="199"/>
      <c r="R65" s="199"/>
    </row>
    <row r="66" spans="1:18" x14ac:dyDescent="0.3">
      <c r="A66" s="149"/>
      <c r="B66" s="168"/>
      <c r="C66" s="168"/>
      <c r="D66" s="168"/>
      <c r="E66" s="168"/>
      <c r="F66" s="199"/>
      <c r="G66" s="200"/>
      <c r="H66" s="199"/>
      <c r="I66" s="199"/>
      <c r="J66" s="199"/>
      <c r="K66" s="199"/>
      <c r="L66" s="199"/>
      <c r="M66" s="199"/>
      <c r="N66" s="199"/>
      <c r="O66" s="199"/>
      <c r="P66" s="199"/>
      <c r="Q66" s="199"/>
      <c r="R66" s="199"/>
    </row>
    <row r="67" spans="1:18" ht="25.8" x14ac:dyDescent="0.5">
      <c r="A67" s="149"/>
      <c r="B67" s="223" t="s">
        <v>748</v>
      </c>
      <c r="C67" s="224"/>
      <c r="D67" s="224"/>
      <c r="E67" s="225"/>
      <c r="F67" s="199"/>
      <c r="G67" s="200"/>
      <c r="H67" s="199"/>
      <c r="I67" s="199"/>
      <c r="J67" s="199"/>
      <c r="K67" s="199"/>
      <c r="L67" s="199"/>
      <c r="M67" s="199"/>
      <c r="N67" s="199"/>
      <c r="O67" s="199"/>
      <c r="P67" s="199"/>
      <c r="Q67" s="199"/>
      <c r="R67" s="199"/>
    </row>
    <row r="68" spans="1:18" ht="24" x14ac:dyDescent="0.3">
      <c r="A68" s="149"/>
      <c r="B68" s="3" t="s">
        <v>737</v>
      </c>
      <c r="C68" s="3" t="s">
        <v>738</v>
      </c>
      <c r="D68" s="3" t="s">
        <v>525</v>
      </c>
      <c r="E68" s="23" t="s">
        <v>527</v>
      </c>
      <c r="F68" s="199"/>
      <c r="G68" s="169"/>
      <c r="H68" s="199"/>
      <c r="I68" s="199"/>
      <c r="J68" s="199"/>
      <c r="K68" s="199"/>
      <c r="L68" s="199"/>
      <c r="M68" s="199"/>
      <c r="N68" s="199"/>
      <c r="O68" s="199"/>
      <c r="P68" s="199"/>
      <c r="Q68" s="199"/>
      <c r="R68" s="199"/>
    </row>
    <row r="69" spans="1:18" x14ac:dyDescent="0.3">
      <c r="A69" s="149"/>
      <c r="B69" s="237">
        <f>SUM('8645C Innerduct'!C2:AF499)</f>
        <v>1904</v>
      </c>
      <c r="C69" s="158" t="s">
        <v>618</v>
      </c>
      <c r="D69" s="158">
        <v>100069989</v>
      </c>
      <c r="E69" s="158" t="s">
        <v>619</v>
      </c>
      <c r="F69" s="199"/>
      <c r="G69" s="167"/>
      <c r="H69" s="199"/>
      <c r="I69" s="199"/>
      <c r="J69" s="199"/>
      <c r="K69" s="199"/>
      <c r="L69" s="199"/>
      <c r="M69" s="199"/>
      <c r="N69" s="199"/>
      <c r="O69" s="199"/>
      <c r="P69" s="199"/>
      <c r="Q69" s="199"/>
      <c r="R69" s="199"/>
    </row>
    <row r="70" spans="1:18" ht="15" customHeight="1" x14ac:dyDescent="0.3">
      <c r="A70" s="149"/>
      <c r="B70" s="238">
        <v>12</v>
      </c>
      <c r="C70" s="158" t="s">
        <v>90</v>
      </c>
      <c r="D70" s="158">
        <v>100006143</v>
      </c>
      <c r="E70" s="158" t="s">
        <v>749</v>
      </c>
      <c r="F70" s="199"/>
      <c r="G70" s="167"/>
      <c r="H70" s="199"/>
      <c r="I70" s="199"/>
      <c r="J70" s="199"/>
      <c r="K70" s="199"/>
      <c r="L70" s="199"/>
      <c r="M70" s="199"/>
      <c r="N70" s="199"/>
      <c r="O70" s="199"/>
      <c r="P70" s="199"/>
      <c r="Q70" s="199"/>
      <c r="R70" s="199"/>
    </row>
    <row r="71" spans="1:18" x14ac:dyDescent="0.3">
      <c r="A71" s="149"/>
      <c r="B71" s="239"/>
      <c r="C71" s="158" t="s">
        <v>90</v>
      </c>
      <c r="D71" s="158">
        <v>200001922</v>
      </c>
      <c r="E71" s="158" t="s">
        <v>750</v>
      </c>
      <c r="F71" s="199"/>
      <c r="G71" s="167"/>
      <c r="H71" s="199"/>
      <c r="I71" s="199"/>
      <c r="J71" s="199"/>
      <c r="K71" s="199"/>
      <c r="L71" s="199"/>
      <c r="M71" s="199"/>
      <c r="N71" s="199"/>
      <c r="O71" s="199"/>
      <c r="P71" s="199"/>
      <c r="Q71" s="199"/>
      <c r="R71" s="199"/>
    </row>
    <row r="72" spans="1:18" x14ac:dyDescent="0.3">
      <c r="A72" s="149"/>
      <c r="B72" s="168"/>
      <c r="C72" s="168"/>
      <c r="D72" s="168"/>
      <c r="E72" s="168"/>
      <c r="F72" s="199"/>
      <c r="G72" s="200"/>
      <c r="H72" s="199"/>
      <c r="I72" s="199"/>
      <c r="J72" s="199"/>
      <c r="K72" s="199"/>
      <c r="L72" s="199"/>
      <c r="M72" s="199"/>
      <c r="N72" s="199"/>
      <c r="O72" s="199"/>
      <c r="P72" s="199"/>
      <c r="Q72" s="199"/>
      <c r="R72" s="199"/>
    </row>
    <row r="73" spans="1:18" ht="40.5" customHeight="1" x14ac:dyDescent="0.5">
      <c r="A73" s="149"/>
      <c r="B73" s="342" t="s">
        <v>751</v>
      </c>
      <c r="C73" s="343"/>
      <c r="D73" s="344"/>
      <c r="E73" s="338" t="s">
        <v>752</v>
      </c>
      <c r="F73" s="339"/>
      <c r="G73" s="203"/>
      <c r="H73" s="199"/>
      <c r="I73" s="199"/>
      <c r="J73" s="199"/>
      <c r="K73" s="199"/>
      <c r="L73" s="199"/>
      <c r="M73" s="199"/>
      <c r="N73" s="199"/>
      <c r="O73" s="199"/>
      <c r="P73" s="199"/>
      <c r="Q73" s="199"/>
      <c r="R73" s="199"/>
    </row>
    <row r="74" spans="1:18" ht="24" x14ac:dyDescent="0.3">
      <c r="A74" s="149"/>
      <c r="B74" s="3" t="s">
        <v>737</v>
      </c>
      <c r="C74" s="3" t="s">
        <v>738</v>
      </c>
      <c r="D74" s="3" t="s">
        <v>525</v>
      </c>
      <c r="E74" s="23" t="s">
        <v>527</v>
      </c>
      <c r="F74" s="24" t="s">
        <v>753</v>
      </c>
      <c r="G74" s="200"/>
      <c r="H74" s="199"/>
      <c r="I74" s="199"/>
      <c r="J74" s="199"/>
      <c r="K74" s="199"/>
      <c r="L74" s="199"/>
      <c r="M74" s="199"/>
      <c r="N74" s="199"/>
      <c r="O74" s="199"/>
      <c r="P74" s="199"/>
      <c r="Q74" s="199"/>
      <c r="R74" s="199"/>
    </row>
    <row r="75" spans="1:18" x14ac:dyDescent="0.3">
      <c r="A75" s="149"/>
      <c r="B75" s="240"/>
      <c r="C75" s="158" t="s">
        <v>620</v>
      </c>
      <c r="D75" s="158">
        <v>100001248</v>
      </c>
      <c r="E75" s="158" t="s">
        <v>621</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620</v>
      </c>
      <c r="D76" s="158">
        <v>100001242</v>
      </c>
      <c r="E76" s="158" t="s">
        <v>754</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755</v>
      </c>
      <c r="D77" s="158">
        <v>100001248</v>
      </c>
      <c r="E77" s="158" t="s">
        <v>756</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618</v>
      </c>
      <c r="D78" s="158">
        <v>100069989</v>
      </c>
      <c r="E78" s="158" t="s">
        <v>757</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623</v>
      </c>
      <c r="D79" s="232" t="s">
        <v>758</v>
      </c>
      <c r="E79" s="157" t="s">
        <v>759</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626</v>
      </c>
      <c r="D80" s="232" t="s">
        <v>760</v>
      </c>
      <c r="E80" s="157" t="s">
        <v>761</v>
      </c>
      <c r="F80" s="152">
        <f>B80*Data!D78</f>
        <v>0</v>
      </c>
      <c r="G80" s="201"/>
      <c r="H80" s="201"/>
      <c r="I80" s="201"/>
      <c r="J80" s="201"/>
      <c r="K80" s="201"/>
      <c r="L80" s="201"/>
      <c r="M80" s="201"/>
      <c r="N80" s="201"/>
      <c r="O80" s="201"/>
      <c r="P80" s="201"/>
      <c r="Q80" s="201"/>
      <c r="R80" s="201"/>
    </row>
    <row r="81" spans="1:18" s="12" customFormat="1" ht="15" customHeight="1" x14ac:dyDescent="0.3">
      <c r="A81" s="150"/>
      <c r="B81" s="242"/>
      <c r="C81" s="159" t="s">
        <v>741</v>
      </c>
      <c r="D81" s="160">
        <v>100006155</v>
      </c>
      <c r="E81" s="160" t="s">
        <v>762</v>
      </c>
      <c r="F81" s="152">
        <f>B81*Data!D66</f>
        <v>0</v>
      </c>
      <c r="G81" s="201"/>
      <c r="H81" s="201"/>
      <c r="I81" s="201"/>
      <c r="J81" s="201"/>
      <c r="K81" s="201"/>
      <c r="L81" s="201"/>
      <c r="M81" s="201"/>
      <c r="N81" s="201"/>
      <c r="O81" s="201"/>
      <c r="P81" s="201"/>
      <c r="Q81" s="201"/>
      <c r="R81" s="201"/>
    </row>
    <row r="82" spans="1:18" s="12" customFormat="1" ht="15" customHeight="1" x14ac:dyDescent="0.3">
      <c r="A82" s="150"/>
      <c r="B82" s="242"/>
      <c r="C82" s="159" t="s">
        <v>610</v>
      </c>
      <c r="D82" s="245">
        <v>100035465</v>
      </c>
      <c r="E82" s="245" t="s">
        <v>743</v>
      </c>
      <c r="F82" s="152">
        <f>B82*Data!D63</f>
        <v>0</v>
      </c>
      <c r="G82" s="201"/>
      <c r="H82" s="201"/>
      <c r="I82" s="201"/>
      <c r="J82" s="201"/>
      <c r="K82" s="201"/>
      <c r="L82" s="201"/>
      <c r="M82" s="201"/>
      <c r="N82" s="201"/>
      <c r="O82" s="201"/>
      <c r="P82" s="201"/>
      <c r="Q82" s="201"/>
      <c r="R82" s="201"/>
    </row>
    <row r="83" spans="1:18" s="12" customFormat="1" ht="15" customHeight="1" x14ac:dyDescent="0.3">
      <c r="A83" s="150"/>
      <c r="B83" s="242"/>
      <c r="C83" s="159" t="s">
        <v>744</v>
      </c>
      <c r="D83" s="245">
        <v>100006173</v>
      </c>
      <c r="E83" s="245" t="s">
        <v>745</v>
      </c>
      <c r="F83" s="152">
        <f>B83*Data!D67</f>
        <v>0</v>
      </c>
      <c r="G83" s="201"/>
      <c r="H83" s="201"/>
      <c r="I83" s="201"/>
      <c r="J83" s="201"/>
      <c r="K83" s="201"/>
      <c r="L83" s="201"/>
      <c r="M83" s="201"/>
      <c r="N83" s="201"/>
      <c r="O83" s="201"/>
      <c r="P83" s="201"/>
      <c r="Q83" s="201"/>
      <c r="R83" s="201"/>
    </row>
    <row r="84" spans="1:18" s="12" customFormat="1" ht="15" customHeight="1" x14ac:dyDescent="0.3">
      <c r="A84" s="150"/>
      <c r="B84" s="242"/>
      <c r="C84" s="160" t="s">
        <v>612</v>
      </c>
      <c r="D84" s="243">
        <v>100081409</v>
      </c>
      <c r="E84" s="247" t="s">
        <v>746</v>
      </c>
      <c r="F84" s="152">
        <f>B84*Data!D64</f>
        <v>0</v>
      </c>
      <c r="G84" s="201"/>
      <c r="H84" s="201"/>
      <c r="I84" s="201"/>
      <c r="J84" s="201"/>
      <c r="K84" s="201"/>
      <c r="L84" s="201"/>
      <c r="M84" s="201"/>
      <c r="N84" s="201"/>
      <c r="O84" s="201"/>
      <c r="P84" s="201"/>
      <c r="Q84" s="201"/>
      <c r="R84" s="201"/>
    </row>
    <row r="85" spans="1:18" s="12" customFormat="1" ht="15" customHeight="1" x14ac:dyDescent="0.3">
      <c r="A85" s="150"/>
      <c r="B85" s="242"/>
      <c r="C85" s="160" t="s">
        <v>612</v>
      </c>
      <c r="D85" s="243">
        <v>100006191</v>
      </c>
      <c r="E85" s="247" t="s">
        <v>747</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629</v>
      </c>
      <c r="D87" s="160">
        <v>100087882</v>
      </c>
      <c r="E87" s="160" t="s">
        <v>630</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631</v>
      </c>
      <c r="D88" s="160">
        <v>100086300</v>
      </c>
      <c r="E88" s="160" t="s">
        <v>632</v>
      </c>
      <c r="F88" s="152">
        <f>B88*Data!D82</f>
        <v>0</v>
      </c>
      <c r="G88" s="167"/>
      <c r="H88" s="201"/>
      <c r="I88" s="201"/>
      <c r="J88" s="201"/>
      <c r="K88" s="201"/>
      <c r="L88" s="201"/>
      <c r="M88" s="201"/>
      <c r="N88" s="201"/>
      <c r="O88" s="201"/>
      <c r="P88" s="201"/>
      <c r="Q88" s="201"/>
      <c r="R88" s="201"/>
    </row>
    <row r="89" spans="1:18" hidden="1" x14ac:dyDescent="0.3">
      <c r="A89" s="149"/>
      <c r="B89" s="242"/>
      <c r="C89" s="160" t="s">
        <v>612</v>
      </c>
      <c r="D89" s="160">
        <v>100006191</v>
      </c>
      <c r="E89" s="160" t="s">
        <v>763</v>
      </c>
      <c r="F89" s="152">
        <f>B89*Data!D65</f>
        <v>0</v>
      </c>
      <c r="G89" s="200"/>
      <c r="H89" s="199"/>
      <c r="I89" s="199"/>
      <c r="J89" s="199"/>
      <c r="K89" s="199"/>
      <c r="L89" s="199"/>
      <c r="M89" s="199"/>
      <c r="N89" s="199"/>
      <c r="O89" s="199"/>
      <c r="P89" s="199"/>
      <c r="Q89" s="199"/>
      <c r="R89" s="199"/>
    </row>
    <row r="90" spans="1:18" hidden="1" x14ac:dyDescent="0.3">
      <c r="A90" s="149"/>
      <c r="B90" s="249"/>
      <c r="C90" s="250"/>
      <c r="D90" s="250"/>
      <c r="E90" s="250"/>
      <c r="F90" s="251"/>
      <c r="G90" s="200"/>
      <c r="H90" s="199"/>
      <c r="I90" s="199"/>
      <c r="J90" s="199"/>
      <c r="K90" s="199"/>
      <c r="L90" s="199"/>
      <c r="M90" s="199"/>
      <c r="N90" s="199"/>
      <c r="O90" s="199"/>
      <c r="P90" s="199"/>
      <c r="Q90" s="199"/>
      <c r="R90" s="199"/>
    </row>
    <row r="91" spans="1:18" ht="24" hidden="1" x14ac:dyDescent="0.3">
      <c r="A91" s="149"/>
      <c r="B91" s="3" t="s">
        <v>737</v>
      </c>
      <c r="C91" s="3" t="s">
        <v>738</v>
      </c>
      <c r="D91" s="3" t="s">
        <v>525</v>
      </c>
      <c r="E91" s="23" t="s">
        <v>527</v>
      </c>
      <c r="F91" s="24" t="s">
        <v>753</v>
      </c>
      <c r="G91" s="200"/>
      <c r="H91" s="199"/>
      <c r="I91" s="199"/>
      <c r="J91" s="199"/>
      <c r="K91" s="199"/>
      <c r="L91" s="199"/>
      <c r="M91" s="199"/>
      <c r="N91" s="199"/>
      <c r="O91" s="199"/>
      <c r="P91" s="199"/>
      <c r="Q91" s="199"/>
      <c r="R91" s="199"/>
    </row>
    <row r="92" spans="1:18" s="13" customFormat="1" hidden="1" x14ac:dyDescent="0.3">
      <c r="A92" s="151"/>
      <c r="B92" s="242"/>
      <c r="C92" s="158" t="s">
        <v>764</v>
      </c>
      <c r="D92" s="158" t="s">
        <v>765</v>
      </c>
      <c r="E92" s="158" t="s">
        <v>766</v>
      </c>
      <c r="F92" s="152">
        <f>IFERROR(B92*4434,"")</f>
        <v>0</v>
      </c>
      <c r="G92" s="204"/>
      <c r="H92" s="204"/>
      <c r="I92" s="204"/>
      <c r="J92" s="204"/>
      <c r="K92" s="204"/>
      <c r="L92" s="204"/>
      <c r="M92" s="204"/>
      <c r="N92" s="204"/>
      <c r="O92" s="204"/>
      <c r="P92" s="204"/>
      <c r="Q92" s="204"/>
      <c r="R92" s="204"/>
    </row>
    <row r="93" spans="1:18" s="13" customFormat="1" x14ac:dyDescent="0.3">
      <c r="A93" s="170"/>
      <c r="B93" s="170"/>
      <c r="C93" s="170"/>
      <c r="D93" s="170"/>
      <c r="E93" s="170"/>
      <c r="F93" s="204"/>
      <c r="G93" s="205"/>
      <c r="H93" s="204"/>
      <c r="I93" s="204"/>
      <c r="J93" s="204"/>
      <c r="K93" s="204"/>
      <c r="L93" s="204"/>
      <c r="M93" s="204"/>
      <c r="N93" s="204"/>
      <c r="O93" s="204"/>
      <c r="P93" s="204"/>
      <c r="Q93" s="204"/>
      <c r="R93" s="204"/>
    </row>
    <row r="94" spans="1:18" s="13" customFormat="1" x14ac:dyDescent="0.3">
      <c r="A94" s="170"/>
      <c r="B94" s="170"/>
      <c r="C94" s="170"/>
      <c r="D94" s="170"/>
      <c r="E94" s="170"/>
      <c r="F94" s="204"/>
      <c r="G94" s="205"/>
      <c r="H94" s="204"/>
      <c r="I94" s="204"/>
      <c r="J94" s="204"/>
      <c r="K94" s="204"/>
      <c r="L94" s="204"/>
      <c r="M94" s="204"/>
      <c r="N94" s="204"/>
      <c r="O94" s="204"/>
      <c r="P94" s="204"/>
      <c r="Q94" s="204"/>
      <c r="R94" s="204"/>
    </row>
    <row r="95" spans="1:18" s="13" customFormat="1" x14ac:dyDescent="0.3">
      <c r="A95" s="170"/>
      <c r="B95" s="170"/>
      <c r="C95" s="170"/>
      <c r="D95" s="170"/>
      <c r="E95" s="170"/>
      <c r="F95" s="204"/>
      <c r="G95" s="205"/>
      <c r="H95" s="204"/>
      <c r="I95" s="204"/>
      <c r="J95" s="204"/>
      <c r="K95" s="204"/>
      <c r="L95" s="204"/>
      <c r="M95" s="204"/>
      <c r="N95" s="204"/>
      <c r="O95" s="204"/>
      <c r="P95" s="204"/>
      <c r="Q95" s="204"/>
      <c r="R95" s="204"/>
    </row>
    <row r="96" spans="1:18" s="13" customFormat="1" x14ac:dyDescent="0.3">
      <c r="A96" s="170"/>
      <c r="B96" s="170"/>
      <c r="C96" s="170"/>
      <c r="D96" s="170"/>
      <c r="E96" s="170"/>
      <c r="F96" s="204"/>
      <c r="G96" s="205"/>
      <c r="H96" s="204"/>
      <c r="I96" s="204"/>
      <c r="J96" s="204"/>
      <c r="K96" s="204"/>
      <c r="L96" s="204"/>
      <c r="M96" s="204"/>
      <c r="N96" s="204"/>
      <c r="O96" s="204"/>
      <c r="P96" s="204"/>
      <c r="Q96" s="204"/>
      <c r="R96" s="204"/>
    </row>
    <row r="97" spans="1:1" x14ac:dyDescent="0.3">
      <c r="A97" s="149"/>
    </row>
    <row r="98" spans="1:1" x14ac:dyDescent="0.3">
      <c r="A98" s="149"/>
    </row>
    <row r="99" spans="1:1" x14ac:dyDescent="0.3">
      <c r="A99" s="149"/>
    </row>
    <row r="100" spans="1:1" x14ac:dyDescent="0.3">
      <c r="A100" s="149"/>
    </row>
    <row r="101" spans="1:1" x14ac:dyDescent="0.3">
      <c r="A101" s="149"/>
    </row>
    <row r="102" spans="1:1" x14ac:dyDescent="0.3">
      <c r="A102" s="149"/>
    </row>
    <row r="103" spans="1:1" x14ac:dyDescent="0.3">
      <c r="A103" s="149"/>
    </row>
    <row r="104" spans="1:1" x14ac:dyDescent="0.3">
      <c r="A104" s="149"/>
    </row>
    <row r="105" spans="1:1" x14ac:dyDescent="0.3">
      <c r="A105" s="149"/>
    </row>
    <row r="106" spans="1:1" x14ac:dyDescent="0.3">
      <c r="A106" s="149"/>
    </row>
    <row r="107" spans="1:1" x14ac:dyDescent="0.3">
      <c r="A107" s="149"/>
    </row>
    <row r="108" spans="1:1" x14ac:dyDescent="0.3">
      <c r="A108" s="149"/>
    </row>
    <row r="109" spans="1:1" x14ac:dyDescent="0.3">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38"/>
  <sheetViews>
    <sheetView workbookViewId="0">
      <selection activeCell="A17" sqref="A17"/>
    </sheetView>
  </sheetViews>
  <sheetFormatPr defaultColWidth="8.88671875" defaultRowHeight="14.4" x14ac:dyDescent="0.3"/>
  <cols>
    <col min="1" max="1" width="9.109375" style="1"/>
    <col min="2" max="2" width="13.88671875" style="123" customWidth="1"/>
  </cols>
  <sheetData>
    <row r="1" spans="1:3" x14ac:dyDescent="0.3">
      <c r="A1" s="118" t="s">
        <v>767</v>
      </c>
      <c r="B1" s="122" t="s">
        <v>768</v>
      </c>
      <c r="C1" s="119" t="s">
        <v>769</v>
      </c>
    </row>
    <row r="2" spans="1:3" x14ac:dyDescent="0.3">
      <c r="A2" s="171">
        <v>1</v>
      </c>
      <c r="B2" s="123">
        <v>44313</v>
      </c>
      <c r="C2" t="s">
        <v>770</v>
      </c>
    </row>
    <row r="3" spans="1:3" x14ac:dyDescent="0.3">
      <c r="A3" s="171">
        <v>1.1000000000000001</v>
      </c>
      <c r="B3" s="123">
        <v>44357</v>
      </c>
      <c r="C3" t="s">
        <v>771</v>
      </c>
    </row>
    <row r="4" spans="1:3" x14ac:dyDescent="0.3">
      <c r="A4" s="171">
        <v>1.2</v>
      </c>
      <c r="B4" s="123">
        <v>44361</v>
      </c>
      <c r="C4" t="s">
        <v>772</v>
      </c>
    </row>
    <row r="5" spans="1:3" x14ac:dyDescent="0.3">
      <c r="A5" s="171">
        <v>1.3</v>
      </c>
      <c r="B5" s="123">
        <v>44383</v>
      </c>
      <c r="C5" t="s">
        <v>773</v>
      </c>
    </row>
    <row r="6" spans="1:3" x14ac:dyDescent="0.3">
      <c r="A6" s="171">
        <v>1.4</v>
      </c>
      <c r="B6" s="123">
        <v>44404</v>
      </c>
      <c r="C6" t="s">
        <v>774</v>
      </c>
    </row>
    <row r="7" spans="1:3" x14ac:dyDescent="0.3">
      <c r="A7" s="171">
        <v>1.5</v>
      </c>
      <c r="B7" s="123">
        <v>44428</v>
      </c>
      <c r="C7" t="s">
        <v>775</v>
      </c>
    </row>
    <row r="8" spans="1:3" x14ac:dyDescent="0.3">
      <c r="A8" s="171">
        <v>1.6</v>
      </c>
      <c r="B8" s="123">
        <v>44607</v>
      </c>
      <c r="C8" t="s">
        <v>776</v>
      </c>
    </row>
    <row r="9" spans="1:3" x14ac:dyDescent="0.3">
      <c r="A9" s="171">
        <v>1.7</v>
      </c>
      <c r="B9" s="123">
        <v>44692</v>
      </c>
      <c r="C9" t="s">
        <v>777</v>
      </c>
    </row>
    <row r="10" spans="1:3" x14ac:dyDescent="0.3">
      <c r="A10" s="171">
        <v>1.8</v>
      </c>
      <c r="B10" s="123">
        <v>44693</v>
      </c>
      <c r="C10" t="s">
        <v>778</v>
      </c>
    </row>
    <row r="11" spans="1:3" x14ac:dyDescent="0.3">
      <c r="A11" s="171">
        <v>1.9</v>
      </c>
      <c r="B11" s="123">
        <v>44726</v>
      </c>
      <c r="C11" t="s">
        <v>779</v>
      </c>
    </row>
    <row r="12" spans="1:3" x14ac:dyDescent="0.3">
      <c r="A12" s="171">
        <v>2</v>
      </c>
      <c r="B12" s="123">
        <v>44767</v>
      </c>
      <c r="C12" t="s">
        <v>780</v>
      </c>
    </row>
    <row r="13" spans="1:3" x14ac:dyDescent="0.3">
      <c r="A13" s="171">
        <v>2.1</v>
      </c>
      <c r="B13" s="123">
        <v>44775</v>
      </c>
      <c r="C13" t="s">
        <v>781</v>
      </c>
    </row>
    <row r="14" spans="1:3" x14ac:dyDescent="0.3">
      <c r="A14" s="171">
        <v>2.2000000000000002</v>
      </c>
      <c r="B14" s="123">
        <v>44985</v>
      </c>
      <c r="C14" t="s">
        <v>782</v>
      </c>
    </row>
    <row r="15" spans="1:3" x14ac:dyDescent="0.3">
      <c r="A15" s="171">
        <v>2.2999999999999998</v>
      </c>
      <c r="B15" s="123">
        <v>44991</v>
      </c>
      <c r="C15" t="s">
        <v>783</v>
      </c>
    </row>
    <row r="16" spans="1:3" x14ac:dyDescent="0.3">
      <c r="A16" s="171">
        <v>2.4</v>
      </c>
      <c r="B16" s="123">
        <v>45054</v>
      </c>
      <c r="C16" t="s">
        <v>784</v>
      </c>
    </row>
    <row r="17" spans="1:1" x14ac:dyDescent="0.3">
      <c r="A17" s="171"/>
    </row>
    <row r="18" spans="1:1" x14ac:dyDescent="0.3">
      <c r="A18" s="171"/>
    </row>
    <row r="19" spans="1:1" x14ac:dyDescent="0.3">
      <c r="A19" s="171"/>
    </row>
    <row r="20" spans="1:1" x14ac:dyDescent="0.3">
      <c r="A20" s="171"/>
    </row>
    <row r="21" spans="1:1" x14ac:dyDescent="0.3">
      <c r="A21" s="171"/>
    </row>
    <row r="22" spans="1:1" x14ac:dyDescent="0.3">
      <c r="A22" s="171"/>
    </row>
    <row r="23" spans="1:1" x14ac:dyDescent="0.3">
      <c r="A23" s="171"/>
    </row>
    <row r="24" spans="1:1" x14ac:dyDescent="0.3">
      <c r="A24" s="171"/>
    </row>
    <row r="25" spans="1:1" x14ac:dyDescent="0.3">
      <c r="A25" s="171"/>
    </row>
    <row r="26" spans="1:1" x14ac:dyDescent="0.3">
      <c r="A26" s="171"/>
    </row>
    <row r="27" spans="1:1" x14ac:dyDescent="0.3">
      <c r="A27" s="171"/>
    </row>
    <row r="28" spans="1:1" x14ac:dyDescent="0.3">
      <c r="A28" s="171"/>
    </row>
    <row r="29" spans="1:1" x14ac:dyDescent="0.3">
      <c r="A29" s="171"/>
    </row>
    <row r="30" spans="1:1" x14ac:dyDescent="0.3">
      <c r="A30" s="171"/>
    </row>
    <row r="31" spans="1:1" x14ac:dyDescent="0.3">
      <c r="A31" s="171"/>
    </row>
    <row r="32" spans="1:1" x14ac:dyDescent="0.3">
      <c r="A32" s="171"/>
    </row>
    <row r="33" spans="1:1" x14ac:dyDescent="0.3">
      <c r="A33" s="171"/>
    </row>
    <row r="34" spans="1:1" x14ac:dyDescent="0.3">
      <c r="A34" s="171"/>
    </row>
    <row r="35" spans="1:1" x14ac:dyDescent="0.3">
      <c r="A35" s="171"/>
    </row>
    <row r="36" spans="1:1" x14ac:dyDescent="0.3">
      <c r="A36" s="171"/>
    </row>
    <row r="37" spans="1:1" x14ac:dyDescent="0.3">
      <c r="A37" s="171"/>
    </row>
    <row r="38" spans="1:1" x14ac:dyDescent="0.3">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Andres Gutierrez</cp:lastModifiedBy>
  <cp:revision/>
  <dcterms:created xsi:type="dcterms:W3CDTF">2014-08-28T14:25:03Z</dcterms:created>
  <dcterms:modified xsi:type="dcterms:W3CDTF">2024-06-29T13:34:07Z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