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updateLinks="never" codeName="ThisWorkbook" defaultThemeVersion="124226"/>
  <mc:AlternateContent xmlns:mc="http://schemas.openxmlformats.org/markup-compatibility/2006">
    <mc:Choice Requires="x15">
      <x15ac:absPath xmlns:x15ac="http://schemas.microsoft.com/office/spreadsheetml/2010/11/ac" url="D:\5.-LIGHTGIG\1.-TRABAJOS ONY\28.1-A02QVZ2 (LOUSIANA-F2)\11.3-REVISION 3\"/>
    </mc:Choice>
  </mc:AlternateContent>
  <xr:revisionPtr revIDLastSave="0" documentId="13_ncr:1_{8B6C1DE5-4401-40F4-B91B-F0BC977EA003}" xr6:coauthVersionLast="47" xr6:coauthVersionMax="47" xr10:uidLastSave="{00000000-0000-0000-0000-000000000000}"/>
  <bookViews>
    <workbookView xWindow="28680" yWindow="-135"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697" i="29"/>
  <c r="J696" i="29"/>
  <c r="J695" i="29"/>
  <c r="J694" i="29"/>
  <c r="J693" i="29"/>
  <c r="J692" i="29"/>
  <c r="J691" i="29"/>
  <c r="J690" i="29"/>
  <c r="J689" i="29"/>
  <c r="J688" i="29"/>
  <c r="J687" i="29"/>
  <c r="J686" i="29"/>
  <c r="J685" i="29"/>
  <c r="J684" i="29"/>
  <c r="J683" i="29"/>
  <c r="J682"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51" i="29"/>
  <c r="J450" i="29"/>
  <c r="J449" i="29"/>
  <c r="J448" i="29"/>
  <c r="J447" i="29"/>
  <c r="J446" i="29"/>
  <c r="J445" i="29"/>
  <c r="J444" i="29"/>
  <c r="J443" i="29"/>
  <c r="J442" i="29"/>
  <c r="J441" i="29"/>
  <c r="J440" i="29"/>
  <c r="J439" i="29"/>
  <c r="J438" i="29"/>
  <c r="J437" i="29"/>
  <c r="J436"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28" i="29"/>
  <c r="J327" i="29"/>
  <c r="J326" i="29"/>
  <c r="J325" i="29"/>
  <c r="J324" i="29"/>
  <c r="J323" i="29"/>
  <c r="J322" i="29"/>
  <c r="J321" i="29"/>
  <c r="J320" i="29"/>
  <c r="J319" i="29"/>
  <c r="J318" i="29"/>
  <c r="J317" i="29"/>
  <c r="J316" i="29"/>
  <c r="J315" i="29"/>
  <c r="J314" i="29"/>
  <c r="J313" i="29"/>
  <c r="J312" i="29"/>
  <c r="J311" i="29"/>
  <c r="J310"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I258" i="29" s="1"/>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I1961" i="29"/>
  <c r="H1961" i="29"/>
  <c r="Y1960" i="29"/>
  <c r="W1960" i="29" s="1"/>
  <c r="AA1963"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L1934" i="29" s="1"/>
  <c r="E1938" i="29"/>
  <c r="X1937" i="29"/>
  <c r="W1937" i="29"/>
  <c r="T1937" i="29"/>
  <c r="S1937" i="29"/>
  <c r="R1937" i="29"/>
  <c r="I1937" i="29"/>
  <c r="X1936" i="29"/>
  <c r="W1936" i="29"/>
  <c r="R1936" i="29"/>
  <c r="I1936" i="29"/>
  <c r="X1935" i="29"/>
  <c r="W1935" i="29"/>
  <c r="R1935" i="29"/>
  <c r="I1935" i="29"/>
  <c r="X1934" i="29"/>
  <c r="W1934" i="29"/>
  <c r="R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W1588" i="29" s="1"/>
  <c r="AA1591" i="29" s="1"/>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X909" i="29"/>
  <c r="W909" i="29"/>
  <c r="R909" i="29"/>
  <c r="X908" i="29"/>
  <c r="W908" i="29"/>
  <c r="R908" i="29"/>
  <c r="I908" i="29"/>
  <c r="I910" i="29" s="1"/>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X786" i="29"/>
  <c r="W786" i="29"/>
  <c r="R786"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I510" i="29"/>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873" i="29" l="1"/>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AA163" i="29"/>
  <c r="I623" i="29"/>
  <c r="Z1546" i="29"/>
  <c r="AA1551" i="29"/>
  <c r="Z1999" i="29"/>
  <c r="AA1148" i="29"/>
  <c r="AA1188" i="29"/>
  <c r="AA1270" i="29"/>
  <c r="AB1908" i="29"/>
  <c r="AA1909" i="29" s="1"/>
  <c r="AA1925" i="29"/>
  <c r="AA894" i="29"/>
  <c r="I463" i="29"/>
  <c r="L459" i="29" s="1"/>
  <c r="M464" i="29"/>
  <c r="AK471" i="29"/>
  <c r="AA160" i="29"/>
  <c r="AA164" i="29"/>
  <c r="AA446" i="29"/>
  <c r="Z735" i="29"/>
  <c r="AA1143" i="29"/>
  <c r="AA1837" i="29"/>
  <c r="AA1845" i="29"/>
  <c r="Z1874" i="29"/>
  <c r="AA1961" i="29"/>
  <c r="AA1761" i="29"/>
  <c r="Z1800" i="29"/>
  <c r="Z1962" i="29"/>
  <c r="Z400" i="29"/>
  <c r="AB514" i="29"/>
  <c r="AA515" i="29" s="1"/>
  <c r="AA697" i="29"/>
  <c r="AA810" i="29"/>
  <c r="Z982" i="29"/>
  <c r="AA1271" i="29"/>
  <c r="AA1312" i="29"/>
  <c r="AA1389" i="29"/>
  <c r="Z1588" i="29"/>
  <c r="Z1593" i="29"/>
  <c r="AA1636" i="29"/>
  <c r="Z940" i="29"/>
  <c r="Z858" i="29"/>
  <c r="Z360" i="29"/>
  <c r="AA897" i="29"/>
  <c r="Z899" i="29"/>
  <c r="I172" i="29"/>
  <c r="AA281" i="29"/>
  <c r="I746" i="29"/>
  <c r="I787" i="29"/>
  <c r="AA609" i="29"/>
  <c r="I500" i="29"/>
  <c r="I459"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V912" i="29"/>
  <c r="Z934" i="29"/>
  <c r="Z939" i="29"/>
  <c r="Z942" i="29"/>
  <c r="M915" i="29"/>
  <c r="J916" i="29"/>
  <c r="AA924" i="29"/>
  <c r="N912" i="29"/>
  <c r="M916" i="29" a="1"/>
  <c r="M916" i="29" s="1"/>
  <c r="Z938" i="29"/>
  <c r="Z941" i="29"/>
  <c r="O912" i="29"/>
  <c r="AC944" i="29"/>
  <c r="S871" i="29"/>
  <c r="T871" i="29"/>
  <c r="Z89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Z770" i="29"/>
  <c r="Z775" i="29"/>
  <c r="Z778" i="29"/>
  <c r="M751" i="29"/>
  <c r="Z772" i="29"/>
  <c r="O748" i="29"/>
  <c r="AC780" i="29"/>
  <c r="S707" i="29"/>
  <c r="AB720" i="29"/>
  <c r="T707" i="29"/>
  <c r="W725" i="29"/>
  <c r="AA728" i="29" s="1"/>
  <c r="W729" i="29"/>
  <c r="AA732" i="29" s="1"/>
  <c r="W734" i="29"/>
  <c r="AA737" i="29" s="1"/>
  <c r="W737" i="29"/>
  <c r="Z72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W284" i="29"/>
  <c r="AA287" i="29" s="1"/>
  <c r="AA228" i="29"/>
  <c r="AB228" i="29"/>
  <c r="W235" i="29"/>
  <c r="AA238" i="29" s="1"/>
  <c r="Z240" i="29"/>
  <c r="Z235" i="29"/>
  <c r="V215" i="29"/>
  <c r="Z237" i="29"/>
  <c r="Z242" i="29"/>
  <c r="M218" i="29"/>
  <c r="Z239" i="29"/>
  <c r="J219" i="29"/>
  <c r="AA227" i="29"/>
  <c r="N215" i="29"/>
  <c r="M219" i="29" a="1"/>
  <c r="M219" i="29" s="1"/>
  <c r="O215" i="29"/>
  <c r="AC247"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295" i="29" l="1"/>
  <c r="L49" i="29"/>
  <c r="L336"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BR3" i="34" l="1"/>
  <c r="BQ3" i="34" s="1"/>
  <c r="L542" i="29" s="1"/>
  <c r="DF3" i="34"/>
  <c r="DE3" i="34" s="1"/>
  <c r="L870" i="29" s="1"/>
  <c r="CV3" i="34"/>
  <c r="CU3" i="34" s="1"/>
  <c r="L788" i="29" s="1"/>
  <c r="CL3" i="34"/>
  <c r="CK3" i="34" s="1"/>
  <c r="CK2" i="34" s="1"/>
  <c r="CB3" i="34"/>
  <c r="BW3" i="34"/>
  <c r="BV3" i="34" s="1"/>
  <c r="BV2" i="34" s="1"/>
  <c r="BM3" i="34"/>
  <c r="BH3" i="34"/>
  <c r="BG3" i="34" s="1"/>
  <c r="BG2" i="34" s="1"/>
  <c r="AX3" i="34"/>
  <c r="AS3" i="34"/>
  <c r="CQ5" i="34"/>
  <c r="GB2" i="34"/>
  <c r="L1485" i="29"/>
  <c r="GL2" i="34"/>
  <c r="L1567" i="29"/>
  <c r="GV2" i="34"/>
  <c r="L1649" i="29"/>
  <c r="HF2" i="34"/>
  <c r="L1731" i="29"/>
  <c r="HP2" i="34"/>
  <c r="L1813" i="29"/>
  <c r="HZ2" i="34"/>
  <c r="L1895" i="29"/>
  <c r="IJ2" i="34"/>
  <c r="L1977" i="29"/>
  <c r="GG2" i="34"/>
  <c r="L1526" i="29"/>
  <c r="GQ2" i="34"/>
  <c r="L1608" i="29"/>
  <c r="HA2" i="34"/>
  <c r="L1690" i="29"/>
  <c r="HK2" i="34"/>
  <c r="L1772" i="29"/>
  <c r="HU2" i="34"/>
  <c r="L1854" i="29"/>
  <c r="IE2" i="34"/>
  <c r="L1936" i="29"/>
  <c r="FC3" i="34"/>
  <c r="FC2" i="34" s="1"/>
  <c r="EN3" i="34"/>
  <c r="L1157" i="29" s="1"/>
  <c r="DY3" i="34"/>
  <c r="L1034" i="29" s="1"/>
  <c r="DT3" i="34"/>
  <c r="DT2" i="34" s="1"/>
  <c r="CZ3" i="34"/>
  <c r="CZ2" i="34" s="1"/>
  <c r="CP3" i="34"/>
  <c r="CP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AN5" i="34"/>
  <c r="BC3" i="34"/>
  <c r="AX5" i="34"/>
  <c r="O5" i="34"/>
  <c r="AI5" i="34"/>
  <c r="BC5" i="34"/>
  <c r="BM5" i="34"/>
  <c r="AS5" i="34"/>
  <c r="Y5" i="34"/>
  <c r="AI3" i="34"/>
  <c r="AD3" i="34"/>
  <c r="T5" i="34"/>
  <c r="Y3" i="34"/>
  <c r="AN3" i="34"/>
  <c r="AM3" i="34" s="1"/>
  <c r="AD5" i="34"/>
  <c r="T3" i="34"/>
  <c r="O3" i="34"/>
  <c r="J3" i="34"/>
  <c r="I3" i="34" s="1"/>
  <c r="IP3" i="34"/>
  <c r="IO3" i="34" s="1"/>
  <c r="E12" i="29"/>
  <c r="E7" i="29"/>
  <c r="E9" i="34"/>
  <c r="E7" i="34"/>
  <c r="E6" i="34" s="1"/>
  <c r="CA3" i="34" l="1"/>
  <c r="L624" i="29" s="1"/>
  <c r="BL3" i="34"/>
  <c r="BL2" i="34" s="1"/>
  <c r="AW3" i="34"/>
  <c r="L378" i="29" s="1"/>
  <c r="AR3" i="34"/>
  <c r="L337" i="29" s="1"/>
  <c r="IO2" i="34"/>
  <c r="L2018" i="29"/>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CA2" i="34" l="1"/>
  <c r="L501" i="29"/>
  <c r="AW2" i="34"/>
  <c r="AR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J1694" i="29" l="1"/>
  <c r="J1899" i="29"/>
  <c r="E1776" i="29"/>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Q461" i="29" s="1"/>
  <c r="AR534" i="29"/>
  <c r="AN575" i="29"/>
  <c r="AR575" i="29"/>
  <c r="AQ616" i="29"/>
  <c r="AN657" i="29"/>
  <c r="AR657" i="29"/>
  <c r="AQ698" i="29"/>
  <c r="AN739" i="29"/>
  <c r="V707" i="29" s="1"/>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789" i="29" l="1"/>
  <c r="V871" i="29"/>
  <c r="V133" i="29"/>
  <c r="V748" i="29"/>
  <c r="V584" i="29"/>
  <c r="Q256" i="29"/>
  <c r="V379" i="29"/>
  <c r="Q215" i="29"/>
  <c r="V297" i="29"/>
  <c r="V543"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120" i="29" l="1"/>
  <c r="E1202" i="29"/>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P256" i="29" s="1"/>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U254"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X745" i="29"/>
  <c r="AX747" i="29"/>
  <c r="AU746" i="29"/>
  <c r="AX746" i="29"/>
  <c r="AU745" i="29"/>
  <c r="AU747"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X663" i="29"/>
  <c r="AX665" i="29"/>
  <c r="AU664" i="29"/>
  <c r="AX664" i="29"/>
  <c r="AU663"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G242" i="29"/>
  <c r="AU212" i="29"/>
  <c r="AU213"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W459" i="29"/>
  <c r="AX458"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X786" i="29"/>
  <c r="AU788" i="29"/>
  <c r="AV787" i="29"/>
  <c r="AU786"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571" i="29" l="1"/>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V213" i="29" s="1"/>
  <c r="AS212" i="29"/>
  <c r="AV212" i="29" s="1"/>
  <c r="AS214" i="29"/>
  <c r="AV214" i="29" s="1"/>
  <c r="AS378" i="29"/>
  <c r="AV378" i="29" s="1"/>
  <c r="AS376" i="29"/>
  <c r="AS377" i="29"/>
  <c r="AV377" i="29" s="1"/>
  <c r="AS542" i="29"/>
  <c r="AS540" i="29"/>
  <c r="AW540" i="29" s="1"/>
  <c r="AS541" i="29"/>
  <c r="AS706" i="29"/>
  <c r="AW706" i="29" s="1"/>
  <c r="AS704" i="29"/>
  <c r="AW704" i="29" s="1"/>
  <c r="AS705" i="29"/>
  <c r="AW705" i="29" s="1"/>
  <c r="AS254" i="29"/>
  <c r="AV254" i="29" s="1"/>
  <c r="AS255" i="29"/>
  <c r="AV255" i="29" s="1"/>
  <c r="AS253" i="29"/>
  <c r="AV253" i="29" s="1"/>
  <c r="AS581" i="29"/>
  <c r="AS583" i="29"/>
  <c r="AS582" i="29"/>
  <c r="AS132" i="29"/>
  <c r="AU132" i="29" s="1"/>
  <c r="AS131" i="29"/>
  <c r="AU131" i="29" s="1"/>
  <c r="AS130" i="29"/>
  <c r="AU130" i="29" s="1"/>
  <c r="AS295" i="29"/>
  <c r="AS296" i="29"/>
  <c r="AS294" i="29"/>
  <c r="AW294" i="29" s="1"/>
  <c r="AS460" i="29"/>
  <c r="AS458" i="29"/>
  <c r="AS459" i="29"/>
  <c r="AS624" i="29"/>
  <c r="AW624" i="29" s="1"/>
  <c r="AS622" i="29"/>
  <c r="AW622" i="29" s="1"/>
  <c r="AS623" i="29"/>
  <c r="AW623" i="29" s="1"/>
  <c r="AS788" i="29"/>
  <c r="AW788" i="29" s="1"/>
  <c r="AS786" i="29"/>
  <c r="AW786" i="29" s="1"/>
  <c r="AS787" i="29"/>
  <c r="AW787" i="29" s="1"/>
  <c r="AS90" i="29"/>
  <c r="AS89" i="29"/>
  <c r="AV89" i="29" s="1"/>
  <c r="AS91" i="29"/>
  <c r="AV91" i="29" s="1"/>
  <c r="AS417" i="29"/>
  <c r="AS419" i="29"/>
  <c r="AS418" i="29"/>
  <c r="AS745" i="29"/>
  <c r="AS747" i="29"/>
  <c r="AS746" i="29"/>
  <c r="AS172" i="29"/>
  <c r="AW172" i="29" s="1"/>
  <c r="AS173" i="29"/>
  <c r="AW173" i="29" s="1"/>
  <c r="AS171" i="29"/>
  <c r="AS335" i="29"/>
  <c r="AS337" i="29"/>
  <c r="AS336" i="29"/>
  <c r="AS499" i="29"/>
  <c r="AS501" i="29"/>
  <c r="AS500" i="29"/>
  <c r="AS663" i="29"/>
  <c r="AS665" i="29"/>
  <c r="AS664" i="29"/>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J719" i="29" s="1"/>
  <c r="BA717" i="29"/>
  <c r="J718" i="29" s="1"/>
  <c r="BA716" i="29"/>
  <c r="J717" i="29" s="1"/>
  <c r="BA715" i="29"/>
  <c r="J716" i="29" s="1"/>
  <c r="AE714" i="29"/>
  <c r="BA714" i="29"/>
  <c r="J715" i="29" s="1"/>
  <c r="BA696" i="29"/>
  <c r="BA695" i="29"/>
  <c r="BA694" i="29"/>
  <c r="BA692" i="29"/>
  <c r="BA691" i="29"/>
  <c r="BA690" i="29"/>
  <c r="BA689" i="29"/>
  <c r="BA688" i="29"/>
  <c r="BA687" i="29"/>
  <c r="BA686" i="29"/>
  <c r="BA685" i="29"/>
  <c r="BA684" i="29"/>
  <c r="BA683" i="29"/>
  <c r="BA682" i="29"/>
  <c r="BA681" i="29"/>
  <c r="BA680" i="29"/>
  <c r="J681" i="29" s="1"/>
  <c r="BA679" i="29"/>
  <c r="J680" i="29" s="1"/>
  <c r="BA678" i="29"/>
  <c r="J679" i="29" s="1"/>
  <c r="BA677" i="29"/>
  <c r="J678" i="29" s="1"/>
  <c r="BA676" i="29"/>
  <c r="J677" i="29" s="1"/>
  <c r="BA675" i="29"/>
  <c r="J676" i="29" s="1"/>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J476" i="29" s="1"/>
  <c r="BA474" i="29"/>
  <c r="J475" i="29" s="1"/>
  <c r="BA473" i="29"/>
  <c r="J474" i="29" s="1"/>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J435" i="29" s="1"/>
  <c r="BA433" i="29"/>
  <c r="J434" i="29" s="1"/>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J309" i="29" s="1"/>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W663" i="29" l="1"/>
  <c r="AV663" i="29"/>
  <c r="AW665" i="29"/>
  <c r="AV665" i="29"/>
  <c r="AW664" i="29"/>
  <c r="AV664" i="29"/>
  <c r="AV747" i="29"/>
  <c r="AW747" i="29"/>
  <c r="AU460" i="29"/>
  <c r="AV460" i="29"/>
  <c r="AV541" i="29"/>
  <c r="AW541" i="29"/>
  <c r="AV745" i="29"/>
  <c r="AW745" i="29"/>
  <c r="AU459" i="29"/>
  <c r="AV459" i="29"/>
  <c r="AV542" i="29"/>
  <c r="AW542" i="29"/>
  <c r="AV746" i="29"/>
  <c r="AW746" i="29"/>
  <c r="AU458" i="29"/>
  <c r="AV458" i="29"/>
  <c r="AV296" i="29"/>
  <c r="AW296" i="29"/>
  <c r="AV295" i="29"/>
  <c r="AW295" i="29"/>
  <c r="AX581" i="29"/>
  <c r="AW581" i="29"/>
  <c r="AX582" i="29"/>
  <c r="AW582" i="29"/>
  <c r="AX583" i="29"/>
  <c r="AW583"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<sst xmlns="http://schemas.openxmlformats.org/spreadsheetml/2006/main" count="7956" uniqueCount="805">
  <si>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</si>
  <si>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</si>
  <si>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</si>
  <si>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</si>
  <si>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</si>
  <si>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</si>
  <si>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</si>
  <si>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</si>
  <si>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</si>
  <si>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</si>
  <si>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</si>
  <si>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</si>
  <si>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</si>
  <si>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</si>
  <si>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</si>
  <si>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</si>
  <si>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</si>
  <si>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</si>
  <si>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</si>
  <si>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</si>
  <si>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</si>
  <si>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</si>
  <si>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</si>
  <si>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</si>
  <si>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</si>
  <si>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</si>
  <si>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</si>
  <si>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</si>
  <si>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</si>
  <si>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</si>
  <si>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</si>
  <si>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</si>
  <si>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</si>
  <si>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</si>
  <si>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</si>
  <si>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</si>
  <si>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</si>
  <si>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</si>
  <si>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</si>
  <si>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</si>
  <si>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</si>
  <si>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</si>
  <si>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</si>
  <si>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</si>
  <si>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</si>
  <si>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</si>
  <si>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</si>
  <si>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</si>
  <si>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</si>
  <si>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</si>
  <si>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</si>
  <si>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</si>
  <si>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</si>
  <si>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</si>
  <si>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</si>
  <si>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</si>
  <si>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</si>
  <si>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</si>
  <si>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</si>
  <si>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</si>
  <si>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</si>
  <si>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</si>
  <si>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</si>
  <si>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</si>
  <si>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</si>
  <si>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</si>
  <si>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</si>
  <si>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</si>
  <si>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</si>
  <si>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</si>
  <si>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</si>
  <si>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</si>
  <si>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</si>
  <si>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</si>
  <si>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</si>
  <si>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</si>
  <si>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</si>
  <si>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</si>
  <si>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</si>
  <si>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</si>
  <si>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</si>
  <si>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</si>
  <si>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</si>
  <si>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</si>
  <si>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</si>
  <si>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</si>
  <si>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</si>
  <si>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</si>
  <si>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</si>
  <si>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</si>
  <si>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</si>
  <si>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</si>
  <si>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</si>
  <si>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</si>
  <si>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</si>
  <si>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</si>
  <si>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</si>
  <si>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</si>
  <si>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</si>
  <si>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</si>
  <si>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</si>
  <si>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</si>
  <si>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</si>
  <si>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</si>
  <si>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</si>
  <si>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</si>
  <si>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</si>
  <si>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</si>
  <si>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</si>
  <si>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</si>
  <si>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</si>
  <si>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</si>
  <si>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</si>
  <si>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</si>
  <si>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</si>
  <si>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</si>
  <si>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</si>
  <si>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</si>
  <si>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</si>
  <si>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</si>
  <si>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</si>
  <si>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</si>
  <si>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</si>
  <si>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</si>
  <si>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</si>
  <si>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</si>
  <si>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</si>
  <si>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</si>
  <si>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</si>
  <si>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</si>
  <si>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</si>
  <si>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</si>
  <si>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</si>
  <si>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</si>
  <si>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</si>
  <si>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</si>
  <si>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</si>
  <si>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</si>
  <si>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</si>
  <si>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</si>
  <si>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</si>
  <si>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</si>
  <si>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</si>
  <si>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</si>
  <si>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</si>
  <si>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</si>
  <si>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</si>
  <si>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</si>
  <si>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</si>
  <si>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</si>
  <si>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</si>
  <si>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</si>
  <si>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</si>
  <si>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</si>
  <si>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</si>
  <si>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</si>
  <si>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</si>
  <si>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</si>
  <si>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</si>
  <si>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</si>
  <si>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</si>
  <si>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</si>
  <si>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</si>
  <si>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</si>
  <si>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</si>
  <si>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</si>
  <si>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</si>
  <si>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</si>
  <si>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</si>
  <si>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</si>
  <si>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</si>
  <si>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</si>
  <si>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</si>
  <si>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</si>
  <si>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</si>
  <si>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</si>
  <si>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</si>
  <si>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</si>
  <si>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</si>
  <si>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</si>
  <si>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</si>
  <si>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</si>
  <si>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</si>
  <si>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</si>
  <si>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</si>
  <si>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</si>
  <si>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</si>
  <si>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</si>
  <si>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</si>
  <si>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</si>
  <si>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</si>
  <si>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</si>
  <si>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</si>
  <si>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</si>
  <si>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</si>
  <si>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</si>
  <si>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</si>
  <si>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</si>
  <si>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</si>
  <si>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</si>
  <si>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</si>
  <si>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</si>
  <si>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</si>
  <si>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</si>
  <si>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</si>
  <si>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</si>
  <si>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</si>
  <si>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</si>
  <si>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</si>
  <si>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</si>
  <si>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</si>
  <si>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</si>
  <si>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</si>
  <si>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</si>
  <si>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</si>
  <si>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</si>
  <si>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</si>
  <si>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</si>
  <si>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</si>
  <si>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</si>
  <si>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</si>
  <si>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</si>
  <si>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</si>
  <si>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</si>
  <si>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</si>
  <si>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</si>
  <si>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</si>
  <si>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</si>
  <si>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</si>
  <si>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</si>
  <si>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</si>
  <si>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</si>
  <si>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</si>
  <si>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</si>
  <si>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</si>
  <si>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</si>
  <si>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</si>
  <si>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</si>
  <si>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</si>
  <si>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</si>
  <si>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</si>
  <si>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</si>
  <si>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</si>
  <si>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</si>
  <si>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</si>
  <si>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</si>
  <si>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</si>
  <si>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</si>
  <si>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</si>
  <si>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</si>
  <si>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</si>
  <si>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</si>
  <si>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</si>
  <si>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</si>
  <si>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</si>
  <si>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</si>
  <si>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</si>
  <si>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</si>
  <si>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</si>
  <si>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</si>
  <si>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</si>
  <si>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</si>
  <si>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</si>
  <si>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</si>
  <si>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</si>
  <si>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</si>
  <si>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</si>
  <si>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</si>
  <si>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</si>
  <si>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</si>
  <si>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</si>
  <si>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</si>
  <si>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</si>
  <si>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</si>
  <si>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</si>
  <si>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</si>
  <si>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</si>
  <si>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</si>
  <si>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</si>
  <si>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</si>
  <si>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</si>
  <si>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</si>
  <si>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</si>
  <si>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</si>
  <si>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</si>
  <si>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</si>
  <si>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</si>
  <si>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</si>
  <si>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</si>
  <si>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</si>
  <si>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</si>
  <si>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</si>
  <si>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</si>
  <si>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</si>
  <si>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</si>
  <si>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</si>
  <si>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</si>
  <si>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</si>
  <si>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</si>
  <si>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</si>
  <si>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</si>
  <si>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</si>
  <si>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</si>
  <si>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</si>
  <si>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</si>
  <si>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</si>
  <si>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</si>
  <si>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</si>
  <si>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</si>
  <si>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</si>
  <si>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</si>
  <si>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</si>
  <si>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</si>
  <si>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</si>
  <si>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</si>
  <si>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</si>
  <si>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</si>
  <si>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</si>
  <si>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</si>
  <si>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</si>
  <si>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</si>
  <si>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</si>
  <si>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</si>
  <si>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</si>
  <si>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</si>
  <si>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</si>
  <si>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</si>
  <si>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</si>
  <si>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</si>
  <si>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</si>
  <si>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</si>
  <si>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</si>
  <si>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</si>
  <si>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</si>
  <si>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</si>
  <si>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</si>
  <si>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</si>
  <si>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</si>
  <si>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</si>
  <si>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</si>
  <si>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</si>
  <si>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</si>
  <si>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</si>
  <si>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</si>
  <si>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</si>
  <si>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</si>
  <si>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</si>
  <si>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</si>
  <si>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</si>
  <si>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</si>
  <si>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</si>
  <si>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</si>
  <si>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</si>
  <si>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</si>
  <si>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</si>
  <si>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</si>
  <si>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</si>
  <si>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</si>
  <si>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</si>
  <si>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</si>
  <si>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</si>
  <si>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</si>
  <si>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</si>
  <si>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</si>
  <si>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</si>
  <si>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</si>
  <si>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</si>
  <si>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</si>
  <si>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</si>
  <si>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</si>
  <si>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</si>
  <si>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</si>
  <si>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</si>
  <si>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</si>
  <si>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</si>
  <si>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</si>
  <si>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</si>
  <si>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</si>
  <si>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</si>
  <si>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</si>
  <si>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</si>
  <si>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</si>
  <si>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</si>
  <si>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</si>
  <si>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</si>
  <si>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</si>
  <si>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</si>
  <si>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</si>
  <si>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</si>
  <si>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</si>
  <si>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</si>
  <si>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</si>
  <si>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</si>
  <si>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</si>
  <si>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</si>
  <si>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</si>
  <si>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</si>
  <si>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</si>
  <si>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</si>
  <si>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</si>
  <si>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</si>
  <si>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</si>
  <si>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</si>
  <si>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</si>
  <si>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</si>
  <si>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</si>
  <si>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</si>
  <si>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</si>
  <si>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</si>
  <si>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</si>
  <si>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</si>
  <si>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</si>
  <si>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</si>
  <si>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</si>
  <si>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</si>
  <si>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</si>
  <si>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</si>
  <si>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</si>
  <si>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</si>
  <si>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</si>
  <si>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</si>
  <si>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</si>
  <si>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</si>
  <si>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</si>
  <si>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</si>
  <si>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</si>
  <si>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</si>
  <si>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</si>
  <si>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</si>
  <si>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</si>
  <si>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</si>
  <si>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</si>
  <si>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</si>
  <si>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</si>
  <si>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</si>
  <si>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</si>
  <si>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</si>
  <si>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</si>
  <si>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</si>
  <si>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</si>
  <si>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</si>
  <si>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</si>
  <si>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</si>
  <si>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</si>
  <si>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</si>
  <si>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</si>
  <si>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</si>
  <si>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</si>
  <si>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</si>
  <si>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</si>
  <si>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</si>
  <si>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</si>
  <si>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</si>
  <si>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</si>
  <si>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</si>
  <si>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</si>
  <si>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</si>
  <si>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</si>
  <si>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</si>
  <si>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</si>
  <si>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</si>
  <si>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</si>
  <si>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</si>
  <si>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</si>
  <si>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</si>
  <si>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</si>
  <si>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</si>
  <si>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</si>
  <si>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</si>
  <si>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</si>
  <si>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</si>
  <si>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</si>
  <si>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</si>
  <si>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</si>
  <si>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</si>
  <si>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</si>
  <si>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</si>
  <si>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</si>
  <si>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</si>
  <si>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</si>
  <si>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</si>
  <si>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</si>
  <si>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</si>
  <si>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</si>
  <si>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</si>
  <si>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</si>
  <si>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</si>
  <si>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</si>
  <si>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</si>
  <si>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</si>
  <si>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</si>
  <si>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</si>
  <si>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</si>
  <si>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</si>
  <si>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</si>
  <si>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</si>
  <si>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</si>
  <si>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</si>
  <si>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</si>
  <si>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</si>
  <si>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</si>
  <si>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</si>
  <si>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</si>
  <si>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</si>
  <si>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</si>
  <si>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</si>
  <si>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</si>
  <si>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</si>
  <si>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</si>
  <si>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</si>
  <si>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</si>
  <si>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</si>
  <si>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</si>
  <si>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</si>
  <si>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</si>
  <si>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</si>
  <si>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</si>
  <si>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</si>
  <si>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</si>
  <si>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</si>
  <si>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</si>
  <si>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</si>
  <si>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</si>
  <si>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</si>
  <si>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</si>
  <si>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</si>
  <si>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</si>
  <si>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</si>
  <si>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</si>
  <si>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</si>
  <si>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</si>
  <si>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</si>
  <si>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</si>
  <si>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</si>
  <si>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</si>
  <si>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</si>
  <si>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</si>
  <si>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</si>
  <si>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</si>
  <si>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</si>
  <si>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</si>
  <si>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</si>
  <si>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</si>
  <si>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</si>
  <si>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</si>
  <si>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</si>
  <si>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</si>
  <si>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</si>
  <si>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</si>
  <si>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</si>
  <si>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</si>
  <si>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</si>
  <si>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</si>
  <si>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</si>
  <si>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</si>
  <si>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</si>
  <si>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</si>
  <si>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</si>
  <si>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</si>
  <si>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</si>
  <si>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</si>
  <si>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</si>
  <si>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</si>
  <si>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</si>
  <si>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</si>
  <si>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</si>
  <si>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</si>
  <si>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</si>
  <si>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</si>
  <si>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</si>
  <si>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</si>
  <si>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</si>
  <si>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</si>
  <si>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</si>
  <si>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</si>
  <si>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</si>
  <si>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</si>
  <si>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</si>
  <si>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</si>
  <si>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</si>
  <si>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</si>
  <si>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</si>
  <si>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</si>
  <si>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</si>
  <si>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</si>
  <si>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</si>
  <si>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</si>
  <si>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</si>
  <si>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</si>
  <si>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</si>
  <si>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</si>
  <si>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</si>
  <si>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</si>
  <si>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</si>
  <si>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</si>
  <si>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</si>
  <si>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</si>
  <si>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</si>
  <si>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</si>
  <si>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</si>
  <si>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</si>
  <si>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</si>
  <si>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</si>
  <si>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</si>
  <si>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</si>
  <si>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</si>
  <si>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</si>
  <si>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</si>
  <si>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</si>
  <si>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</si>
  <si>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</si>
  <si>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</si>
  <si>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</si>
  <si>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</si>
  <si>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</si>
  <si>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</si>
  <si>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</si>
  <si>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</si>
  <si>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</si>
  <si>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</si>
  <si>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</si>
  <si>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</si>
  <si>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</si>
  <si>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</si>
  <si>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</si>
  <si>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</si>
  <si>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</si>
  <si>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</si>
  <si>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</si>
  <si>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</si>
  <si>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</si>
  <si>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</si>
  <si>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</si>
  <si>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</si>
  <si>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</si>
  <si>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</si>
  <si>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</si>
  <si>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</si>
  <si>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</si>
  <si>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</si>
  <si>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</si>
  <si>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</si>
  <si>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</si>
  <si>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</si>
  <si>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</si>
  <si>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</si>
  <si>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</si>
  <si>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</si>
  <si>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</si>
  <si>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</si>
  <si>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</si>
  <si>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</si>
  <si>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</si>
  <si>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</si>
  <si>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</si>
  <si>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</si>
  <si>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</si>
  <si>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</si>
  <si>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</si>
  <si>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</si>
  <si>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</si>
  <si>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</si>
  <si>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</si>
  <si>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</si>
  <si>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</si>
  <si>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</si>
  <si>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</si>
  <si>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</si>
  <si>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</si>
  <si>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</si>
  <si>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</si>
  <si>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</si>
  <si>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</si>
  <si>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</si>
  <si>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</si>
  <si>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</si>
  <si>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</si>
  <si>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</si>
  <si>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</si>
  <si>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</si>
  <si>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</si>
  <si>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</si>
  <si>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</si>
  <si>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</si>
  <si>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</si>
  <si>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</si>
  <si>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</si>
  <si>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</si>
  <si>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</si>
  <si>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</si>
  <si>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</si>
  <si>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</si>
  <si>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</si>
  <si>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</si>
  <si>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</si>
  <si>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</si>
  <si>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</si>
  <si>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</si>
  <si>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</si>
  <si>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</si>
  <si>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</si>
  <si>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</si>
  <si>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</si>
  <si>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</si>
  <si>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</si>
  <si>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</si>
  <si>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</si>
  <si>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</si>
  <si>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</si>
  <si>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</si>
  <si>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</si>
  <si>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</si>
  <si>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</si>
  <si>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</si>
  <si>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</si>
  <si>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</si>
  <si>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</si>
  <si>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</si>
  <si>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</si>
  <si>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</si>
  <si>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</si>
  <si>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</si>
  <si>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</si>
  <si>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</si>
  <si>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</si>
  <si>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</si>
  <si>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</si>
  <si>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</si>
  <si>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</si>
  <si>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</si>
  <si>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</si>
  <si>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A02QVZ2</t>
  </si>
  <si>
    <t>F 16870 Varnado Rd</t>
  </si>
  <si>
    <t>1109PA</t>
  </si>
  <si>
    <t>PON1109PA</t>
  </si>
  <si>
    <t>LVTNLAMA</t>
  </si>
  <si>
    <t>F 16870-1 VARNADO RD</t>
  </si>
  <si>
    <t>F 31710-1 JEWEL WATTS RD</t>
  </si>
  <si>
    <t>F 31692-1 JEWEL WATTS RD</t>
  </si>
  <si>
    <t>F 31720-1 JEWEL WATTS RD</t>
  </si>
  <si>
    <t>F 31650-1 JEWEL WATTS RD</t>
  </si>
  <si>
    <t>F 31133-1 CANE MARKET RD</t>
  </si>
  <si>
    <t>F 31145-1 CANE MARKET RD</t>
  </si>
  <si>
    <t>F 31153-1 CANE MARKET RD</t>
  </si>
  <si>
    <t>F 31915-1 BEASLEY RD</t>
  </si>
  <si>
    <t>F 31939-1 BEASLEY RD</t>
  </si>
  <si>
    <t>F 31991-1 BEASLEY RD</t>
  </si>
  <si>
    <t>F 32013-1 BEASLEY RD</t>
  </si>
  <si>
    <t>F 16650-1 VARNADO RD</t>
  </si>
  <si>
    <t>F 16325-1 VARNADO RD</t>
  </si>
  <si>
    <t>F 31319-1 CANE MARKET RD</t>
  </si>
  <si>
    <t>`</t>
  </si>
  <si>
    <t>F 31295-1 CANE MARKET RD</t>
  </si>
  <si>
    <t>F 31413-1 CANE MARKET RD</t>
  </si>
  <si>
    <t>OPP 32525-1 MANGUM CHAPEL RD</t>
  </si>
  <si>
    <t>OPP 32627-1 MANGUM CHAPEL RD</t>
  </si>
  <si>
    <t>F 31390-1 CANE MARKET RD</t>
  </si>
  <si>
    <t>F 31412-1 CANE MARKET RD</t>
  </si>
  <si>
    <t>F 31430-1 CANE MARKET RD</t>
  </si>
  <si>
    <t>OPP 31495-1 CANE MARKET RD</t>
  </si>
  <si>
    <t>F 31530-1 CANE MARKET RD</t>
  </si>
  <si>
    <t>F 15850-1 VARNADO RD</t>
  </si>
  <si>
    <t>F 15810-1 VARNADO RD</t>
  </si>
  <si>
    <t>F 15670-1 VARNADO RD</t>
  </si>
  <si>
    <t>OPP 32700-1 BILL WILLIAMS RD</t>
  </si>
  <si>
    <t>F 31584-1 CANE MARKET RD</t>
  </si>
  <si>
    <t>F 32808-1 BAUGHMAN RD</t>
  </si>
  <si>
    <t>F 32940-1 BAUGHMAN RD</t>
  </si>
  <si>
    <t>F 31718-1 CANE MARKET RD</t>
  </si>
  <si>
    <t>F 31870-1 CANE MARKET RD</t>
  </si>
  <si>
    <t>F 31924-1 CANE MARKET RD</t>
  </si>
  <si>
    <t>F 32000-1 CANE MARKET RD</t>
  </si>
  <si>
    <t>F 31958-1 CANE MARKET RD</t>
  </si>
  <si>
    <t>F 32021-1 CANE MARKET RD</t>
  </si>
  <si>
    <t>F 32090-1 CANE MARKET RD</t>
  </si>
  <si>
    <t>OPP 32271-1 CANE MARKET RD</t>
  </si>
  <si>
    <t>F 32260-1 CANE MARKET RD</t>
  </si>
  <si>
    <t>F 15315-1 COURTNEY RD</t>
  </si>
  <si>
    <t>F 15335-1 COURTNEY RD</t>
  </si>
  <si>
    <t>F 32416-1 MANGUM CHAPEL RD</t>
  </si>
  <si>
    <t>F 33182-1 MANGUM CHAPEL RD</t>
  </si>
  <si>
    <t>F 31157-1 CANE MARKET RD</t>
  </si>
  <si>
    <t>F 16550-1 VARNADO RD</t>
  </si>
  <si>
    <t>ACTIVATION FBT (FBT F 30702 CANE MARKET RD)</t>
  </si>
  <si>
    <t>F 30078-1 CANE MARKET RD</t>
  </si>
  <si>
    <t>F 16000-1 VARNADO RD</t>
  </si>
  <si>
    <t>OPP 32561-1 MANGUM CHAPEL RD</t>
  </si>
  <si>
    <t>F 15700-1 VARNADO RD</t>
  </si>
  <si>
    <t>F 32730-1 BILL WILLIAMS RD</t>
  </si>
  <si>
    <t>OPP 32757-1 BAUGHMAN RD</t>
  </si>
  <si>
    <t>OPP 31764-1 CANE MARKET RD</t>
  </si>
  <si>
    <t>OPP 31818-1 CANE MARKET RD</t>
  </si>
  <si>
    <t>OPP 31553-1 CANE MARKET RD</t>
  </si>
  <si>
    <t>OPP 15510-1 VARNADO RD</t>
  </si>
  <si>
    <t>F 33202-1 MANGUM CHAPEL RD</t>
  </si>
  <si>
    <t>OPP 16750-1 VARNADO RD</t>
  </si>
  <si>
    <t>OPP 31785-1 GALLMAN DR</t>
  </si>
  <si>
    <t>F 30702 CANE MARKET RD</t>
  </si>
  <si>
    <t>F 15550-1 VARNADO RD</t>
  </si>
  <si>
    <t>F 31975-1 N CORBIN RD</t>
  </si>
  <si>
    <t>F 15739-1 VARNADO RD</t>
  </si>
  <si>
    <t>OPP 32481-1 MANGUM CHAPEL RD</t>
  </si>
  <si>
    <t>REEL 8 (421-636)</t>
  </si>
  <si>
    <t>REEL 11 (421-600)</t>
  </si>
  <si>
    <t>OPP 31393-1 CANE MARKET 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</si>
</sst>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70"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
      <sz val="16"/>
      <color rgb="FF000000"/>
      <name val="Arial"/>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5">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69" fillId="23" borderId="40" xfId="12" applyFont="1" applyFill="1" applyProtection="1">
      <protection locked="0"/>
    </xf>
    <xf numFmtId="0" fontId="0" fillId="0" borderId="0" xfId="0" applyProtection="1">
      <protection locked="0" hidden="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19">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18" dataDxfId="1616" headerRowBorderDxfId="1617" tableBorderDxfId="1615" totalsRowBorderDxfId="1614">
  <autoFilter ref="A1:AP499" xr:uid="{00000000-0009-0000-0100-000003000000}"/>
  <tableColumns count="42">
    <tableColumn id="1" xr3:uid="{00000000-0010-0000-0000-000001000000}" name="DWG#" dataDxfId="1613"/>
    <tableColumn id="61" xr3:uid="{00000000-0010-0000-0000-00003D000000}" name="10x15 HH" dataDxfId="1612"/>
    <tableColumn id="9" xr3:uid="{00000000-0010-0000-0000-000009000000}" name="IDUCT 1" dataDxfId="1611"/>
    <tableColumn id="10" xr3:uid="{00000000-0010-0000-0000-00000A000000}" name="IDUCT 2" dataDxfId="1610"/>
    <tableColumn id="11" xr3:uid="{00000000-0010-0000-0000-00000B000000}" name="IDUCT 3" dataDxfId="1609"/>
    <tableColumn id="12" xr3:uid="{00000000-0010-0000-0000-00000C000000}" name="IDUCT 4" dataDxfId="1608"/>
    <tableColumn id="13" xr3:uid="{00000000-0010-0000-0000-00000D000000}" name="IDUCT 5" dataDxfId="1607"/>
    <tableColumn id="14" xr3:uid="{00000000-0010-0000-0000-00000E000000}" name="IDUCT 6" dataDxfId="1606"/>
    <tableColumn id="15" xr3:uid="{00000000-0010-0000-0000-00000F000000}" name="IDUCT 7" dataDxfId="1605"/>
    <tableColumn id="16" xr3:uid="{00000000-0010-0000-0000-000010000000}" name="IDUCT 8" dataDxfId="1604"/>
    <tableColumn id="17" xr3:uid="{00000000-0010-0000-0000-000011000000}" name="IDUCT 9" dataDxfId="1603"/>
    <tableColumn id="18" xr3:uid="{00000000-0010-0000-0000-000012000000}" name="IDUCT 10" dataDxfId="1602"/>
    <tableColumn id="19" xr3:uid="{00000000-0010-0000-0000-000013000000}" name="IDUCT 11" dataDxfId="1601"/>
    <tableColumn id="20" xr3:uid="{00000000-0010-0000-0000-000014000000}" name="IDUCT 12" dataDxfId="1600"/>
    <tableColumn id="21" xr3:uid="{00000000-0010-0000-0000-000015000000}" name="IDUCT 13" dataDxfId="1599"/>
    <tableColumn id="22" xr3:uid="{00000000-0010-0000-0000-000016000000}" name="IDUCT 14" dataDxfId="1598"/>
    <tableColumn id="23" xr3:uid="{00000000-0010-0000-0000-000017000000}" name="IDUCT 15" dataDxfId="1597"/>
    <tableColumn id="24" xr3:uid="{00000000-0010-0000-0000-000018000000}" name="IDUCT 16" dataDxfId="1596"/>
    <tableColumn id="25" xr3:uid="{00000000-0010-0000-0000-000019000000}" name="IDUCT 17" dataDxfId="1595"/>
    <tableColumn id="26" xr3:uid="{00000000-0010-0000-0000-00001A000000}" name="IDUCT 18" dataDxfId="1594"/>
    <tableColumn id="27" xr3:uid="{00000000-0010-0000-0000-00001B000000}" name="IDUCT 19" dataDxfId="1593"/>
    <tableColumn id="28" xr3:uid="{00000000-0010-0000-0000-00001C000000}" name="IDUCT 20" dataDxfId="1592"/>
    <tableColumn id="29" xr3:uid="{00000000-0010-0000-0000-00001D000000}" name="Pullback IDUCT 1" dataDxfId="1591"/>
    <tableColumn id="30" xr3:uid="{00000000-0010-0000-0000-00001E000000}" name="Pullback IDUCT 2" dataDxfId="1590"/>
    <tableColumn id="31" xr3:uid="{00000000-0010-0000-0000-00001F000000}" name="Pullback IDUCT 3" dataDxfId="1589"/>
    <tableColumn id="32" xr3:uid="{00000000-0010-0000-0000-000020000000}" name="Pullback IDUCT 4" dataDxfId="1588"/>
    <tableColumn id="33" xr3:uid="{00000000-0010-0000-0000-000021000000}" name="Pullback IDUCT 5" dataDxfId="1587"/>
    <tableColumn id="34" xr3:uid="{00000000-0010-0000-0000-000022000000}" name="Pullback IDUCT 6" dataDxfId="1586"/>
    <tableColumn id="35" xr3:uid="{00000000-0010-0000-0000-000023000000}" name="Pullback IDUCT 7" dataDxfId="1585"/>
    <tableColumn id="36" xr3:uid="{00000000-0010-0000-0000-000024000000}" name="Pullback IDUCT 8" dataDxfId="1584"/>
    <tableColumn id="37" xr3:uid="{00000000-0010-0000-0000-000025000000}" name="Pullback IDUCT 9" dataDxfId="1583"/>
    <tableColumn id="38" xr3:uid="{00000000-0010-0000-0000-000026000000}" name="Pullback IDUCT 10" dataDxfId="1582"/>
    <tableColumn id="49" xr3:uid="{00000000-0010-0000-0000-000031000000}" name="ROD Duct 1" dataDxfId="1581"/>
    <tableColumn id="50" xr3:uid="{00000000-0010-0000-0000-000032000000}" name="ROD Duct 2" dataDxfId="1580"/>
    <tableColumn id="51" xr3:uid="{00000000-0010-0000-0000-000033000000}" name="ROD Duct 3" dataDxfId="1579"/>
    <tableColumn id="52" xr3:uid="{00000000-0010-0000-0000-000034000000}" name="ROD Duct 4" dataDxfId="1578"/>
    <tableColumn id="53" xr3:uid="{00000000-0010-0000-0000-000035000000}" name="ROD Duct 5" dataDxfId="1577"/>
    <tableColumn id="54" xr3:uid="{00000000-0010-0000-0000-000036000000}" name="ROD Duct 6" dataDxfId="1576"/>
    <tableColumn id="55" xr3:uid="{00000000-0010-0000-0000-000037000000}" name="ROD Duct 7" dataDxfId="1575"/>
    <tableColumn id="56" xr3:uid="{00000000-0010-0000-0000-000038000000}" name="ROD Duct 8" dataDxfId="1574"/>
    <tableColumn id="57" xr3:uid="{00000000-0010-0000-0000-000039000000}" name="ROD Duct 9" dataDxfId="1573"/>
    <tableColumn id="58" xr3:uid="{00000000-0010-0000-0000-00003A000000}" name="ROD Duct 10" dataDxfId="1572"/>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S22" sqref="S22"/>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1" t="s">
        <v>0</v>
      </c>
      <c r="C1" s="261"/>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9" t="s">
        <v>8</v>
      </c>
      <c r="H19" s="260"/>
      <c r="I19" s="260"/>
      <c r="J19" s="260"/>
      <c r="K19" s="260"/>
      <c r="L19" s="260"/>
      <c r="M19" s="260"/>
      <c r="N19" s="260"/>
      <c r="O19" s="260"/>
      <c r="P19" s="260"/>
      <c r="Q19" s="176"/>
    </row>
    <row r="20" spans="2:17" x14ac:dyDescent="0.25">
      <c r="G20" s="260"/>
      <c r="H20" s="260"/>
      <c r="I20" s="260"/>
      <c r="J20" s="260"/>
      <c r="K20" s="260"/>
      <c r="L20" s="260"/>
      <c r="M20" s="260"/>
      <c r="N20" s="260"/>
      <c r="O20" s="260"/>
      <c r="P20" s="260"/>
      <c r="Q20" s="176"/>
    </row>
    <row r="21" spans="2:17" x14ac:dyDescent="0.25">
      <c r="G21" s="260"/>
      <c r="H21" s="260"/>
      <c r="I21" s="260"/>
      <c r="J21" s="260"/>
      <c r="K21" s="260"/>
      <c r="L21" s="260"/>
      <c r="M21" s="260"/>
      <c r="N21" s="260"/>
      <c r="O21" s="260"/>
      <c r="P21" s="260"/>
      <c r="Q21" s="176"/>
    </row>
    <row r="22" spans="2:17" ht="15" customHeight="1" x14ac:dyDescent="0.25">
      <c r="G22" s="260"/>
      <c r="H22" s="260"/>
      <c r="I22" s="260"/>
      <c r="J22" s="260"/>
      <c r="K22" s="260"/>
      <c r="L22" s="260"/>
      <c r="M22" s="260"/>
      <c r="N22" s="260"/>
      <c r="O22" s="260"/>
      <c r="P22" s="260"/>
      <c r="Q22" s="176"/>
    </row>
    <row r="23" spans="2:17" x14ac:dyDescent="0.25">
      <c r="G23" s="260"/>
      <c r="H23" s="260"/>
      <c r="I23" s="260"/>
      <c r="J23" s="260"/>
      <c r="K23" s="260"/>
      <c r="L23" s="260"/>
      <c r="M23" s="260"/>
      <c r="N23" s="260"/>
      <c r="O23" s="260"/>
      <c r="P23" s="260"/>
      <c r="Q23" s="176"/>
    </row>
    <row r="24" spans="2:17" x14ac:dyDescent="0.25">
      <c r="G24" s="260"/>
      <c r="H24" s="260"/>
      <c r="I24" s="260"/>
      <c r="J24" s="260"/>
      <c r="K24" s="260"/>
      <c r="L24" s="260"/>
      <c r="M24" s="260"/>
      <c r="N24" s="260"/>
      <c r="O24" s="260"/>
      <c r="P24" s="260"/>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8" t="s">
        <v>10</v>
      </c>
      <c r="G35" s="258"/>
      <c r="H35" s="258"/>
      <c r="I35" s="258"/>
      <c r="J35" s="258"/>
      <c r="K35" s="258"/>
      <c r="L35" s="258"/>
      <c r="M35" s="258"/>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5" t="s">
        <v>15</v>
      </c>
      <c r="C147" s="256"/>
      <c r="D147" s="256"/>
      <c r="E147" s="256"/>
      <c r="F147" s="256"/>
      <c r="G147" s="256"/>
      <c r="H147" s="256"/>
      <c r="I147" s="256"/>
      <c r="J147" s="256"/>
      <c r="K147" s="256"/>
      <c r="L147" s="256"/>
      <c r="M147" s="256"/>
      <c r="N147" s="256"/>
      <c r="O147" s="256"/>
      <c r="P147" s="257"/>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16870-1 VARNADO RD</v>
      </c>
      <c r="B1" s="118"/>
      <c r="C1" s="118"/>
      <c r="D1" s="118"/>
      <c r="E1" s="118"/>
      <c r="G1" t="str">
        <f>IF('Assignment Tool'!C1="","",IF('Assignment Tool'!C1="FST",'Assignment Tool'!D1,""))</f>
        <v/>
      </c>
      <c r="H1">
        <v>1</v>
      </c>
      <c r="I1">
        <v>1</v>
      </c>
      <c r="J1" t="str">
        <f t="array" ref="J1">IFERROR(INDEX($G$2:$G$2050,_xlfn.AGGREGATE(15,6,(ROW($G$2:$G$2050)-ROW($G$2)+1)/($G$2:$G$2050&lt;&gt;""),ROWS(J$1:J1))),"")</f>
        <v>F 16870-1 VARNADO RD</v>
      </c>
      <c r="K1">
        <f>IF(J1="","",INDEX('Assignment Tool'!E17:E2050,MATCH(FA_DATA!J1,'Assignment Tool'!D17:D2050,0)))</f>
        <v>4</v>
      </c>
    </row>
    <row r="2" spans="1:11" x14ac:dyDescent="0.25">
      <c r="A2" s="118" t="str">
        <f t="shared" ref="A2:A65" si="0">VLOOKUP(H2,$I$1:$J$1000,2)</f>
        <v>F 16870-1 VARNADO RD</v>
      </c>
      <c r="G2" t="str">
        <f>IF('Assignment Tool'!C2="","",IF('Assignment Tool'!C2="FST",'Assignment Tool'!D2,""))</f>
        <v/>
      </c>
      <c r="H2">
        <v>2</v>
      </c>
      <c r="I2">
        <f>IFERROR((I1+K1),"")</f>
        <v>5</v>
      </c>
      <c r="J2" t="str">
        <f t="array" ref="J2">IFERROR(INDEX($G$2:$G$2050,_xlfn.AGGREGATE(15,6,(ROW($G$2:$G$2050)-ROW($G$2)+1)/($G$2:$G$2050&lt;&gt;""),ROWS(J$1:J2))),"")</f>
        <v>F 31710-1 JEWEL WATTS RD</v>
      </c>
      <c r="K2">
        <f>IF(J2="","",INDEX('Assignment Tool'!E18:E2051,MATCH(FA_DATA!J2,'Assignment Tool'!D18:D2051,0)))</f>
        <v>4</v>
      </c>
    </row>
    <row r="3" spans="1:11" x14ac:dyDescent="0.25">
      <c r="A3" s="118" t="str">
        <f t="shared" si="0"/>
        <v>F 16870-1 VARNADO RD</v>
      </c>
      <c r="G3" t="str">
        <f>IF('Assignment Tool'!C3="","",IF('Assignment Tool'!C3="FST",'Assignment Tool'!D3,""))</f>
        <v/>
      </c>
      <c r="H3">
        <v>3</v>
      </c>
      <c r="I3">
        <f t="shared" ref="I3:I66" si="1">IFERROR((I2+K2),"")</f>
        <v>9</v>
      </c>
      <c r="J3" t="str">
        <f t="array" ref="J3">IFERROR(INDEX($G$2:$G$2050,_xlfn.AGGREGATE(15,6,(ROW($G$2:$G$2050)-ROW($G$2)+1)/($G$2:$G$2050&lt;&gt;""),ROWS(J$1:J3))),"")</f>
        <v>F 31692-1 JEWEL WATTS RD</v>
      </c>
      <c r="K3">
        <f>IF(J3="","",INDEX('Assignment Tool'!E19:E2052,MATCH(FA_DATA!J3,'Assignment Tool'!D19:D2052,0)))</f>
        <v>4</v>
      </c>
    </row>
    <row r="4" spans="1:11" x14ac:dyDescent="0.25">
      <c r="A4" s="118" t="str">
        <f t="shared" si="0"/>
        <v>F 16870-1 VARNADO RD</v>
      </c>
      <c r="G4" t="str">
        <f>IF('Assignment Tool'!C4="","",IF('Assignment Tool'!C4="FST",'Assignment Tool'!D4,""))</f>
        <v/>
      </c>
      <c r="H4">
        <v>4</v>
      </c>
      <c r="I4">
        <f t="shared" si="1"/>
        <v>13</v>
      </c>
      <c r="J4" t="str">
        <f t="array" ref="J4">IFERROR(INDEX($G$2:$G$2050,_xlfn.AGGREGATE(15,6,(ROW($G$2:$G$2050)-ROW($G$2)+1)/($G$2:$G$2050&lt;&gt;""),ROWS(J$1:J4))),"")</f>
        <v>F 31720-1 JEWEL WATTS RD</v>
      </c>
      <c r="K4">
        <f>IF(J4="","",INDEX('Assignment Tool'!E20:E2053,MATCH(FA_DATA!J4,'Assignment Tool'!D20:D2053,0)))</f>
        <v>4</v>
      </c>
    </row>
    <row r="5" spans="1:11" x14ac:dyDescent="0.25">
      <c r="A5" s="118" t="str">
        <f t="shared" si="0"/>
        <v>F 31710-1 JEWEL WATTS RD</v>
      </c>
      <c r="G5" t="str">
        <f>IF('Assignment Tool'!C5="","",IF('Assignment Tool'!C5="FST",'Assignment Tool'!D5,""))</f>
        <v/>
      </c>
      <c r="H5">
        <v>5</v>
      </c>
      <c r="I5">
        <f t="shared" si="1"/>
        <v>17</v>
      </c>
      <c r="J5" t="str">
        <f t="array" ref="J5">IFERROR(INDEX($G$2:$G$2050,_xlfn.AGGREGATE(15,6,(ROW($G$2:$G$2050)-ROW($G$2)+1)/($G$2:$G$2050&lt;&gt;""),ROWS(J$1:J5))),"")</f>
        <v>F 31650-1 JEWEL WATTS RD</v>
      </c>
      <c r="K5">
        <f>IF(J5="","",INDEX('Assignment Tool'!E21:E2054,MATCH(FA_DATA!J5,'Assignment Tool'!D21:D2054,0)))</f>
        <v>8</v>
      </c>
    </row>
    <row r="6" spans="1:11" x14ac:dyDescent="0.25">
      <c r="A6" s="118" t="str">
        <f t="shared" si="0"/>
        <v>F 31710-1 JEWEL WATTS RD</v>
      </c>
      <c r="G6" t="str">
        <f>IF('Assignment Tool'!C6="","",IF('Assignment Tool'!C6="FST",'Assignment Tool'!D6,""))</f>
        <v/>
      </c>
      <c r="H6">
        <v>6</v>
      </c>
      <c r="I6">
        <f t="shared" si="1"/>
        <v>25</v>
      </c>
      <c r="J6" t="str">
        <f t="array" ref="J6">IFERROR(INDEX($G$2:$G$2050,_xlfn.AGGREGATE(15,6,(ROW($G$2:$G$2050)-ROW($G$2)+1)/($G$2:$G$2050&lt;&gt;""),ROWS(J$1:J6))),"")</f>
        <v>OPP 16750-1 VARNADO RD</v>
      </c>
      <c r="K6">
        <f>IF(J6="","",INDEX('Assignment Tool'!E22:E2055,MATCH(FA_DATA!J6,'Assignment Tool'!D22:D2055,0)))</f>
        <v>4</v>
      </c>
    </row>
    <row r="7" spans="1:11" x14ac:dyDescent="0.25">
      <c r="A7" s="118" t="str">
        <f t="shared" si="0"/>
        <v>F 31710-1 JEWEL WATTS RD</v>
      </c>
      <c r="G7" t="str">
        <f>IF('Assignment Tool'!C7="","",IF('Assignment Tool'!C7="FST",'Assignment Tool'!D7,""))</f>
        <v/>
      </c>
      <c r="H7">
        <v>7</v>
      </c>
      <c r="I7">
        <f t="shared" si="1"/>
        <v>29</v>
      </c>
      <c r="J7" t="str">
        <f t="array" ref="J7">IFERROR(INDEX($G$2:$G$2050,_xlfn.AGGREGATE(15,6,(ROW($G$2:$G$2050)-ROW($G$2)+1)/($G$2:$G$2050&lt;&gt;""),ROWS(J$1:J7))),"")</f>
        <v>OPP 31785-1 GALLMAN DR</v>
      </c>
      <c r="K7">
        <f>IF(J7="","",INDEX('Assignment Tool'!E23:E2056,MATCH(FA_DATA!J7,'Assignment Tool'!D23:D2056,0)))</f>
        <v>8</v>
      </c>
    </row>
    <row r="8" spans="1:11" x14ac:dyDescent="0.25">
      <c r="A8" s="118" t="str">
        <f t="shared" si="0"/>
        <v>F 31710-1 JEWEL WATTS RD</v>
      </c>
      <c r="G8" t="str">
        <f>IF('Assignment Tool'!C8="","",IF('Assignment Tool'!C8="FST",'Assignment Tool'!D8,""))</f>
        <v/>
      </c>
      <c r="H8">
        <v>8</v>
      </c>
      <c r="I8">
        <f t="shared" si="1"/>
        <v>37</v>
      </c>
      <c r="J8" t="str">
        <f t="array" ref="J8">IFERROR(INDEX($G$2:$G$2050,_xlfn.AGGREGATE(15,6,(ROW($G$2:$G$2050)-ROW($G$2)+1)/($G$2:$G$2050&lt;&gt;""),ROWS(J$1:J8))),"")</f>
        <v>F 31133-1 CANE MARKET RD</v>
      </c>
      <c r="K8">
        <f>IF(J8="","",INDEX('Assignment Tool'!E24:E2057,MATCH(FA_DATA!J8,'Assignment Tool'!D24:D2057,0)))</f>
        <v>4</v>
      </c>
    </row>
    <row r="9" spans="1:11" x14ac:dyDescent="0.25">
      <c r="A9" s="118" t="str">
        <f t="shared" si="0"/>
        <v>F 31692-1 JEWEL WATTS RD</v>
      </c>
      <c r="G9" t="str">
        <f>IF('Assignment Tool'!C9="","",IF('Assignment Tool'!C9="FST",'Assignment Tool'!D9,""))</f>
        <v/>
      </c>
      <c r="H9">
        <v>9</v>
      </c>
      <c r="I9">
        <f t="shared" si="1"/>
        <v>41</v>
      </c>
      <c r="J9" t="str">
        <f t="array" ref="J9">IFERROR(INDEX($G$2:$G$2050,_xlfn.AGGREGATE(15,6,(ROW($G$2:$G$2050)-ROW($G$2)+1)/($G$2:$G$2050&lt;&gt;""),ROWS(J$1:J9))),"")</f>
        <v>F 31145-1 CANE MARKET RD</v>
      </c>
      <c r="K9">
        <f>IF(J9="","",INDEX('Assignment Tool'!E25:E2058,MATCH(FA_DATA!J9,'Assignment Tool'!D25:D2058,0)))</f>
        <v>2</v>
      </c>
    </row>
    <row r="10" spans="1:11" x14ac:dyDescent="0.25">
      <c r="A10" s="118" t="str">
        <f t="shared" si="0"/>
        <v>F 31692-1 JEWEL WATTS RD</v>
      </c>
      <c r="G10" t="str">
        <f>IF('Assignment Tool'!C10="","",IF('Assignment Tool'!C10="FST",'Assignment Tool'!D10,""))</f>
        <v/>
      </c>
      <c r="H10">
        <v>10</v>
      </c>
      <c r="I10">
        <f t="shared" si="1"/>
        <v>43</v>
      </c>
      <c r="J10" t="str">
        <f t="array" ref="J10">IFERROR(INDEX($G$2:$G$2050,_xlfn.AGGREGATE(15,6,(ROW($G$2:$G$2050)-ROW($G$2)+1)/($G$2:$G$2050&lt;&gt;""),ROWS(J$1:J10))),"")</f>
        <v>F 31153-1 CANE MARKET RD</v>
      </c>
      <c r="K10">
        <f>IF(J10="","",INDEX('Assignment Tool'!E26:E2059,MATCH(FA_DATA!J10,'Assignment Tool'!D26:D2059,0)))</f>
        <v>4</v>
      </c>
    </row>
    <row r="11" spans="1:11" x14ac:dyDescent="0.25">
      <c r="A11" s="118" t="str">
        <f t="shared" si="0"/>
        <v>F 31692-1 JEWEL WATTS RD</v>
      </c>
      <c r="G11" t="str">
        <f>IF('Assignment Tool'!C11="","",IF('Assignment Tool'!C11="FST",'Assignment Tool'!D11,""))</f>
        <v/>
      </c>
      <c r="H11">
        <v>11</v>
      </c>
      <c r="I11">
        <f t="shared" si="1"/>
        <v>47</v>
      </c>
      <c r="J11" t="str">
        <f t="array" ref="J11">IFERROR(INDEX($G$2:$G$2050,_xlfn.AGGREGATE(15,6,(ROW($G$2:$G$2050)-ROW($G$2)+1)/($G$2:$G$2050&lt;&gt;""),ROWS(J$1:J11))),"")</f>
        <v>F 31157-1 CANE MARKET RD</v>
      </c>
      <c r="K11">
        <f>IF(J11="","",INDEX('Assignment Tool'!E27:E2060,MATCH(FA_DATA!J11,'Assignment Tool'!D27:D2060,0)))</f>
        <v>2</v>
      </c>
    </row>
    <row r="12" spans="1:11" x14ac:dyDescent="0.25">
      <c r="A12" s="118" t="str">
        <f t="shared" si="0"/>
        <v>F 31692-1 JEWEL WATTS RD</v>
      </c>
      <c r="G12" t="str">
        <f>IF('Assignment Tool'!C12="","",IF('Assignment Tool'!C12="FST",'Assignment Tool'!D12,""))</f>
        <v/>
      </c>
      <c r="H12">
        <v>12</v>
      </c>
      <c r="I12">
        <f t="shared" si="1"/>
        <v>49</v>
      </c>
      <c r="J12" t="str">
        <f t="array" ref="J12">IFERROR(INDEX($G$2:$G$2050,_xlfn.AGGREGATE(15,6,(ROW($G$2:$G$2050)-ROW($G$2)+1)/($G$2:$G$2050&lt;&gt;""),ROWS(J$1:J12))),"")</f>
        <v>F 15335-1 COURTNEY RD</v>
      </c>
      <c r="K12">
        <f>IF(J12="","",INDEX('Assignment Tool'!E28:E2061,MATCH(FA_DATA!J12,'Assignment Tool'!D28:D2061,0)))</f>
        <v>8</v>
      </c>
    </row>
    <row r="13" spans="1:11" x14ac:dyDescent="0.25">
      <c r="A13" s="118" t="str">
        <f t="shared" si="0"/>
        <v>F 31720-1 JEWEL WATTS RD</v>
      </c>
      <c r="G13" t="str">
        <f>IF('Assignment Tool'!C13="","",IF('Assignment Tool'!C13="FST",'Assignment Tool'!D13,""))</f>
        <v/>
      </c>
      <c r="H13">
        <v>13</v>
      </c>
      <c r="I13">
        <f t="shared" si="1"/>
        <v>57</v>
      </c>
      <c r="J13" t="str">
        <f t="array" ref="J13">IFERROR(INDEX($G$2:$G$2050,_xlfn.AGGREGATE(15,6,(ROW($G$2:$G$2050)-ROW($G$2)+1)/($G$2:$G$2050&lt;&gt;""),ROWS(J$1:J13))),"")</f>
        <v>F 15315-1 COURTNEY RD</v>
      </c>
      <c r="K13">
        <f>IF(J13="","",INDEX('Assignment Tool'!E29:E2062,MATCH(FA_DATA!J13,'Assignment Tool'!D29:D2062,0)))</f>
        <v>4</v>
      </c>
    </row>
    <row r="14" spans="1:11" x14ac:dyDescent="0.25">
      <c r="A14" s="118" t="str">
        <f t="shared" si="0"/>
        <v>F 31720-1 JEWEL WATTS RD</v>
      </c>
      <c r="G14" t="str">
        <f>IF('Assignment Tool'!C14="","",IF('Assignment Tool'!C14="FST",'Assignment Tool'!D14,""))</f>
        <v/>
      </c>
      <c r="H14">
        <v>14</v>
      </c>
      <c r="I14">
        <f t="shared" si="1"/>
        <v>61</v>
      </c>
      <c r="J14" t="str">
        <f t="array" ref="J14">IFERROR(INDEX($G$2:$G$2050,_xlfn.AGGREGATE(15,6,(ROW($G$2:$G$2050)-ROW($G$2)+1)/($G$2:$G$2050&lt;&gt;""),ROWS(J$1:J14))),"")</f>
        <v>F 31915-1 BEASLEY RD</v>
      </c>
      <c r="K14">
        <f>IF(J14="","",INDEX('Assignment Tool'!E30:E2063,MATCH(FA_DATA!J14,'Assignment Tool'!D30:D2063,0)))</f>
        <v>8</v>
      </c>
    </row>
    <row r="15" spans="1:11" x14ac:dyDescent="0.25">
      <c r="A15" s="118" t="str">
        <f t="shared" si="0"/>
        <v>F 31720-1 JEWEL WATTS RD</v>
      </c>
      <c r="G15" t="str">
        <f>IF('Assignment Tool'!C15="","",IF('Assignment Tool'!C15="FST",'Assignment Tool'!D15,""))</f>
        <v/>
      </c>
      <c r="H15">
        <v>15</v>
      </c>
      <c r="I15">
        <f t="shared" si="1"/>
        <v>69</v>
      </c>
      <c r="J15" t="str">
        <f t="array" ref="J15">IFERROR(INDEX($G$2:$G$2050,_xlfn.AGGREGATE(15,6,(ROW($G$2:$G$2050)-ROW($G$2)+1)/($G$2:$G$2050&lt;&gt;""),ROWS(J$1:J15))),"")</f>
        <v>F 31939-1 BEASLEY RD</v>
      </c>
      <c r="K15">
        <f>IF(J15="","",INDEX('Assignment Tool'!E31:E2064,MATCH(FA_DATA!J15,'Assignment Tool'!D31:D2064,0)))</f>
        <v>4</v>
      </c>
    </row>
    <row r="16" spans="1:11" x14ac:dyDescent="0.25">
      <c r="A16" s="118" t="str">
        <f t="shared" si="0"/>
        <v>F 31720-1 JEWEL WATTS RD</v>
      </c>
      <c r="G16" t="str">
        <f>IF('Assignment Tool'!C16="","",IF('Assignment Tool'!C16="FST",'Assignment Tool'!D16,""))</f>
        <v/>
      </c>
      <c r="H16">
        <v>16</v>
      </c>
      <c r="I16">
        <f t="shared" si="1"/>
        <v>73</v>
      </c>
      <c r="J16" t="str">
        <f t="array" ref="J16">IFERROR(INDEX($G$2:$G$2050,_xlfn.AGGREGATE(15,6,(ROW($G$2:$G$2050)-ROW($G$2)+1)/($G$2:$G$2050&lt;&gt;""),ROWS(J$1:J16))),"")</f>
        <v>F 31991-1 BEASLEY RD</v>
      </c>
      <c r="K16">
        <f>IF(J16="","",INDEX('Assignment Tool'!E32:E2065,MATCH(FA_DATA!J16,'Assignment Tool'!D32:D2065,0)))</f>
        <v>4</v>
      </c>
    </row>
    <row r="17" spans="1:11" x14ac:dyDescent="0.25">
      <c r="A17" s="118" t="str">
        <f t="shared" si="0"/>
        <v>F 31650-1 JEWEL WATTS RD</v>
      </c>
      <c r="G17" t="str">
        <f>IF('Assignment Tool'!C17="","",IF('Assignment Tool'!C17="FST",'Assignment Tool'!D17,""))</f>
        <v>F 16870-1 VARNADO RD</v>
      </c>
      <c r="H17">
        <v>17</v>
      </c>
      <c r="I17">
        <f t="shared" si="1"/>
        <v>77</v>
      </c>
      <c r="J17" t="str">
        <f t="array" ref="J17">IFERROR(INDEX($G$2:$G$2050,_xlfn.AGGREGATE(15,6,(ROW($G$2:$G$2050)-ROW($G$2)+1)/($G$2:$G$2050&lt;&gt;""),ROWS(J$1:J17))),"")</f>
        <v>F 32013-1 BEASLEY RD</v>
      </c>
      <c r="K17">
        <f>IF(J17="","",INDEX('Assignment Tool'!E33:E2066,MATCH(FA_DATA!J17,'Assignment Tool'!D33:D2066,0)))</f>
        <v>8</v>
      </c>
    </row>
    <row r="18" spans="1:11" x14ac:dyDescent="0.25">
      <c r="A18" s="118" t="str">
        <f t="shared" si="0"/>
        <v>F 31650-1 JEWEL WATTS RD</v>
      </c>
      <c r="G18" t="str">
        <f>IF('Assignment Tool'!C18="","",IF('Assignment Tool'!C18="FST",'Assignment Tool'!D18,""))</f>
        <v>F 31710-1 JEWEL WATTS RD</v>
      </c>
      <c r="H18">
        <v>18</v>
      </c>
      <c r="I18">
        <f t="shared" si="1"/>
        <v>85</v>
      </c>
      <c r="J18" t="str">
        <f t="array" ref="J18">IFERROR(INDEX($G$2:$G$2050,_xlfn.AGGREGATE(15,6,(ROW($G$2:$G$2050)-ROW($G$2)+1)/($G$2:$G$2050&lt;&gt;""),ROWS(J$1:J18))),"")</f>
        <v>F 16650-1 VARNADO RD</v>
      </c>
      <c r="K18">
        <f>IF(J18="","",INDEX('Assignment Tool'!E34:E2067,MATCH(FA_DATA!J18,'Assignment Tool'!D34:D2067,0)))</f>
        <v>4</v>
      </c>
    </row>
    <row r="19" spans="1:11" x14ac:dyDescent="0.25">
      <c r="A19" s="118" t="str">
        <f t="shared" si="0"/>
        <v>F 31650-1 JEWEL WATTS RD</v>
      </c>
      <c r="G19" t="str">
        <f>IF('Assignment Tool'!C19="","",IF('Assignment Tool'!C19="FST",'Assignment Tool'!D19,""))</f>
        <v>F 31692-1 JEWEL WATTS RD</v>
      </c>
      <c r="H19">
        <v>19</v>
      </c>
      <c r="I19">
        <f t="shared" si="1"/>
        <v>89</v>
      </c>
      <c r="J19" t="str">
        <f t="array" ref="J19">IFERROR(INDEX($G$2:$G$2050,_xlfn.AGGREGATE(15,6,(ROW($G$2:$G$2050)-ROW($G$2)+1)/($G$2:$G$2050&lt;&gt;""),ROWS(J$1:J19))),"")</f>
        <v>F 16550-1 VARNADO RD</v>
      </c>
      <c r="K19">
        <f>IF(J19="","",INDEX('Assignment Tool'!E35:E2068,MATCH(FA_DATA!J19,'Assignment Tool'!D35:D2068,0)))</f>
        <v>8</v>
      </c>
    </row>
    <row r="20" spans="1:11" x14ac:dyDescent="0.25">
      <c r="A20" s="118" t="str">
        <f t="shared" si="0"/>
        <v>F 31650-1 JEWEL WATTS RD</v>
      </c>
      <c r="G20" t="str">
        <f>IF('Assignment Tool'!C20="","",IF('Assignment Tool'!C20="FST",'Assignment Tool'!D20,""))</f>
        <v>F 31720-1 JEWEL WATTS RD</v>
      </c>
      <c r="H20">
        <v>20</v>
      </c>
      <c r="I20">
        <f t="shared" si="1"/>
        <v>97</v>
      </c>
      <c r="J20" t="str">
        <f t="array" ref="J20">IFERROR(INDEX($G$2:$G$2050,_xlfn.AGGREGATE(15,6,(ROW($G$2:$G$2050)-ROW($G$2)+1)/($G$2:$G$2050&lt;&gt;""),ROWS(J$1:J20))),"")</f>
        <v>F 31319-1 CANE MARKET RD</v>
      </c>
      <c r="K20">
        <f>IF(J20="","",INDEX('Assignment Tool'!E36:E2069,MATCH(FA_DATA!J20,'Assignment Tool'!D36:D2069,0)))</f>
        <v>8</v>
      </c>
    </row>
    <row r="21" spans="1:11" x14ac:dyDescent="0.25">
      <c r="A21" s="118" t="str">
        <f t="shared" si="0"/>
        <v>F 31650-1 JEWEL WATTS RD</v>
      </c>
      <c r="G21" t="str">
        <f>IF('Assignment Tool'!C21="","",IF('Assignment Tool'!C21="FST",'Assignment Tool'!D21,""))</f>
        <v>F 31650-1 JEWEL WATTS RD</v>
      </c>
      <c r="H21">
        <v>21</v>
      </c>
      <c r="I21">
        <f t="shared" si="1"/>
        <v>105</v>
      </c>
      <c r="J21" t="str">
        <f t="array" ref="J21">IFERROR(INDEX($G$2:$G$2050,_xlfn.AGGREGATE(15,6,(ROW($G$2:$G$2050)-ROW($G$2)+1)/($G$2:$G$2050&lt;&gt;""),ROWS(J$1:J21))),"")</f>
        <v>F 31295-1 CANE MARKET RD</v>
      </c>
      <c r="K21">
        <f>IF(J21="","",INDEX('Assignment Tool'!E37:E2070,MATCH(FA_DATA!J21,'Assignment Tool'!D37:D2070,0)))</f>
        <v>2</v>
      </c>
    </row>
    <row r="22" spans="1:11" x14ac:dyDescent="0.25">
      <c r="A22" s="118" t="str">
        <f t="shared" si="0"/>
        <v>F 31650-1 JEWEL WATTS RD</v>
      </c>
      <c r="G22" t="str">
        <f>IF('Assignment Tool'!C22="","",IF('Assignment Tool'!C22="FST",'Assignment Tool'!D22,""))</f>
        <v/>
      </c>
      <c r="H22">
        <v>22</v>
      </c>
      <c r="I22">
        <f t="shared" si="1"/>
        <v>107</v>
      </c>
      <c r="J22" t="str">
        <f t="array" ref="J22">IFERROR(INDEX($G$2:$G$2050,_xlfn.AGGREGATE(15,6,(ROW($G$2:$G$2050)-ROW($G$2)+1)/($G$2:$G$2050&lt;&gt;""),ROWS(J$1:J22))),"")</f>
        <v>F 31413-1 CANE MARKET RD</v>
      </c>
      <c r="K22">
        <f>IF(J22="","",INDEX('Assignment Tool'!E38:E2071,MATCH(FA_DATA!J22,'Assignment Tool'!D38:D2071,0)))</f>
        <v>2</v>
      </c>
    </row>
    <row r="23" spans="1:11" x14ac:dyDescent="0.25">
      <c r="A23" s="118" t="str">
        <f t="shared" si="0"/>
        <v>F 31650-1 JEWEL WATTS RD</v>
      </c>
      <c r="G23" t="str">
        <f>IF('Assignment Tool'!C23="","",IF('Assignment Tool'!C23="FST",'Assignment Tool'!D23,""))</f>
        <v/>
      </c>
      <c r="H23">
        <v>23</v>
      </c>
      <c r="I23">
        <f t="shared" si="1"/>
        <v>109</v>
      </c>
      <c r="J23" t="str">
        <f t="array" ref="J23">IFERROR(INDEX($G$2:$G$2050,_xlfn.AGGREGATE(15,6,(ROW($G$2:$G$2050)-ROW($G$2)+1)/($G$2:$G$2050&lt;&gt;""),ROWS(J$1:J23))),"")</f>
        <v>F 16325-1 VARNADO RD</v>
      </c>
      <c r="K23">
        <f>IF(J23="","",INDEX('Assignment Tool'!E39:E2072,MATCH(FA_DATA!J23,'Assignment Tool'!D39:D2072,0)))</f>
        <v>4</v>
      </c>
    </row>
    <row r="24" spans="1:11" x14ac:dyDescent="0.25">
      <c r="A24" s="118" t="str">
        <f t="shared" si="0"/>
        <v>F 31650-1 JEWEL WATTS RD</v>
      </c>
      <c r="G24" t="str">
        <f>IF('Assignment Tool'!C24="","",IF('Assignment Tool'!C24="FST",'Assignment Tool'!D24,""))</f>
        <v/>
      </c>
      <c r="H24">
        <v>24</v>
      </c>
      <c r="I24">
        <f t="shared" si="1"/>
        <v>113</v>
      </c>
      <c r="J24" t="str">
        <f t="array" ref="J24">IFERROR(INDEX($G$2:$G$2050,_xlfn.AGGREGATE(15,6,(ROW($G$2:$G$2050)-ROW($G$2)+1)/($G$2:$G$2050&lt;&gt;""),ROWS(J$1:J24))),"")</f>
        <v>F 16000-1 VARNADO RD</v>
      </c>
      <c r="K24">
        <f>IF(J24="","",INDEX('Assignment Tool'!E40:E2073,MATCH(FA_DATA!J24,'Assignment Tool'!D40:D2073,0)))</f>
        <v>4</v>
      </c>
    </row>
    <row r="25" spans="1:11" x14ac:dyDescent="0.25">
      <c r="A25" s="118" t="str">
        <f t="shared" si="0"/>
        <v>OPP 16750-1 VARNADO RD</v>
      </c>
      <c r="G25" t="str">
        <f>IF('Assignment Tool'!C25="","",IF('Assignment Tool'!C25="FST",'Assignment Tool'!D25,""))</f>
        <v/>
      </c>
      <c r="H25">
        <v>25</v>
      </c>
      <c r="I25">
        <f t="shared" si="1"/>
        <v>117</v>
      </c>
      <c r="J25" t="str">
        <f t="array" ref="J25">IFERROR(INDEX($G$2:$G$2050,_xlfn.AGGREGATE(15,6,(ROW($G$2:$G$2050)-ROW($G$2)+1)/($G$2:$G$2050&lt;&gt;""),ROWS(J$1:J25))),"")</f>
        <v>F 15739-1 VARNADO RD</v>
      </c>
      <c r="K25">
        <f>IF(J25="","",INDEX('Assignment Tool'!E41:E2074,MATCH(FA_DATA!J25,'Assignment Tool'!D41:D2074,0)))</f>
        <v>4</v>
      </c>
    </row>
    <row r="26" spans="1:11" x14ac:dyDescent="0.25">
      <c r="A26" s="118" t="str">
        <f t="shared" si="0"/>
        <v>OPP 16750-1 VARNADO RD</v>
      </c>
      <c r="G26" t="str">
        <f>IF('Assignment Tool'!C26="","",IF('Assignment Tool'!C26="FST",'Assignment Tool'!D26,""))</f>
        <v/>
      </c>
      <c r="H26">
        <v>26</v>
      </c>
      <c r="I26">
        <f t="shared" si="1"/>
        <v>121</v>
      </c>
      <c r="J26" t="str">
        <f t="array" ref="J26">IFERROR(INDEX($G$2:$G$2050,_xlfn.AGGREGATE(15,6,(ROW($G$2:$G$2050)-ROW($G$2)+1)/($G$2:$G$2050&lt;&gt;""),ROWS(J$1:J26))),"")</f>
        <v>OPP 32481-1 MANGUM CHAPEL RD</v>
      </c>
      <c r="K26">
        <f>IF(J26="","",INDEX('Assignment Tool'!E42:E2075,MATCH(FA_DATA!J26,'Assignment Tool'!D42:D2075,0)))</f>
        <v>4</v>
      </c>
    </row>
    <row r="27" spans="1:11" x14ac:dyDescent="0.25">
      <c r="A27" s="118" t="str">
        <f t="shared" si="0"/>
        <v>OPP 16750-1 VARNADO RD</v>
      </c>
      <c r="G27" t="str">
        <f>IF('Assignment Tool'!C27="","",IF('Assignment Tool'!C27="FST",'Assignment Tool'!D27,""))</f>
        <v/>
      </c>
      <c r="H27">
        <v>27</v>
      </c>
      <c r="I27">
        <f t="shared" si="1"/>
        <v>125</v>
      </c>
      <c r="J27" t="str">
        <f t="array" ref="J27">IFERROR(INDEX($G$2:$G$2050,_xlfn.AGGREGATE(15,6,(ROW($G$2:$G$2050)-ROW($G$2)+1)/($G$2:$G$2050&lt;&gt;""),ROWS(J$1:J27))),"")</f>
        <v>OPP 32525-1 MANGUM CHAPEL RD</v>
      </c>
      <c r="K27">
        <f>IF(J27="","",INDEX('Assignment Tool'!E43:E2076,MATCH(FA_DATA!J27,'Assignment Tool'!D43:D2076,0)))</f>
        <v>4</v>
      </c>
    </row>
    <row r="28" spans="1:11" x14ac:dyDescent="0.25">
      <c r="A28" s="118" t="str">
        <f t="shared" si="0"/>
        <v>OPP 16750-1 VARNADO RD</v>
      </c>
      <c r="G28" t="str">
        <f>IF('Assignment Tool'!C28="","",IF('Assignment Tool'!C28="FST",'Assignment Tool'!D28,""))</f>
        <v/>
      </c>
      <c r="H28">
        <v>28</v>
      </c>
      <c r="I28">
        <f t="shared" si="1"/>
        <v>129</v>
      </c>
      <c r="J28" t="str">
        <f t="array" ref="J28">IFERROR(INDEX($G$2:$G$2050,_xlfn.AGGREGATE(15,6,(ROW($G$2:$G$2050)-ROW($G$2)+1)/($G$2:$G$2050&lt;&gt;""),ROWS(J$1:J28))),"")</f>
        <v>OPP 32561-1 MANGUM CHAPEL RD</v>
      </c>
      <c r="K28">
        <f>IF(J28="","",INDEX('Assignment Tool'!E44:E2077,MATCH(FA_DATA!J28,'Assignment Tool'!D44:D2077,0)))</f>
        <v>8</v>
      </c>
    </row>
    <row r="29" spans="1:11" x14ac:dyDescent="0.25">
      <c r="A29" s="118" t="str">
        <f t="shared" si="0"/>
        <v>OPP 31785-1 GALLMAN DR</v>
      </c>
      <c r="G29" t="str">
        <f>IF('Assignment Tool'!C29="","",IF('Assignment Tool'!C29="FST",'Assignment Tool'!D29,""))</f>
        <v/>
      </c>
      <c r="H29">
        <v>29</v>
      </c>
      <c r="I29">
        <f t="shared" si="1"/>
        <v>137</v>
      </c>
      <c r="J29" t="str">
        <f t="array" ref="J29">IFERROR(INDEX($G$2:$G$2050,_xlfn.AGGREGATE(15,6,(ROW($G$2:$G$2050)-ROW($G$2)+1)/($G$2:$G$2050&lt;&gt;""),ROWS(J$1:J29))),"")</f>
        <v>OPP 32627-1 MANGUM CHAPEL RD</v>
      </c>
      <c r="K29">
        <f>IF(J29="","",INDEX('Assignment Tool'!E45:E2078,MATCH(FA_DATA!J29,'Assignment Tool'!D45:D2078,0)))</f>
        <v>8</v>
      </c>
    </row>
    <row r="30" spans="1:11" x14ac:dyDescent="0.25">
      <c r="A30" s="118" t="str">
        <f t="shared" si="0"/>
        <v>OPP 31785-1 GALLMAN DR</v>
      </c>
      <c r="G30" t="str">
        <f>IF('Assignment Tool'!C30="","",IF('Assignment Tool'!C30="FST",'Assignment Tool'!D30,""))</f>
        <v/>
      </c>
      <c r="H30">
        <v>30</v>
      </c>
      <c r="I30">
        <f t="shared" si="1"/>
        <v>145</v>
      </c>
      <c r="J30" t="str">
        <f t="array" ref="J30">IFERROR(INDEX($G$2:$G$2050,_xlfn.AGGREGATE(15,6,(ROW($G$2:$G$2050)-ROW($G$2)+1)/($G$2:$G$2050&lt;&gt;""),ROWS(J$1:J30))),"")</f>
        <v>F 31390-1 CANE MARKET RD</v>
      </c>
      <c r="K30">
        <f>IF(J30="","",INDEX('Assignment Tool'!E46:E2079,MATCH(FA_DATA!J30,'Assignment Tool'!D46:D2079,0)))</f>
        <v>4</v>
      </c>
    </row>
    <row r="31" spans="1:11" x14ac:dyDescent="0.25">
      <c r="A31" s="118" t="str">
        <f t="shared" si="0"/>
        <v>OPP 31785-1 GALLMAN DR</v>
      </c>
      <c r="G31" t="str">
        <f>IF('Assignment Tool'!C31="","",IF('Assignment Tool'!C31="FST",'Assignment Tool'!D31,""))</f>
        <v/>
      </c>
      <c r="H31">
        <v>31</v>
      </c>
      <c r="I31">
        <f t="shared" si="1"/>
        <v>149</v>
      </c>
      <c r="J31" t="str">
        <f t="array" ref="J31">IFERROR(INDEX($G$2:$G$2050,_xlfn.AGGREGATE(15,6,(ROW($G$2:$G$2050)-ROW($G$2)+1)/($G$2:$G$2050&lt;&gt;""),ROWS(J$1:J31))),"")</f>
        <v>OPP 31393-1 CANE MARKET RD</v>
      </c>
      <c r="K31">
        <f>IF(J31="","",INDEX('Assignment Tool'!E47:E2080,MATCH(FA_DATA!J31,'Assignment Tool'!D47:D2080,0)))</f>
        <v>12</v>
      </c>
    </row>
    <row r="32" spans="1:11" x14ac:dyDescent="0.25">
      <c r="A32" s="118" t="str">
        <f t="shared" si="0"/>
        <v>OPP 31785-1 GALLMAN DR</v>
      </c>
      <c r="G32" t="str">
        <f>IF('Assignment Tool'!C32="","",IF('Assignment Tool'!C32="FST",'Assignment Tool'!D32,""))</f>
        <v/>
      </c>
      <c r="H32">
        <v>32</v>
      </c>
      <c r="I32">
        <f t="shared" si="1"/>
        <v>161</v>
      </c>
      <c r="J32" t="str">
        <f t="array" ref="J32">IFERROR(INDEX($G$2:$G$2050,_xlfn.AGGREGATE(15,6,(ROW($G$2:$G$2050)-ROW($G$2)+1)/($G$2:$G$2050&lt;&gt;""),ROWS(J$1:J32))),"")</f>
        <v>F 31412-1 CANE MARKET RD</v>
      </c>
      <c r="K32">
        <f>IF(J32="","",INDEX('Assignment Tool'!E48:E2081,MATCH(FA_DATA!J32,'Assignment Tool'!D48:D2081,0)))</f>
        <v>4</v>
      </c>
    </row>
    <row r="33" spans="1:11" x14ac:dyDescent="0.25">
      <c r="A33" s="118" t="str">
        <f t="shared" si="0"/>
        <v>OPP 31785-1 GALLMAN DR</v>
      </c>
      <c r="G33" t="str">
        <f>IF('Assignment Tool'!C33="","",IF('Assignment Tool'!C33="FST",'Assignment Tool'!D33,""))</f>
        <v/>
      </c>
      <c r="H33">
        <v>33</v>
      </c>
      <c r="I33">
        <f t="shared" si="1"/>
        <v>165</v>
      </c>
      <c r="J33" t="str">
        <f t="array" ref="J33">IFERROR(INDEX($G$2:$G$2050,_xlfn.AGGREGATE(15,6,(ROW($G$2:$G$2050)-ROW($G$2)+1)/($G$2:$G$2050&lt;&gt;""),ROWS(J$1:J33))),"")</f>
        <v>F 31430-1 CANE MARKET RD</v>
      </c>
      <c r="K33">
        <f>IF(J33="","",INDEX('Assignment Tool'!E49:E2082,MATCH(FA_DATA!J33,'Assignment Tool'!D49:D2082,0)))</f>
        <v>4</v>
      </c>
    </row>
    <row r="34" spans="1:11" x14ac:dyDescent="0.25">
      <c r="A34" s="118" t="str">
        <f t="shared" si="0"/>
        <v>OPP 31785-1 GALLMAN DR</v>
      </c>
      <c r="G34" t="str">
        <f>IF('Assignment Tool'!C34="","",IF('Assignment Tool'!C34="FST",'Assignment Tool'!D34,""))</f>
        <v/>
      </c>
      <c r="H34">
        <v>34</v>
      </c>
      <c r="I34">
        <f t="shared" si="1"/>
        <v>169</v>
      </c>
      <c r="J34" t="str">
        <f t="array" ref="J34">IFERROR(INDEX($G$2:$G$2050,_xlfn.AGGREGATE(15,6,(ROW($G$2:$G$2050)-ROW($G$2)+1)/($G$2:$G$2050&lt;&gt;""),ROWS(J$1:J34))),"")</f>
        <v>OPP 31495-1 CANE MARKET RD</v>
      </c>
      <c r="K34">
        <f>IF(J34="","",INDEX('Assignment Tool'!E50:E2083,MATCH(FA_DATA!J34,'Assignment Tool'!D50:D2083,0)))</f>
        <v>4</v>
      </c>
    </row>
    <row r="35" spans="1:11" x14ac:dyDescent="0.25">
      <c r="A35" s="118" t="str">
        <f t="shared" si="0"/>
        <v>OPP 31785-1 GALLMAN DR</v>
      </c>
      <c r="G35" t="str">
        <f>IF('Assignment Tool'!C35="","",IF('Assignment Tool'!C35="FST",'Assignment Tool'!D35,""))</f>
        <v/>
      </c>
      <c r="H35">
        <v>35</v>
      </c>
      <c r="I35">
        <f t="shared" si="1"/>
        <v>173</v>
      </c>
      <c r="J35" t="str">
        <f t="array" ref="J35">IFERROR(INDEX($G$2:$G$2050,_xlfn.AGGREGATE(15,6,(ROW($G$2:$G$2050)-ROW($G$2)+1)/($G$2:$G$2050&lt;&gt;""),ROWS(J$1:J35))),"")</f>
        <v>F 31530-1 CANE MARKET RD</v>
      </c>
      <c r="K35">
        <f>IF(J35="","",INDEX('Assignment Tool'!E51:E2084,MATCH(FA_DATA!J35,'Assignment Tool'!D51:D2084,0)))</f>
        <v>4</v>
      </c>
    </row>
    <row r="36" spans="1:11" x14ac:dyDescent="0.25">
      <c r="A36" s="118" t="str">
        <f t="shared" si="0"/>
        <v>OPP 31785-1 GALLMAN DR</v>
      </c>
      <c r="G36" t="str">
        <f>IF('Assignment Tool'!C36="","",IF('Assignment Tool'!C36="FST",'Assignment Tool'!D36,""))</f>
        <v/>
      </c>
      <c r="H36">
        <v>36</v>
      </c>
      <c r="I36">
        <f t="shared" si="1"/>
        <v>177</v>
      </c>
      <c r="J36" t="str">
        <f t="array" ref="J36">IFERROR(INDEX($G$2:$G$2050,_xlfn.AGGREGATE(15,6,(ROW($G$2:$G$2050)-ROW($G$2)+1)/($G$2:$G$2050&lt;&gt;""),ROWS(J$1:J36))),"")</f>
        <v>OPP 31553-1 CANE MARKET RD</v>
      </c>
      <c r="K36">
        <f>IF(J36="","",INDEX('Assignment Tool'!E52:E2085,MATCH(FA_DATA!J36,'Assignment Tool'!D52:D2085,0)))</f>
        <v>4</v>
      </c>
    </row>
    <row r="37" spans="1:11" x14ac:dyDescent="0.25">
      <c r="A37" s="118" t="str">
        <f t="shared" si="0"/>
        <v>F 31133-1 CANE MARKET RD</v>
      </c>
      <c r="G37" t="str">
        <f>IF('Assignment Tool'!C37="","",IF('Assignment Tool'!C37="FST",'Assignment Tool'!D37,""))</f>
        <v/>
      </c>
      <c r="H37">
        <v>37</v>
      </c>
      <c r="I37">
        <f t="shared" si="1"/>
        <v>181</v>
      </c>
      <c r="J37" t="str">
        <f t="array" ref="J37">IFERROR(INDEX($G$2:$G$2050,_xlfn.AGGREGATE(15,6,(ROW($G$2:$G$2050)-ROW($G$2)+1)/($G$2:$G$2050&lt;&gt;""),ROWS(J$1:J37))),"")</f>
        <v>F 15850-1 VARNADO RD</v>
      </c>
      <c r="K37">
        <f>IF(J37="","",INDEX('Assignment Tool'!E53:E2086,MATCH(FA_DATA!J37,'Assignment Tool'!D53:D2086,0)))</f>
        <v>4</v>
      </c>
    </row>
    <row r="38" spans="1:11" x14ac:dyDescent="0.25">
      <c r="A38" s="118" t="str">
        <f t="shared" si="0"/>
        <v>F 31133-1 CANE MARKET RD</v>
      </c>
      <c r="G38" t="str">
        <f>IF('Assignment Tool'!C38="","",IF('Assignment Tool'!C38="FST",'Assignment Tool'!D38,""))</f>
        <v/>
      </c>
      <c r="H38">
        <v>38</v>
      </c>
      <c r="I38">
        <f t="shared" si="1"/>
        <v>185</v>
      </c>
      <c r="J38" t="str">
        <f t="array" ref="J38">IFERROR(INDEX($G$2:$G$2050,_xlfn.AGGREGATE(15,6,(ROW($G$2:$G$2050)-ROW($G$2)+1)/($G$2:$G$2050&lt;&gt;""),ROWS(J$1:J38))),"")</f>
        <v>F 15810-1 VARNADO RD</v>
      </c>
      <c r="K38">
        <f>IF(J38="","",INDEX('Assignment Tool'!E54:E2087,MATCH(FA_DATA!J38,'Assignment Tool'!D54:D2087,0)))</f>
        <v>8</v>
      </c>
    </row>
    <row r="39" spans="1:11" x14ac:dyDescent="0.25">
      <c r="A39" s="118" t="str">
        <f t="shared" si="0"/>
        <v>F 31133-1 CANE MARKET RD</v>
      </c>
      <c r="G39" t="str">
        <f>IF('Assignment Tool'!C39="","",IF('Assignment Tool'!C39="FST",'Assignment Tool'!D39,""))</f>
        <v/>
      </c>
      <c r="H39">
        <v>39</v>
      </c>
      <c r="I39">
        <f t="shared" si="1"/>
        <v>193</v>
      </c>
      <c r="J39" t="str">
        <f t="array" ref="J39">IFERROR(INDEX($G$2:$G$2050,_xlfn.AGGREGATE(15,6,(ROW($G$2:$G$2050)-ROW($G$2)+1)/($G$2:$G$2050&lt;&gt;""),ROWS(J$1:J39))),"")</f>
        <v>F 15700-1 VARNADO RD</v>
      </c>
      <c r="K39">
        <f>IF(J39="","",INDEX('Assignment Tool'!E55:E2088,MATCH(FA_DATA!J39,'Assignment Tool'!D55:D2088,0)))</f>
        <v>4</v>
      </c>
    </row>
    <row r="40" spans="1:11" x14ac:dyDescent="0.25">
      <c r="A40" s="118" t="str">
        <f t="shared" si="0"/>
        <v>F 31133-1 CANE MARKET RD</v>
      </c>
      <c r="G40" t="str">
        <f>IF('Assignment Tool'!C40="","",IF('Assignment Tool'!C40="FST",'Assignment Tool'!D40,""))</f>
        <v/>
      </c>
      <c r="H40">
        <v>40</v>
      </c>
      <c r="I40">
        <f t="shared" si="1"/>
        <v>197</v>
      </c>
      <c r="J40" t="str">
        <f t="array" ref="J40">IFERROR(INDEX($G$2:$G$2050,_xlfn.AGGREGATE(15,6,(ROW($G$2:$G$2050)-ROW($G$2)+1)/($G$2:$G$2050&lt;&gt;""),ROWS(J$1:J40))),"")</f>
        <v>F 15670-1 VARNADO RD</v>
      </c>
      <c r="K40">
        <f>IF(J40="","",INDEX('Assignment Tool'!E56:E2089,MATCH(FA_DATA!J40,'Assignment Tool'!D56:D2089,0)))</f>
        <v>4</v>
      </c>
    </row>
    <row r="41" spans="1:11" x14ac:dyDescent="0.25">
      <c r="A41" s="118" t="str">
        <f t="shared" si="0"/>
        <v>F 31145-1 CANE MARKET RD</v>
      </c>
      <c r="G41" t="str">
        <f>IF('Assignment Tool'!C41="","",IF('Assignment Tool'!C41="FST",'Assignment Tool'!D41,""))</f>
        <v/>
      </c>
      <c r="H41">
        <v>41</v>
      </c>
      <c r="I41">
        <f t="shared" si="1"/>
        <v>201</v>
      </c>
      <c r="J41" t="str">
        <f t="array" ref="J41">IFERROR(INDEX($G$2:$G$2050,_xlfn.AGGREGATE(15,6,(ROW($G$2:$G$2050)-ROW($G$2)+1)/($G$2:$G$2050&lt;&gt;""),ROWS(J$1:J41))),"")</f>
        <v>F 15550-1 VARNADO RD</v>
      </c>
      <c r="K41">
        <f>IF(J41="","",INDEX('Assignment Tool'!E57:E2090,MATCH(FA_DATA!J41,'Assignment Tool'!D57:D2090,0)))</f>
        <v>8</v>
      </c>
    </row>
    <row r="42" spans="1:11" x14ac:dyDescent="0.25">
      <c r="A42" s="118" t="str">
        <f t="shared" si="0"/>
        <v>F 31145-1 CANE MARKET RD</v>
      </c>
      <c r="G42" t="str">
        <f>IF('Assignment Tool'!C42="","",IF('Assignment Tool'!C42="FST",'Assignment Tool'!D42,""))</f>
        <v/>
      </c>
      <c r="H42">
        <v>42</v>
      </c>
      <c r="I42">
        <f t="shared" si="1"/>
        <v>209</v>
      </c>
      <c r="J42" t="str">
        <f t="array" ref="J42">IFERROR(INDEX($G$2:$G$2050,_xlfn.AGGREGATE(15,6,(ROW($G$2:$G$2050)-ROW($G$2)+1)/($G$2:$G$2050&lt;&gt;""),ROWS(J$1:J42))),"")</f>
        <v>OPP 15510-1 VARNADO RD</v>
      </c>
      <c r="K42">
        <f>IF(J42="","",INDEX('Assignment Tool'!E58:E2091,MATCH(FA_DATA!J42,'Assignment Tool'!D58:D2091,0)))</f>
        <v>8</v>
      </c>
    </row>
    <row r="43" spans="1:11" x14ac:dyDescent="0.25">
      <c r="A43" s="118" t="str">
        <f t="shared" si="0"/>
        <v>F 31153-1 CANE MARKET RD</v>
      </c>
      <c r="G43" t="str">
        <f>IF('Assignment Tool'!C43="","",IF('Assignment Tool'!C43="FST",'Assignment Tool'!D43,""))</f>
        <v/>
      </c>
      <c r="H43">
        <v>43</v>
      </c>
      <c r="I43">
        <f t="shared" si="1"/>
        <v>217</v>
      </c>
      <c r="J43" t="str">
        <f t="array" ref="J43">IFERROR(INDEX($G$2:$G$2050,_xlfn.AGGREGATE(15,6,(ROW($G$2:$G$2050)-ROW($G$2)+1)/($G$2:$G$2050&lt;&gt;""),ROWS(J$1:J43))),"")</f>
        <v>OPP 32700-1 BILL WILLIAMS RD</v>
      </c>
      <c r="K43">
        <f>IF(J43="","",INDEX('Assignment Tool'!E59:E2092,MATCH(FA_DATA!J43,'Assignment Tool'!D59:D2092,0)))</f>
        <v>4</v>
      </c>
    </row>
    <row r="44" spans="1:11" x14ac:dyDescent="0.25">
      <c r="A44" s="118" t="str">
        <f t="shared" si="0"/>
        <v>F 31153-1 CANE MARKET RD</v>
      </c>
      <c r="G44" t="str">
        <f>IF('Assignment Tool'!C44="","",IF('Assignment Tool'!C44="FST",'Assignment Tool'!D44,""))</f>
        <v/>
      </c>
      <c r="H44">
        <v>44</v>
      </c>
      <c r="I44">
        <f t="shared" si="1"/>
        <v>221</v>
      </c>
      <c r="J44" t="str">
        <f t="array" ref="J44">IFERROR(INDEX($G$2:$G$2050,_xlfn.AGGREGATE(15,6,(ROW($G$2:$G$2050)-ROW($G$2)+1)/($G$2:$G$2050&lt;&gt;""),ROWS(J$1:J44))),"")</f>
        <v>F 32730-1 BILL WILLIAMS RD</v>
      </c>
      <c r="K44">
        <f>IF(J44="","",INDEX('Assignment Tool'!E60:E2093,MATCH(FA_DATA!J44,'Assignment Tool'!D60:D2093,0)))</f>
        <v>8</v>
      </c>
    </row>
    <row r="45" spans="1:11" x14ac:dyDescent="0.25">
      <c r="A45" s="118" t="str">
        <f t="shared" si="0"/>
        <v>F 31153-1 CANE MARKET RD</v>
      </c>
      <c r="G45" t="str">
        <f>IF('Assignment Tool'!C45="","",IF('Assignment Tool'!C45="FST",'Assignment Tool'!D45,""))</f>
        <v/>
      </c>
      <c r="H45">
        <v>45</v>
      </c>
      <c r="I45">
        <f t="shared" si="1"/>
        <v>229</v>
      </c>
      <c r="J45" t="str">
        <f t="array" ref="J45">IFERROR(INDEX($G$2:$G$2050,_xlfn.AGGREGATE(15,6,(ROW($G$2:$G$2050)-ROW($G$2)+1)/($G$2:$G$2050&lt;&gt;""),ROWS(J$1:J45))),"")</f>
        <v>F 31584-1 CANE MARKET RD</v>
      </c>
      <c r="K45">
        <f>IF(J45="","",INDEX('Assignment Tool'!E61:E2094,MATCH(FA_DATA!J45,'Assignment Tool'!D61:D2094,0)))</f>
        <v>4</v>
      </c>
    </row>
    <row r="46" spans="1:11" x14ac:dyDescent="0.25">
      <c r="A46" s="118" t="str">
        <f t="shared" si="0"/>
        <v>F 31153-1 CANE MARKET RD</v>
      </c>
      <c r="G46" t="str">
        <f>IF('Assignment Tool'!C46="","",IF('Assignment Tool'!C46="FST",'Assignment Tool'!D46,""))</f>
        <v/>
      </c>
      <c r="H46">
        <v>46</v>
      </c>
      <c r="I46">
        <f t="shared" si="1"/>
        <v>233</v>
      </c>
      <c r="J46" t="str">
        <f t="array" ref="J46">IFERROR(INDEX($G$2:$G$2050,_xlfn.AGGREGATE(15,6,(ROW($G$2:$G$2050)-ROW($G$2)+1)/($G$2:$G$2050&lt;&gt;""),ROWS(J$1:J46))),"")</f>
        <v>F 30078-1 CANE MARKET RD</v>
      </c>
      <c r="K46">
        <f>IF(J46="","",INDEX('Assignment Tool'!E62:E2095,MATCH(FA_DATA!J46,'Assignment Tool'!D62:D2095,0)))</f>
        <v>8</v>
      </c>
    </row>
    <row r="47" spans="1:11" x14ac:dyDescent="0.25">
      <c r="A47" s="118" t="str">
        <f t="shared" si="0"/>
        <v>F 31157-1 CANE MARKET RD</v>
      </c>
      <c r="G47" t="str">
        <f>IF('Assignment Tool'!C47="","",IF('Assignment Tool'!C47="FST",'Assignment Tool'!D47,""))</f>
        <v/>
      </c>
      <c r="H47">
        <v>47</v>
      </c>
      <c r="I47">
        <f t="shared" si="1"/>
        <v>241</v>
      </c>
      <c r="J47" t="str">
        <f t="array" ref="J47">IFERROR(INDEX($G$2:$G$2050,_xlfn.AGGREGATE(15,6,(ROW($G$2:$G$2050)-ROW($G$2)+1)/($G$2:$G$2050&lt;&gt;""),ROWS(J$1:J47))),"")</f>
        <v>F 31718-1 CANE MARKET RD</v>
      </c>
      <c r="K47">
        <f>IF(J47="","",INDEX('Assignment Tool'!E63:E2096,MATCH(FA_DATA!J47,'Assignment Tool'!D62:D2096,0)))</f>
        <v>4</v>
      </c>
    </row>
    <row r="48" spans="1:11" x14ac:dyDescent="0.25">
      <c r="A48" s="118" t="str">
        <f t="shared" si="0"/>
        <v>F 31157-1 CANE MARKET RD</v>
      </c>
      <c r="G48" t="str">
        <f>IF('Assignment Tool'!C48="","",IF('Assignment Tool'!C48="FST",'Assignment Tool'!D48,""))</f>
        <v/>
      </c>
      <c r="H48">
        <v>48</v>
      </c>
      <c r="I48">
        <f t="shared" si="1"/>
        <v>245</v>
      </c>
      <c r="J48" t="str">
        <f t="array" ref="J48">IFERROR(INDEX($G$2:$G$2050,_xlfn.AGGREGATE(15,6,(ROW($G$2:$G$2050)-ROW($G$2)+1)/($G$2:$G$2050&lt;&gt;""),ROWS(J$1:J48))),"")</f>
        <v>F 32808-1 BAUGHMAN RD</v>
      </c>
      <c r="K48">
        <f>IF(J48="","",INDEX('Assignment Tool'!E64:E2097,MATCH(FA_DATA!J48,'Assignment Tool'!D64:D2097,0)))</f>
        <v>4</v>
      </c>
    </row>
    <row r="49" spans="1:11" x14ac:dyDescent="0.25">
      <c r="A49" s="118" t="str">
        <f t="shared" si="0"/>
        <v>F 15335-1 COURTNEY RD</v>
      </c>
      <c r="G49" t="str">
        <f>IF('Assignment Tool'!C49="","",IF('Assignment Tool'!C49="FST",'Assignment Tool'!D49,""))</f>
        <v/>
      </c>
      <c r="H49">
        <v>49</v>
      </c>
      <c r="I49">
        <f t="shared" si="1"/>
        <v>249</v>
      </c>
      <c r="J49" t="str">
        <f t="array" ref="J49">IFERROR(INDEX($G$2:$G$2050,_xlfn.AGGREGATE(15,6,(ROW($G$2:$G$2050)-ROW($G$2)+1)/($G$2:$G$2050&lt;&gt;""),ROWS(J$1:J49))),"")</f>
        <v>OPP 32757-1 BAUGHMAN RD</v>
      </c>
      <c r="K49">
        <f>IF(J49="","",INDEX('Assignment Tool'!E65:E2098,MATCH(FA_DATA!J49,'Assignment Tool'!D65:D2098,0)))</f>
        <v>8</v>
      </c>
    </row>
    <row r="50" spans="1:11" x14ac:dyDescent="0.25">
      <c r="A50" s="118" t="str">
        <f t="shared" si="0"/>
        <v>F 15335-1 COURTNEY RD</v>
      </c>
      <c r="G50" t="str">
        <f>IF('Assignment Tool'!C50="","",IF('Assignment Tool'!C50="FST",'Assignment Tool'!D50,""))</f>
        <v/>
      </c>
      <c r="H50">
        <v>50</v>
      </c>
      <c r="I50">
        <f t="shared" si="1"/>
        <v>257</v>
      </c>
      <c r="J50" t="str">
        <f t="array" ref="J50">IFERROR(INDEX($G$2:$G$2050,_xlfn.AGGREGATE(15,6,(ROW($G$2:$G$2050)-ROW($G$2)+1)/($G$2:$G$2050&lt;&gt;""),ROWS(J$1:J50))),"")</f>
        <v>F 32940-1 BAUGHMAN RD</v>
      </c>
      <c r="K50">
        <f>IF(J50="","",INDEX('Assignment Tool'!E66:E2099,MATCH(FA_DATA!J50,'Assignment Tool'!D66:D2099,0)))</f>
        <v>8</v>
      </c>
    </row>
    <row r="51" spans="1:11" x14ac:dyDescent="0.25">
      <c r="A51" s="118" t="str">
        <f t="shared" si="0"/>
        <v>F 15335-1 COURTNEY RD</v>
      </c>
      <c r="G51" t="str">
        <f>IF('Assignment Tool'!C51="","",IF('Assignment Tool'!C51="FST",'Assignment Tool'!D51,""))</f>
        <v/>
      </c>
      <c r="H51">
        <v>51</v>
      </c>
      <c r="I51">
        <f t="shared" si="1"/>
        <v>265</v>
      </c>
      <c r="J51" t="str">
        <f t="array" ref="J51">IFERROR(INDEX($G$2:$G$2050,_xlfn.AGGREGATE(15,6,(ROW($G$2:$G$2050)-ROW($G$2)+1)/($G$2:$G$2050&lt;&gt;""),ROWS(J$1:J51))),"")</f>
        <v>OPP 31764-1 CANE MARKET RD</v>
      </c>
      <c r="K51">
        <f>IF(J51="","",INDEX('Assignment Tool'!E67:E2100,MATCH(FA_DATA!J51,'Assignment Tool'!D67:D2100,0)))</f>
        <v>4</v>
      </c>
    </row>
    <row r="52" spans="1:11" x14ac:dyDescent="0.25">
      <c r="A52" s="118" t="str">
        <f t="shared" si="0"/>
        <v>F 15335-1 COURTNEY RD</v>
      </c>
      <c r="G52" t="str">
        <f>IF('Assignment Tool'!C52="","",IF('Assignment Tool'!C52="FST",'Assignment Tool'!D52,""))</f>
        <v/>
      </c>
      <c r="H52">
        <v>52</v>
      </c>
      <c r="I52">
        <f t="shared" si="1"/>
        <v>269</v>
      </c>
      <c r="J52" t="str">
        <f t="array" ref="J52">IFERROR(INDEX($G$2:$G$2050,_xlfn.AGGREGATE(15,6,(ROW($G$2:$G$2050)-ROW($G$2)+1)/($G$2:$G$2050&lt;&gt;""),ROWS(J$1:J52))),"")</f>
        <v>OPP 31818-1 CANE MARKET RD</v>
      </c>
      <c r="K52">
        <f>IF(J52="","",INDEX('Assignment Tool'!E68:E2101,MATCH(FA_DATA!J52,'Assignment Tool'!D68:D2101,0)))</f>
        <v>4</v>
      </c>
    </row>
    <row r="53" spans="1:11" x14ac:dyDescent="0.25">
      <c r="A53" s="118" t="str">
        <f t="shared" si="0"/>
        <v>F 15335-1 COURTNEY RD</v>
      </c>
      <c r="G53" t="str">
        <f>IF('Assignment Tool'!C53="","",IF('Assignment Tool'!C53="FST",'Assignment Tool'!D53,""))</f>
        <v/>
      </c>
      <c r="H53">
        <v>53</v>
      </c>
      <c r="I53">
        <f t="shared" si="1"/>
        <v>273</v>
      </c>
      <c r="J53" t="str">
        <f t="array" ref="J53">IFERROR(INDEX($G$2:$G$2050,_xlfn.AGGREGATE(15,6,(ROW($G$2:$G$2050)-ROW($G$2)+1)/($G$2:$G$2050&lt;&gt;""),ROWS(J$1:J53))),"")</f>
        <v>F 31870-1 CANE MARKET RD</v>
      </c>
      <c r="K53">
        <f>IF(J53="","",INDEX('Assignment Tool'!E69:E2102,MATCH(FA_DATA!J53,'Assignment Tool'!D69:D2102,0)))</f>
        <v>4</v>
      </c>
    </row>
    <row r="54" spans="1:11" x14ac:dyDescent="0.25">
      <c r="A54" s="118" t="str">
        <f t="shared" si="0"/>
        <v>F 15335-1 COURTNEY RD</v>
      </c>
      <c r="G54" t="str">
        <f>IF('Assignment Tool'!C54="","",IF('Assignment Tool'!C54="FST",'Assignment Tool'!D54,""))</f>
        <v/>
      </c>
      <c r="H54">
        <v>54</v>
      </c>
      <c r="I54">
        <f t="shared" si="1"/>
        <v>277</v>
      </c>
      <c r="J54" t="str">
        <f t="array" ref="J54">IFERROR(INDEX($G$2:$G$2050,_xlfn.AGGREGATE(15,6,(ROW($G$2:$G$2050)-ROW($G$2)+1)/($G$2:$G$2050&lt;&gt;""),ROWS(J$1:J54))),"")</f>
        <v>F 31924-1 CANE MARKET RD</v>
      </c>
      <c r="K54">
        <f>IF(J54="","",INDEX('Assignment Tool'!E70:E2103,MATCH(FA_DATA!J54,'Assignment Tool'!D70:D2103,0)))</f>
        <v>4</v>
      </c>
    </row>
    <row r="55" spans="1:11" x14ac:dyDescent="0.25">
      <c r="A55" s="118" t="str">
        <f t="shared" si="0"/>
        <v>F 15335-1 COURTNEY RD</v>
      </c>
      <c r="G55" t="str">
        <f>IF('Assignment Tool'!C55="","",IF('Assignment Tool'!C55="FST",'Assignment Tool'!D55,""))</f>
        <v/>
      </c>
      <c r="H55">
        <v>55</v>
      </c>
      <c r="I55">
        <f t="shared" si="1"/>
        <v>281</v>
      </c>
      <c r="J55" t="str">
        <f t="array" ref="J55">IFERROR(INDEX($G$2:$G$2050,_xlfn.AGGREGATE(15,6,(ROW($G$2:$G$2050)-ROW($G$2)+1)/($G$2:$G$2050&lt;&gt;""),ROWS(J$1:J55))),"")</f>
        <v>F 31958-1 CANE MARKET RD</v>
      </c>
      <c r="K55">
        <f>IF(J55="","",INDEX('Assignment Tool'!E71:E2104,MATCH(FA_DATA!J55,'Assignment Tool'!D71:D2104,0)))</f>
        <v>8</v>
      </c>
    </row>
    <row r="56" spans="1:11" x14ac:dyDescent="0.25">
      <c r="A56" s="118" t="str">
        <f t="shared" si="0"/>
        <v>F 15335-1 COURTNEY RD</v>
      </c>
      <c r="G56" t="str">
        <f>IF('Assignment Tool'!C56="","",IF('Assignment Tool'!C56="FST",'Assignment Tool'!D56,""))</f>
        <v/>
      </c>
      <c r="H56">
        <v>56</v>
      </c>
      <c r="I56">
        <f t="shared" si="1"/>
        <v>289</v>
      </c>
      <c r="J56" t="str">
        <f t="array" ref="J56">IFERROR(INDEX($G$2:$G$2050,_xlfn.AGGREGATE(15,6,(ROW($G$2:$G$2050)-ROW($G$2)+1)/($G$2:$G$2050&lt;&gt;""),ROWS(J$1:J56))),"")</f>
        <v>F 32000-1 CANE MARKET RD</v>
      </c>
      <c r="K56">
        <f>IF(J56="","",INDEX('Assignment Tool'!E72:E2105,MATCH(FA_DATA!J56,'Assignment Tool'!D72:D2105,0)))</f>
        <v>4</v>
      </c>
    </row>
    <row r="57" spans="1:11" x14ac:dyDescent="0.25">
      <c r="A57" s="118" t="str">
        <f t="shared" si="0"/>
        <v>F 15315-1 COURTNEY RD</v>
      </c>
      <c r="G57" t="str">
        <f>IF('Assignment Tool'!C57="","",IF('Assignment Tool'!C57="FST",'Assignment Tool'!D57,""))</f>
        <v/>
      </c>
      <c r="H57">
        <v>57</v>
      </c>
      <c r="I57">
        <f t="shared" si="1"/>
        <v>293</v>
      </c>
      <c r="J57" t="str">
        <f t="array" ref="J57">IFERROR(INDEX($G$2:$G$2050,_xlfn.AGGREGATE(15,6,(ROW($G$2:$G$2050)-ROW($G$2)+1)/($G$2:$G$2050&lt;&gt;""),ROWS(J$1:J57))),"")</f>
        <v>F 32021-1 CANE MARKET RD</v>
      </c>
      <c r="K57">
        <f>IF(J57="","",INDEX('Assignment Tool'!E73:E2106,MATCH(FA_DATA!J57,'Assignment Tool'!D73:D2106,0)))</f>
        <v>4</v>
      </c>
    </row>
    <row r="58" spans="1:11" x14ac:dyDescent="0.25">
      <c r="A58" s="118" t="str">
        <f t="shared" si="0"/>
        <v>F 15315-1 COURTNEY RD</v>
      </c>
      <c r="G58" t="str">
        <f>IF('Assignment Tool'!C58="","",IF('Assignment Tool'!C58="FST",'Assignment Tool'!D58,""))</f>
        <v/>
      </c>
      <c r="H58">
        <v>58</v>
      </c>
      <c r="I58">
        <f t="shared" si="1"/>
        <v>297</v>
      </c>
      <c r="J58" t="str">
        <f t="array" ref="J58">IFERROR(INDEX($G$2:$G$2050,_xlfn.AGGREGATE(15,6,(ROW($G$2:$G$2050)-ROW($G$2)+1)/($G$2:$G$2050&lt;&gt;""),ROWS(J$1:J58))),"")</f>
        <v>F 32090-1 CANE MARKET RD</v>
      </c>
      <c r="K58">
        <f>IF(J58="","",INDEX('Assignment Tool'!E74:E2107,MATCH(FA_DATA!J58,'Assignment Tool'!D74:D2107,0)))</f>
        <v>4</v>
      </c>
    </row>
    <row r="59" spans="1:11" x14ac:dyDescent="0.25">
      <c r="A59" s="118" t="str">
        <f t="shared" si="0"/>
        <v>F 15315-1 COURTNEY RD</v>
      </c>
      <c r="G59" t="str">
        <f>IF('Assignment Tool'!C59="","",IF('Assignment Tool'!C59="FST",'Assignment Tool'!D59,""))</f>
        <v/>
      </c>
      <c r="H59">
        <v>59</v>
      </c>
      <c r="I59">
        <f t="shared" si="1"/>
        <v>301</v>
      </c>
      <c r="J59" t="str">
        <f t="array" ref="J59">IFERROR(INDEX($G$2:$G$2050,_xlfn.AGGREGATE(15,6,(ROW($G$2:$G$2050)-ROW($G$2)+1)/($G$2:$G$2050&lt;&gt;""),ROWS(J$1:J59))),"")</f>
        <v>OPP 32271-1 CANE MARKET RD</v>
      </c>
      <c r="K59">
        <f>IF(J59="","",INDEX('Assignment Tool'!E75:E2108,MATCH(FA_DATA!J59,'Assignment Tool'!D75:D2108,0)))</f>
        <v>4</v>
      </c>
    </row>
    <row r="60" spans="1:11" x14ac:dyDescent="0.25">
      <c r="A60" s="118" t="str">
        <f t="shared" si="0"/>
        <v>F 15315-1 COURTNEY RD</v>
      </c>
      <c r="G60" t="str">
        <f>IF('Assignment Tool'!C60="","",IF('Assignment Tool'!C60="FST",'Assignment Tool'!D60,""))</f>
        <v/>
      </c>
      <c r="H60">
        <v>60</v>
      </c>
      <c r="I60">
        <f t="shared" si="1"/>
        <v>305</v>
      </c>
      <c r="J60" t="str">
        <f t="array" ref="J60">IFERROR(INDEX($G$2:$G$2050,_xlfn.AGGREGATE(15,6,(ROW($G$2:$G$2050)-ROW($G$2)+1)/($G$2:$G$2050&lt;&gt;""),ROWS(J$1:J60))),"")</f>
        <v>F 32260-1 CANE MARKET RD</v>
      </c>
      <c r="K60">
        <f>IF(J60="","",INDEX('Assignment Tool'!E76:E2109,MATCH(FA_DATA!J60,'Assignment Tool'!D76:D2109,0)))</f>
        <v>8</v>
      </c>
    </row>
    <row r="61" spans="1:11" x14ac:dyDescent="0.25">
      <c r="A61" s="118" t="str">
        <f t="shared" si="0"/>
        <v>F 31915-1 BEASLEY RD</v>
      </c>
      <c r="G61" t="str">
        <f>IF('Assignment Tool'!C61="","",IF('Assignment Tool'!C61="FST",'Assignment Tool'!D61,""))</f>
        <v/>
      </c>
      <c r="H61">
        <v>61</v>
      </c>
      <c r="I61">
        <f t="shared" si="1"/>
        <v>313</v>
      </c>
      <c r="J61" t="str">
        <f t="array" ref="J61">IFERROR(INDEX($G$2:$G$2050,_xlfn.AGGREGATE(15,6,(ROW($G$2:$G$2050)-ROW($G$2)+1)/($G$2:$G$2050&lt;&gt;""),ROWS(J$1:J61))),"")</f>
        <v>F 32416-1 MANGUM CHAPEL RD</v>
      </c>
      <c r="K61">
        <f>IF(J61="","",INDEX('Assignment Tool'!E77:E2110,MATCH(FA_DATA!J61,'Assignment Tool'!D77:D2110,0)))</f>
        <v>4</v>
      </c>
    </row>
    <row r="62" spans="1:11" x14ac:dyDescent="0.25">
      <c r="A62" s="118" t="str">
        <f t="shared" si="0"/>
        <v>F 31915-1 BEASLEY RD</v>
      </c>
      <c r="G62" t="str">
        <f>IF('Assignment Tool'!C62="","",IF('Assignment Tool'!C62="FST",'Assignment Tool'!#REF!,""))</f>
        <v/>
      </c>
      <c r="H62">
        <v>62</v>
      </c>
      <c r="I62">
        <f t="shared" si="1"/>
        <v>317</v>
      </c>
      <c r="J62" t="str">
        <f t="array" ref="J62">IFERROR(INDEX($G$2:$G$2050,_xlfn.AGGREGATE(15,6,(ROW($G$2:$G$2050)-ROW($G$2)+1)/($G$2:$G$2050&lt;&gt;""),ROWS(J$1:J62))),"")</f>
        <v>F 33182-1 MANGUM CHAPEL RD</v>
      </c>
      <c r="K62">
        <f>IF(J62="","",INDEX('Assignment Tool'!E78:E2111,MATCH(FA_DATA!J62,'Assignment Tool'!D78:D2111,0)))</f>
        <v>4</v>
      </c>
    </row>
    <row r="63" spans="1:11" x14ac:dyDescent="0.25">
      <c r="A63" s="118" t="str">
        <f t="shared" si="0"/>
        <v>F 31915-1 BEASLEY RD</v>
      </c>
      <c r="G63" t="str">
        <f>IF('Assignment Tool'!C63="","",IF('Assignment Tool'!C63="FST",'Assignment Tool'!D62,""))</f>
        <v/>
      </c>
      <c r="H63">
        <v>63</v>
      </c>
      <c r="I63">
        <f t="shared" si="1"/>
        <v>321</v>
      </c>
      <c r="J63" t="str">
        <f t="array" ref="J63">IFERROR(INDEX($G$2:$G$2050,_xlfn.AGGREGATE(15,6,(ROW($G$2:$G$2050)-ROW($G$2)+1)/($G$2:$G$2050&lt;&gt;""),ROWS(J$1:J63))),"")</f>
        <v>F 33202-1 MANGUM CHAPEL RD</v>
      </c>
      <c r="K63">
        <f>IF(J63="","",INDEX('Assignment Tool'!E79:E2112,MATCH(FA_DATA!J63,'Assignment Tool'!D79:D2112,0)))</f>
        <v>12</v>
      </c>
    </row>
    <row r="64" spans="1:11" x14ac:dyDescent="0.25">
      <c r="A64" s="118" t="str">
        <f t="shared" si="0"/>
        <v>F 31915-1 BEASLEY RD</v>
      </c>
      <c r="G64" t="str">
        <f>IF('Assignment Tool'!C64="","",IF('Assignment Tool'!C64="FST",'Assignment Tool'!D64,""))</f>
        <v/>
      </c>
      <c r="H64">
        <v>64</v>
      </c>
      <c r="I64">
        <f t="shared" si="1"/>
        <v>333</v>
      </c>
      <c r="J64" t="str">
        <f t="array" ref="J64">IFERROR(INDEX($G$2:$G$2050,_xlfn.AGGREGATE(15,6,(ROW($G$2:$G$2050)-ROW($G$2)+1)/($G$2:$G$2050&lt;&gt;""),ROWS(J$1:J64))),"")</f>
        <v>F 31975-1 N CORBIN RD</v>
      </c>
      <c r="K64">
        <f>IF(J64="","",INDEX('Assignment Tool'!E80:E2113,MATCH(FA_DATA!J64,'Assignment Tool'!D80:D2113,0)))</f>
        <v>12</v>
      </c>
    </row>
    <row r="65" spans="1:11" x14ac:dyDescent="0.25">
      <c r="A65" s="118" t="str">
        <f t="shared" si="0"/>
        <v>F 31915-1 BEASLEY RD</v>
      </c>
      <c r="G65" t="str">
        <f>IF('Assignment Tool'!C65="","",IF('Assignment Tool'!C65="FST",'Assignment Tool'!D65,""))</f>
        <v/>
      </c>
      <c r="H65">
        <v>65</v>
      </c>
      <c r="I65">
        <f t="shared" si="1"/>
        <v>345</v>
      </c>
      <c r="J65" t="str">
        <f t="array" ref="J65">IFERROR(INDEX($G$2:$G$2050,_xlfn.AGGREGATE(15,6,(ROW($G$2:$G$2050)-ROW($G$2)+1)/($G$2:$G$2050&lt;&gt;""),ROWS(J$1:J65))),"")</f>
        <v>F 31133-1 CANE MARKET RD</v>
      </c>
      <c r="K65">
        <f>IF(J65="","",INDEX('Assignment Tool'!E81:E2114,MATCH(FA_DATA!J65,'Assignment Tool'!D81:D2114,0)))</f>
        <v>4</v>
      </c>
    </row>
    <row r="66" spans="1:11" x14ac:dyDescent="0.25">
      <c r="A66" s="118" t="str">
        <f t="shared" ref="A66:A129" si="2">VLOOKUP(H66,$I$1:$J$1000,2)</f>
        <v>F 31915-1 BEASLEY RD</v>
      </c>
      <c r="G66" t="str">
        <f>IF('Assignment Tool'!C66="","",IF('Assignment Tool'!C66="FST",'Assignment Tool'!D66,""))</f>
        <v/>
      </c>
      <c r="H66">
        <v>66</v>
      </c>
      <c r="I66">
        <f t="shared" si="1"/>
        <v>349</v>
      </c>
      <c r="J66" t="str">
        <f t="array" ref="J66">IFERROR(INDEX($G$2:$G$2050,_xlfn.AGGREGATE(15,6,(ROW($G$2:$G$2050)-ROW($G$2)+1)/($G$2:$G$2050&lt;&gt;""),ROWS(J$1:J66))),"")</f>
        <v>F 31145-1 CANE MARKET RD</v>
      </c>
      <c r="K66">
        <f>IF(J66="","",INDEX('Assignment Tool'!E82:E2115,MATCH(FA_DATA!J66,'Assignment Tool'!D82:D2115,0)))</f>
        <v>2</v>
      </c>
    </row>
    <row r="67" spans="1:11" x14ac:dyDescent="0.25">
      <c r="A67" s="118" t="str">
        <f t="shared" si="2"/>
        <v>F 31915-1 BEASLEY RD</v>
      </c>
      <c r="G67" t="str">
        <f>IF('Assignment Tool'!C67="","",IF('Assignment Tool'!C67="FST",'Assignment Tool'!D67,""))</f>
        <v/>
      </c>
      <c r="H67">
        <v>67</v>
      </c>
      <c r="I67">
        <f t="shared" ref="I67:I130" si="3">IFERROR((I66+K66),"")</f>
        <v>351</v>
      </c>
      <c r="J67" t="str">
        <f t="array" ref="J67">IFERROR(INDEX($G$2:$G$2050,_xlfn.AGGREGATE(15,6,(ROW($G$2:$G$2050)-ROW($G$2)+1)/($G$2:$G$2050&lt;&gt;""),ROWS(J$1:J67))),"")</f>
        <v>F 31153-1 CANE MARKET RD</v>
      </c>
      <c r="K67">
        <f>IF(J67="","",INDEX('Assignment Tool'!E83:E2116,MATCH(FA_DATA!J67,'Assignment Tool'!D83:D2116,0)))</f>
        <v>4</v>
      </c>
    </row>
    <row r="68" spans="1:11" x14ac:dyDescent="0.25">
      <c r="A68" s="118" t="str">
        <f t="shared" si="2"/>
        <v>F 31915-1 BEASLEY RD</v>
      </c>
      <c r="G68" t="str">
        <f>IF('Assignment Tool'!C68="","",IF('Assignment Tool'!C68="FST",'Assignment Tool'!D68,""))</f>
        <v/>
      </c>
      <c r="H68">
        <v>68</v>
      </c>
      <c r="I68">
        <f t="shared" si="3"/>
        <v>355</v>
      </c>
      <c r="J68" t="str">
        <f t="array" ref="J68">IFERROR(INDEX($G$2:$G$2050,_xlfn.AGGREGATE(15,6,(ROW($G$2:$G$2050)-ROW($G$2)+1)/($G$2:$G$2050&lt;&gt;""),ROWS(J$1:J68))),"")</f>
        <v>F 31157-1 CANE MARKET RD</v>
      </c>
      <c r="K68">
        <f>IF(J68="","",INDEX('Assignment Tool'!E84:E2117,MATCH(FA_DATA!J68,'Assignment Tool'!D84:D2117,0)))</f>
        <v>2</v>
      </c>
    </row>
    <row r="69" spans="1:11" x14ac:dyDescent="0.25">
      <c r="A69" s="118" t="str">
        <f t="shared" si="2"/>
        <v>F 31939-1 BEASLEY RD</v>
      </c>
      <c r="G69" t="str">
        <f>IF('Assignment Tool'!C69="","",IF('Assignment Tool'!C69="FST",'Assignment Tool'!D69,""))</f>
        <v/>
      </c>
      <c r="H69">
        <v>69</v>
      </c>
      <c r="I69">
        <f t="shared" si="3"/>
        <v>357</v>
      </c>
      <c r="J69" t="str">
        <f t="array" ref="J69">IFERROR(INDEX($G$2:$G$2050,_xlfn.AGGREGATE(15,6,(ROW($G$2:$G$2050)-ROW($G$2)+1)/($G$2:$G$2050&lt;&gt;""),ROWS(J$1:J69))),"")</f>
        <v/>
      </c>
      <c r="K69" t="str">
        <f>IF(J69="","",INDEX('Assignment Tool'!E85:E2118,MATCH(FA_DATA!J69,'Assignment Tool'!D85:D2118,0)))</f>
        <v/>
      </c>
    </row>
    <row r="70" spans="1:11" x14ac:dyDescent="0.25">
      <c r="A70" s="118" t="str">
        <f t="shared" si="2"/>
        <v>F 31939-1 BEASLEY RD</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31939-1 BEASLEY RD</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31939-1 BEASLEY RD</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31991-1 BEASLEY RD</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31991-1 BEASLEY RD</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31991-1 BEASLEY RD</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31991-1 BEASLEY RD</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32013-1 BEASLEY RD</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32013-1 BEASLEY RD</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32013-1 BEASLEY RD</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32013-1 BEASLEY RD</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32013-1 BEASLEY RD</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32013-1 BEASLEY RD</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32013-1 BEASLEY RD</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32013-1 BEASLEY RD</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16650-1 VARNADO RD</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16650-1 VARNADO RD</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16650-1 VARNADO RD</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16650-1 VARNADO RD</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16550-1 VARNADO RD</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16550-1 VARNADO RD</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16550-1 VARNADO RD</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16550-1 VARNADO RD</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16550-1 VARNADO RD</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16550-1 VARNADO RD</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16550-1 VARNADO RD</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16550-1 VARNADO RD</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31319-1 CANE MARKET RD</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31319-1 CANE MARKET RD</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31319-1 CANE MARKET RD</v>
      </c>
      <c r="G99" t="str">
        <f>IF('Assignment Tool'!C99="","",IF('Assignment Tool'!C99="FST",'Assignment Tool'!D99,""))</f>
        <v>OPP 16750-1 VARNADO RD</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31319-1 CANE MARKET RD</v>
      </c>
      <c r="G100" t="str">
        <f>IF('Assignment Tool'!C100="","",IF('Assignment Tool'!C100="FST",'Assignment Tool'!D100,""))</f>
        <v>OPP 31785-1 GALLMAN DR</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31319-1 CANE MARKET RD</v>
      </c>
      <c r="G101" t="str">
        <f>IF('Assignment Tool'!C101="","",IF('Assignment Tool'!C101="FST",'Assignment Tool'!D101,""))</f>
        <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31319-1 CANE MARKET RD</v>
      </c>
      <c r="G102" t="str">
        <f>IF('Assignment Tool'!C102="","",IF('Assignment Tool'!C102="FST",'Assignment Tool'!D102,""))</f>
        <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31319-1 CANE MARKET RD</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31319-1 CANE MARKET RD</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31295-1 CANE MARKET RD</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31295-1 CANE MARKET RD</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31413-1 CANE MARKET RD</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31413-1 CANE MARKET RD</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16325-1 VARNADO RD</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16325-1 VARNADO RD</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16325-1 VARNADO RD</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16325-1 VARNADO RD</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16000-1 VARNADO RD</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16000-1 VARNADO RD</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16000-1 VARNADO RD</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16000-1 VARNADO RD</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15739-1 VARNADO RD</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15739-1 VARNADO RD</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15739-1 VARNADO RD</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15739-1 VARNADO RD</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OPP 32481-1 MANGUM CHAPEL RD</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OPP 32481-1 MANGUM CHAPEL RD</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OPP 32481-1 MANGUM CHAPEL RD</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OPP 32481-1 MANGUM CHAPEL RD</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OPP 32525-1 MANGUM CHAPEL RD</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OPP 32525-1 MANGUM CHAPEL RD</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OPP 32525-1 MANGUM CHAPEL RD</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OPP 32525-1 MANGUM CHAPEL RD</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OPP 32561-1 MANGUM CHAPEL RD</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OPP 32561-1 MANGUM CHAPEL RD</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OPP 32561-1 MANGUM CHAPEL RD</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OPP 32561-1 MANGUM CHAPEL RD</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OPP 32561-1 MANGUM CHAPEL RD</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OPP 32561-1 MANGUM CHAPEL RD</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OPP 32561-1 MANGUM CHAPEL RD</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Tool'!D152:D2184,0)))</f>
        <v/>
      </c>
    </row>
    <row r="136" spans="1:11" x14ac:dyDescent="0.25">
      <c r="A136" s="118" t="str">
        <f t="shared" si="4"/>
        <v>OPP 32561-1 MANGUM CHAPEL RD</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OPP 32627-1 MANGUM CHAPEL RD</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OPP 32627-1 MANGUM CHAPEL RD</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OPP 32627-1 MANGUM CHAPEL RD</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OPP 32627-1 MANGUM CHAPEL RD</v>
      </c>
      <c r="G140" t="str">
        <f>IF('Assignment Tool'!C140="","",IF('Assignment Tool'!C140="FST",'Assignment Tool'!D140,""))</f>
        <v>F 31133-1 CANE MARKET RD</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OPP 32627-1 MANGUM CHAPEL RD</v>
      </c>
      <c r="G141" t="str">
        <f>IF('Assignment Tool'!C141="","",IF('Assignment Tool'!C141="FST",'Assignment Tool'!D141,""))</f>
        <v>F 31145-1 CANE MARKET RD</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OPP 32627-1 MANGUM CHAPEL RD</v>
      </c>
      <c r="G142" t="str">
        <f>IF('Assignment Tool'!C142="","",IF('Assignment Tool'!C142="FST",'Assignment Tool'!D142,""))</f>
        <v>F 31153-1 CANE MARKET RD</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OPP 32627-1 MANGUM CHAPEL RD</v>
      </c>
      <c r="G143" t="str">
        <f>IF('Assignment Tool'!C143="","",IF('Assignment Tool'!C143="FST",'Assignment Tool'!D143,""))</f>
        <v>F 31157-1 CANE MARKET RD</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OPP 32627-1 MANGUM CHAPEL RD</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31390-1 CANE MARKET RD</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31390-1 CANE MARKET RD</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31390-1 CANE MARKET RD</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31390-1 CANE MARKET RD</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OPP 31393-1 CANE MARKET RD</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OPP 31393-1 CANE MARKET RD</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OPP 31393-1 CANE MARKET RD</v>
      </c>
      <c r="G151" t="str">
        <f>IF('Assignment Tool'!C151="","",IF('Assignment Tool'!C151="FST",'Assignment Tool'!D152,""))</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OPP 31393-1 CANE MARKET RD</v>
      </c>
      <c r="G152" t="str">
        <f>IF('Assignment Tool'!C152="","",IF('Assignment Tool'!C152="FST",'Assignment Tool'!#REF!,""))</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OPP 31393-1 CANE MARKET RD</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OPP 31393-1 CANE MARKET RD</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OPP 31393-1 CANE MARKET RD</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OPP 31393-1 CANE MARKET RD</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OPP 31393-1 CANE MARKET RD</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OPP 31393-1 CANE MARKET RD</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OPP 31393-1 CANE MARKET RD</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OPP 31393-1 CANE MARKET RD</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31412-1 CANE MARKET RD</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31412-1 CANE MARKET RD</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31412-1 CANE MARKET RD</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31412-1 CANE MARKET RD</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31430-1 CANE MARKET RD</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31430-1 CANE MARKET RD</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31430-1 CANE MARKET RD</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31430-1 CANE MARKET RD</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OPP 31495-1 CANE MARKET RD</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OPP 31495-1 CANE MARKET RD</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OPP 31495-1 CANE MARKET RD</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OPP 31495-1 CANE MARKET RD</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31530-1 CANE MARKET RD</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31530-1 CANE MARKET RD</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31530-1 CANE MARKET RD</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31530-1 CANE MARKET RD</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OPP 31553-1 CANE MARKET RD</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OPP 31553-1 CANE MARKET RD</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OPP 31553-1 CANE MARKET RD</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OPP 31553-1 CANE MARKET RD</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15850-1 VARNADO RD</v>
      </c>
      <c r="G181" t="str">
        <f>IF('Assignment Tool'!C181="","",IF('Assignment Tool'!C181="FST",'Assignment Tool'!D181,""))</f>
        <v>F 15335-1 COURTNEY RD</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15850-1 VARNADO RD</v>
      </c>
      <c r="G182" t="str">
        <f>IF('Assignment Tool'!C182="","",IF('Assignment Tool'!C182="FST",'Assignment Tool'!D182,""))</f>
        <v>F 15315-1 COURTNEY RD</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15850-1 VARNADO RD</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15850-1 VARNADO RD</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15810-1 VARNADO RD</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15810-1 VARNADO RD</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15810-1 VARNADO RD</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15810-1 VARNADO RD</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15810-1 VARNADO RD</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15810-1 VARNADO RD</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15810-1 VARNADO RD</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15810-1 VARNADO RD</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15700-1 VARNADO RD</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15700-1 VARNADO RD</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15700-1 VARNADO RD</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15700-1 VARNADO RD</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15670-1 VARNADO RD</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15670-1 VARNADO RD</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15670-1 VARNADO RD</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15670-1 VARNADO RD</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15550-1 VARNADO RD</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15550-1 VARNADO RD</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15550-1 VARNADO RD</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15550-1 VARNADO RD</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15550-1 VARNADO RD</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15550-1 VARNADO RD</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15550-1 VARNADO RD</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15550-1 VARNADO RD</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OPP 15510-1 VARNADO RD</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OPP 15510-1 VARNADO RD</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OPP 15510-1 VARNADO RD</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OPP 15510-1 VARNADO RD</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OPP 15510-1 VARNADO RD</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OPP 15510-1 VARNADO RD</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OPP 15510-1 VARNADO RD</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OPP 15510-1 VARNADO RD</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OPP 32700-1 BILL WILLIAMS RD</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OPP 32700-1 BILL WILLIAMS RD</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OPP 32700-1 BILL WILLIAMS RD</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OPP 32700-1 BILL WILLIAMS RD</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32730-1 BILL WILLIAMS RD</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32730-1 BILL WILLIAMS RD</v>
      </c>
      <c r="G222" t="str">
        <f>IF('Assignment Tool'!C222="","",IF('Assignment Tool'!C222="FST",'Assignment Tool'!D222,""))</f>
        <v>F 31915-1 BEASLEY RD</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32730-1 BILL WILLIAMS RD</v>
      </c>
      <c r="G223" t="str">
        <f>IF('Assignment Tool'!C223="","",IF('Assignment Tool'!C223="FST",'Assignment Tool'!D223,""))</f>
        <v>F 31939-1 BEASLEY RD</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32730-1 BILL WILLIAMS RD</v>
      </c>
      <c r="G224" t="str">
        <f>IF('Assignment Tool'!C224="","",IF('Assignment Tool'!C224="FST",'Assignment Tool'!D224,""))</f>
        <v>F 31991-1 BEASLEY RD</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32730-1 BILL WILLIAMS RD</v>
      </c>
      <c r="G225" t="str">
        <f>IF('Assignment Tool'!C225="","",IF('Assignment Tool'!C225="FST",'Assignment Tool'!D225,""))</f>
        <v>F 32013-1 BEASLEY RD</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32730-1 BILL WILLIAMS RD</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32730-1 BILL WILLIAMS RD</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32730-1 BILL WILLIAMS RD</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31584-1 CANE MARKET RD</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31584-1 CANE MARKET RD</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31584-1 CANE MARKET RD</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31584-1 CANE MARKET RD</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30078-1 CANE MARKET RD</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30078-1 CANE MARKET RD</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30078-1 CANE MARKET RD</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30078-1 CANE MARKET RD</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30078-1 CANE MARKET RD</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30078-1 CANE MARKET RD</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30078-1 CANE MARKET RD</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30078-1 CANE MARKET RD</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31718-1 CANE MARKET RD</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31718-1 CANE MARKET RD</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31718-1 CANE MARKET RD</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31718-1 CANE MARKET RD</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32808-1 BAUGHMAN RD</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32808-1 BAUGHMAN RD</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32808-1 BAUGHMAN RD</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32808-1 BAUGHMAN RD</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OPP 32757-1 BAUGHMAN RD</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OPP 32757-1 BAUGHMAN RD</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OPP 32757-1 BAUGHMAN RD</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OPP 32757-1 BAUGHMAN RD</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OPP 32757-1 BAUGHMAN RD</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OPP 32757-1 BAUGHMAN RD</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OPP 32757-1 BAUGHMAN RD</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OPP 32757-1 BAUGHMAN RD</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32940-1 BAUGHMAN RD</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32940-1 BAUGHMAN RD</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32940-1 BAUGHMAN RD</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32940-1 BAUGHMAN RD</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32940-1 BAUGHMAN RD</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32940-1 BAUGHMAN RD</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32940-1 BAUGHMAN RD</v>
      </c>
      <c r="G263" t="str">
        <f>IF('Assignment Tool'!C263="","",IF('Assignment Tool'!C263="FST",'Assignment Tool'!D263,""))</f>
        <v>F 16650-1 VARNADO RD</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32940-1 BAUGHMAN RD</v>
      </c>
      <c r="G264" t="str">
        <f>IF('Assignment Tool'!C264="","",IF('Assignment Tool'!C264="FST",'Assignment Tool'!D264,""))</f>
        <v>F 16550-1 VARNADO RD</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OPP 31764-1 CANE MARKET RD</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OPP 31764-1 CANE MARKET RD</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OPP 31764-1 CANE MARKET RD</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OPP 31764-1 CANE MARKET RD</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OPP 31818-1 CANE MARKET RD</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OPP 31818-1 CANE MARKET RD</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OPP 31818-1 CANE MARKET RD</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OPP 31818-1 CANE MARKET RD</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31870-1 CANE MARKET RD</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31870-1 CANE MARKET RD</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31870-1 CANE MARKET RD</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31870-1 CANE MARKET RD</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31924-1 CANE MARKET RD</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31924-1 CANE MARKET RD</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31924-1 CANE MARKET RD</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31924-1 CANE MARKET RD</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31958-1 CANE MARKET RD</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31958-1 CANE MARKET RD</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31958-1 CANE MARKET RD</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31958-1 CANE MARKET RD</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31958-1 CANE MARKET RD</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31958-1 CANE MARKET RD</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31958-1 CANE MARKET RD</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31958-1 CANE MARKET RD</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32000-1 CANE MARKET RD</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32000-1 CANE MARKET RD</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32000-1 CANE MARKET RD</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32000-1 CANE MARKET RD</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F 32021-1 CANE MARKET RD</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F 32021-1 CANE MARKET RD</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F 32021-1 CANE MARKET RD</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F 32021-1 CANE MARKET RD</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32090-1 CANE MARKET RD</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32090-1 CANE MARKET RD</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32090-1 CANE MARKET RD</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32090-1 CANE MARKET RD</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OPP 32271-1 CANE MARKET RD</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OPP 32271-1 CANE MARKET RD</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OPP 32271-1 CANE MARKET RD</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OPP 32271-1 CANE MARKET RD</v>
      </c>
      <c r="G304" t="str">
        <f>IF('Assignment Tool'!C304="","",IF('Assignment Tool'!C304="FST",'Assignment Tool'!D304,""))</f>
        <v>F 31319-1 CANE MARKET RD</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32260-1 CANE MARKET RD</v>
      </c>
      <c r="G305" t="str">
        <f>IF('Assignment Tool'!C305="","",IF('Assignment Tool'!C305="FST",'Assignment Tool'!D305,""))</f>
        <v>F 31295-1 CANE MARKET RD</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32260-1 CANE MARKET RD</v>
      </c>
      <c r="G306" t="str">
        <f>IF('Assignment Tool'!C306="","",IF('Assignment Tool'!C306="FST",'Assignment Tool'!D306,""))</f>
        <v>F 31413-1 CANE MARKET RD</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32260-1 CANE MARKET RD</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32260-1 CANE MARKET RD</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32260-1 CANE MARKET RD</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32260-1 CANE MARKET RD</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32260-1 CANE MARKET RD</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32260-1 CANE MARKET RD</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32416-1 MANGUM CHAPEL RD</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32416-1 MANGUM CHAPEL RD</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32416-1 MANGUM CHAPEL RD</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32416-1 MANGUM CHAPEL RD</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33182-1 MANGUM CHAPEL RD</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33182-1 MANGUM CHAPEL RD</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33182-1 MANGUM CHAPEL RD</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33182-1 MANGUM CHAPEL RD</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33202-1 MANGUM CHAPEL RD</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33202-1 MANGUM CHAPEL RD</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33202-1 MANGUM CHAPEL RD</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33202-1 MANGUM CHAPEL RD</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33202-1 MANGUM CHAPEL RD</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33202-1 MANGUM CHAPEL RD</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33202-1 MANGUM CHAPEL RD</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33202-1 MANGUM CHAPEL RD</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33202-1 MANGUM CHAPEL RD</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33202-1 MANGUM CHAPEL RD</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33202-1 MANGUM CHAPEL RD</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33202-1 MANGUM CHAPEL RD</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31975-1 N CORBIN RD</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31975-1 N CORBIN RD</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31975-1 N CORBIN RD</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31975-1 N CORBIN RD</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31975-1 N CORBIN RD</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31975-1 N CORBIN RD</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31975-1 N CORBIN RD</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31975-1 N CORBIN RD</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31975-1 N CORBIN RD</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31975-1 N CORBIN RD</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31975-1 N CORBIN RD</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31975-1 N CORBIN RD</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F 31133-1 CANE MARKET RD</v>
      </c>
      <c r="G345" t="str">
        <f>IF('Assignment Tool'!C345="","",IF('Assignment Tool'!C345="FST",'Assignment Tool'!D345,""))</f>
        <v>F 16325-1 VARNADO RD</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F 31133-1 CANE MARKET RD</v>
      </c>
      <c r="G346" t="str">
        <f>IF('Assignment Tool'!C346="","",IF('Assignment Tool'!C346="FST",'Assignment Tool'!D346,""))</f>
        <v>F 16000-1 VARNADO RD</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F 31133-1 CANE MARKET RD</v>
      </c>
      <c r="G347" t="str">
        <f>IF('Assignment Tool'!C347="","",IF('Assignment Tool'!C347="FST",'Assignment Tool'!D347,""))</f>
        <v>F 15739-1 VARNADO RD</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F 31133-1 CANE MARKET RD</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31145-1 CANE MARKET RD</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31145-1 CANE MARKET RD</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31153-1 CANE MARKET RD</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31153-1 CANE MARKET RD</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31153-1 CANE MARKET RD</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31153-1 CANE MARKET RD</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31157-1 CANE MARKET RD</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31157-1 CANE MARKET RD</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OPP 32481-1 MANGUM CHAPEL RD</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OPP 32525-1 MANGUM CHAPEL RD</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OPP 32561-1 MANGUM CHAPEL RD</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OPP 32627-1 MANGUM CHAPEL RD</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F 31390-1 CANE MARKET RD</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OPP 31393-1 CANE MARKET RD</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F 31412-1 CANE MARKET RD</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F 31430-1 CANE MARKET RD</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OPP 31495-1 CANE MARKET RD</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F 31530-1 CANE MARKET RD</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OPP 31553-1 CANE MARKET RD</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15850-1 VARNADO RD</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15810-1 VARNADO RD</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F 15700-1 VARNADO RD</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F 15670-1 VARNADO RD</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F 15550-1 VARNADO RD</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OPP 15510-1 VARNADO RD</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OPP 32700-1 BILL WILLIAMS RD</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32730-1 BILL WILLIAMS RD</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31584-1 CANE MARKET RD</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30078-1 CANE MARKET RD</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31718-1 CANE MARKET RD</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32808-1 BAUGHMAN RD</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OPP 32757-1 BAUGHMAN RD</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F 32940-1 BAUGHMAN RD</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OPP 31764-1 CANE MARKET RD</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OPP 31818-1 CANE MARKET RD</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F 31870-1 CANE MARKET RD</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F 31924-1 CANE MARKET RD</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F 31958-1 CANE MARKET RD</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F 32000-1 CANE MARKET RD</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F 32021-1 CANE MARKET RD</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F 32090-1 CANE MARKET RD</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OPP 32271-1 CANE MARKET RD</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F 32260-1 CANE MARKET RD</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Tool'!E758,""))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F 32416-1 MANGUM CHAPEL RD</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F 33182-1 MANGUM CHAPEL RD</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F 33202-1 MANGUM CHAPEL RD</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F 31975-1 N CORBIN RD</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Tool'!D882:D2916,0)))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F 31133-1 CANE MARKET RD</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F 31145-1 CANE MARKET RD</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F 31153-1 CANE MARKET RD</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F 31157-1 CANE MARKET RD</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Tool'!#REF!,""))</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Tool'!D882,""))</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5" activePane="bottomRight" state="frozen"/>
      <selection pane="topRight" activeCell="A9" sqref="A9"/>
      <selection pane="bottomLeft" activeCell="A9" sqref="A9"/>
      <selection pane="bottomRight" activeCell="M25" sqref="M25"/>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1"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2" t="s">
        <v>53</v>
      </c>
      <c r="AH1" s="252" t="s">
        <v>54</v>
      </c>
      <c r="AI1" s="252" t="s">
        <v>55</v>
      </c>
      <c r="AJ1" s="252" t="s">
        <v>56</v>
      </c>
      <c r="AK1" s="252" t="s">
        <v>57</v>
      </c>
      <c r="AL1" s="252" t="s">
        <v>58</v>
      </c>
      <c r="AM1" s="252" t="s">
        <v>59</v>
      </c>
      <c r="AN1" s="252" t="s">
        <v>60</v>
      </c>
      <c r="AO1" s="252" t="s">
        <v>61</v>
      </c>
      <c r="AP1" s="252"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v>1</v>
      </c>
      <c r="C14" s="4">
        <v>74</v>
      </c>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v>2</v>
      </c>
      <c r="C15" s="4">
        <v>60</v>
      </c>
      <c r="D15" s="4">
        <v>58</v>
      </c>
      <c r="E15" s="4"/>
      <c r="F15" s="4"/>
      <c r="G15" s="4"/>
      <c r="H15" s="4"/>
      <c r="I15" s="4"/>
      <c r="J15" s="4"/>
      <c r="K15" s="4"/>
      <c r="L15" s="4"/>
      <c r="M15" s="4"/>
      <c r="N15" s="4"/>
      <c r="O15" s="4"/>
      <c r="P15" s="4"/>
      <c r="Q15" s="4"/>
      <c r="R15" s="4"/>
      <c r="S15" s="4"/>
      <c r="T15" s="4"/>
      <c r="U15" s="4"/>
      <c r="V15" s="4"/>
      <c r="W15" s="4">
        <v>22</v>
      </c>
      <c r="X15" s="4"/>
      <c r="Y15" s="4"/>
      <c r="Z15" s="4"/>
      <c r="AA15" s="4"/>
      <c r="AB15" s="4"/>
      <c r="AC15" s="4"/>
      <c r="AD15" s="4"/>
      <c r="AE15" s="4"/>
      <c r="AF15" s="4"/>
      <c r="AG15" s="4"/>
      <c r="AH15" s="4"/>
      <c r="AI15" s="4"/>
      <c r="AJ15" s="4"/>
      <c r="AK15" s="4"/>
      <c r="AL15" s="4"/>
      <c r="AM15" s="4"/>
      <c r="AN15" s="4"/>
      <c r="AO15" s="4"/>
      <c r="AP15" s="4"/>
    </row>
    <row r="16" spans="1:42" x14ac:dyDescent="0.25">
      <c r="A16" s="6">
        <v>17</v>
      </c>
      <c r="B16" s="5">
        <v>1</v>
      </c>
      <c r="C16" s="4">
        <v>60</v>
      </c>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v>2</v>
      </c>
      <c r="C17" s="4">
        <v>58</v>
      </c>
      <c r="D17" s="4">
        <v>60</v>
      </c>
      <c r="E17" s="4"/>
      <c r="F17" s="4"/>
      <c r="G17" s="4"/>
      <c r="H17" s="4"/>
      <c r="I17" s="4"/>
      <c r="J17" s="4"/>
      <c r="K17" s="4"/>
      <c r="L17" s="4"/>
      <c r="M17" s="4"/>
      <c r="N17" s="4"/>
      <c r="O17" s="4"/>
      <c r="P17" s="4"/>
      <c r="Q17" s="4"/>
      <c r="R17" s="4"/>
      <c r="S17" s="4"/>
      <c r="T17" s="4"/>
      <c r="U17" s="4"/>
      <c r="V17" s="4"/>
      <c r="W17" s="4">
        <v>52</v>
      </c>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v>3</v>
      </c>
      <c r="C19" s="4">
        <v>38</v>
      </c>
      <c r="D19" s="4">
        <v>140</v>
      </c>
      <c r="E19" s="4"/>
      <c r="F19" s="4"/>
      <c r="G19" s="4"/>
      <c r="H19" s="4"/>
      <c r="I19" s="4"/>
      <c r="J19" s="4"/>
      <c r="K19" s="4"/>
      <c r="L19" s="4"/>
      <c r="M19" s="4"/>
      <c r="N19" s="4"/>
      <c r="O19" s="4"/>
      <c r="P19" s="4"/>
      <c r="Q19" s="4"/>
      <c r="R19" s="4"/>
      <c r="S19" s="4"/>
      <c r="T19" s="4"/>
      <c r="U19" s="4"/>
      <c r="V19" s="4"/>
      <c r="W19" s="4">
        <v>202</v>
      </c>
      <c r="X19" s="4"/>
      <c r="Y19" s="4"/>
      <c r="Z19" s="4"/>
      <c r="AA19" s="4"/>
      <c r="AB19" s="4"/>
      <c r="AC19" s="4"/>
      <c r="AD19" s="4"/>
      <c r="AE19" s="4"/>
      <c r="AF19" s="4"/>
      <c r="AG19" s="4"/>
      <c r="AH19" s="4"/>
      <c r="AI19" s="4"/>
      <c r="AJ19" s="4"/>
      <c r="AK19" s="4"/>
      <c r="AL19" s="4"/>
      <c r="AM19" s="4"/>
      <c r="AN19" s="4"/>
      <c r="AO19" s="4"/>
      <c r="AP19" s="4"/>
    </row>
    <row r="20" spans="1:42" x14ac:dyDescent="0.25">
      <c r="A20" s="6">
        <v>21</v>
      </c>
      <c r="B20" s="5">
        <v>1</v>
      </c>
      <c r="C20" s="4">
        <v>38</v>
      </c>
      <c r="D20" s="4"/>
      <c r="E20" s="4"/>
      <c r="F20" s="4"/>
      <c r="G20" s="4"/>
      <c r="H20" s="4"/>
      <c r="I20" s="4"/>
      <c r="J20" s="4"/>
      <c r="K20" s="4"/>
      <c r="L20" s="4"/>
      <c r="M20" s="4"/>
      <c r="N20" s="4"/>
      <c r="O20" s="4"/>
      <c r="P20" s="4"/>
      <c r="Q20" s="4"/>
      <c r="R20" s="4"/>
      <c r="S20" s="4"/>
      <c r="T20" s="4"/>
      <c r="U20" s="4"/>
      <c r="V20" s="4"/>
      <c r="W20" s="4">
        <v>22</v>
      </c>
      <c r="X20" s="4"/>
      <c r="Y20" s="4"/>
      <c r="Z20" s="4"/>
      <c r="AA20" s="4"/>
      <c r="AB20" s="4"/>
      <c r="AC20" s="4"/>
      <c r="AD20" s="4"/>
      <c r="AE20" s="4"/>
      <c r="AF20" s="4"/>
      <c r="AG20" s="4"/>
      <c r="AH20" s="4"/>
      <c r="AI20" s="4"/>
      <c r="AJ20" s="4"/>
      <c r="AK20" s="4"/>
      <c r="AL20" s="4"/>
      <c r="AM20" s="4"/>
      <c r="AN20" s="4"/>
      <c r="AO20" s="4"/>
      <c r="AP20" s="4"/>
    </row>
    <row r="21" spans="1:42" x14ac:dyDescent="0.25">
      <c r="A21" s="6">
        <v>22</v>
      </c>
      <c r="B21" s="5">
        <v>3</v>
      </c>
      <c r="C21" s="4">
        <v>38</v>
      </c>
      <c r="D21" s="4">
        <v>38</v>
      </c>
      <c r="E21" s="4">
        <v>38</v>
      </c>
      <c r="F21" s="4"/>
      <c r="G21" s="4"/>
      <c r="H21" s="4"/>
      <c r="I21" s="4"/>
      <c r="J21" s="4"/>
      <c r="K21" s="4"/>
      <c r="L21" s="4"/>
      <c r="M21" s="4"/>
      <c r="N21" s="4"/>
      <c r="O21" s="4"/>
      <c r="P21" s="4"/>
      <c r="Q21" s="4"/>
      <c r="R21" s="4"/>
      <c r="S21" s="4"/>
      <c r="T21" s="4"/>
      <c r="U21" s="4"/>
      <c r="V21" s="4"/>
      <c r="W21" s="4">
        <v>25</v>
      </c>
      <c r="X21" s="4">
        <v>54</v>
      </c>
      <c r="Y21" s="4">
        <v>42</v>
      </c>
      <c r="Z21" s="4"/>
      <c r="AA21" s="4"/>
      <c r="AB21" s="4"/>
      <c r="AC21" s="4"/>
      <c r="AD21" s="4"/>
      <c r="AE21" s="4"/>
      <c r="AF21" s="4"/>
      <c r="AG21" s="4"/>
      <c r="AH21" s="4"/>
      <c r="AI21" s="4"/>
      <c r="AJ21" s="4"/>
      <c r="AK21" s="4"/>
      <c r="AL21" s="4"/>
      <c r="AM21" s="4"/>
      <c r="AN21" s="4"/>
      <c r="AO21" s="4"/>
      <c r="AP21" s="4"/>
    </row>
    <row r="22" spans="1:42" x14ac:dyDescent="0.25">
      <c r="A22" s="6">
        <v>23</v>
      </c>
      <c r="B22" s="5">
        <v>3</v>
      </c>
      <c r="C22" s="4">
        <v>58</v>
      </c>
      <c r="D22" s="4">
        <v>58</v>
      </c>
      <c r="E22" s="4">
        <v>58</v>
      </c>
      <c r="F22" s="4"/>
      <c r="G22" s="4"/>
      <c r="H22" s="4"/>
      <c r="I22" s="4"/>
      <c r="J22" s="4"/>
      <c r="K22" s="4"/>
      <c r="L22" s="4"/>
      <c r="M22" s="4"/>
      <c r="N22" s="4"/>
      <c r="O22" s="4"/>
      <c r="P22" s="4"/>
      <c r="Q22" s="4"/>
      <c r="R22" s="4"/>
      <c r="S22" s="4"/>
      <c r="T22" s="4"/>
      <c r="U22" s="4"/>
      <c r="V22" s="4"/>
      <c r="W22" s="4">
        <v>42</v>
      </c>
      <c r="X22" s="4">
        <v>187</v>
      </c>
      <c r="Y22" s="4">
        <v>137</v>
      </c>
      <c r="Z22" s="4"/>
      <c r="AA22" s="4"/>
      <c r="AB22" s="4"/>
      <c r="AC22" s="4"/>
      <c r="AD22" s="4"/>
      <c r="AE22" s="4"/>
      <c r="AF22" s="4"/>
      <c r="AG22" s="4"/>
      <c r="AH22" s="4"/>
      <c r="AI22" s="4"/>
      <c r="AJ22" s="4"/>
      <c r="AK22" s="4"/>
      <c r="AL22" s="4"/>
      <c r="AM22" s="4"/>
      <c r="AN22" s="4"/>
      <c r="AO22" s="4"/>
      <c r="AP22" s="4"/>
    </row>
    <row r="23" spans="1:42" x14ac:dyDescent="0.25">
      <c r="A23" s="6">
        <v>24</v>
      </c>
      <c r="B23" s="5">
        <v>1</v>
      </c>
      <c r="C23" s="4">
        <v>58</v>
      </c>
      <c r="D23" s="4"/>
      <c r="E23" s="4"/>
      <c r="F23" s="4"/>
      <c r="G23" s="4"/>
      <c r="H23" s="4"/>
      <c r="I23" s="4"/>
      <c r="J23" s="4"/>
      <c r="K23" s="4"/>
      <c r="L23" s="4"/>
      <c r="M23" s="4"/>
      <c r="N23" s="4"/>
      <c r="O23" s="4"/>
      <c r="P23" s="4"/>
      <c r="Q23" s="4"/>
      <c r="R23" s="4"/>
      <c r="S23" s="4"/>
      <c r="T23" s="4"/>
      <c r="U23" s="4"/>
      <c r="V23" s="4"/>
      <c r="W23" s="4">
        <v>94</v>
      </c>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v>2</v>
      </c>
      <c r="C26" s="4">
        <v>38</v>
      </c>
      <c r="D26" s="4">
        <v>60</v>
      </c>
      <c r="E26" s="4"/>
      <c r="F26" s="4"/>
      <c r="G26" s="4"/>
      <c r="H26" s="4"/>
      <c r="I26" s="4"/>
      <c r="J26" s="4"/>
      <c r="K26" s="4"/>
      <c r="L26" s="4"/>
      <c r="M26" s="4"/>
      <c r="N26" s="4"/>
      <c r="O26" s="4"/>
      <c r="P26" s="4"/>
      <c r="Q26" s="4"/>
      <c r="R26" s="4"/>
      <c r="S26" s="4"/>
      <c r="T26" s="4"/>
      <c r="U26" s="4"/>
      <c r="V26" s="4"/>
      <c r="W26" s="4">
        <v>24</v>
      </c>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v>2</v>
      </c>
      <c r="C31" s="4">
        <v>56</v>
      </c>
      <c r="D31" s="4">
        <v>148</v>
      </c>
      <c r="E31" s="4"/>
      <c r="F31" s="4"/>
      <c r="G31" s="4"/>
      <c r="H31" s="4"/>
      <c r="I31" s="4"/>
      <c r="J31" s="4"/>
      <c r="K31" s="4"/>
      <c r="L31" s="4"/>
      <c r="M31" s="4"/>
      <c r="N31" s="4"/>
      <c r="O31" s="4"/>
      <c r="P31" s="4"/>
      <c r="Q31" s="4"/>
      <c r="R31" s="4"/>
      <c r="S31" s="4"/>
      <c r="T31" s="4"/>
      <c r="U31" s="4"/>
      <c r="V31" s="4"/>
      <c r="W31" s="4">
        <v>27</v>
      </c>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2" t="s">
        <v>63</v>
      </c>
      <c r="C2" s="262"/>
      <c r="D2" s="262"/>
      <c r="E2" s="129"/>
      <c r="F2" s="129"/>
      <c r="G2" s="270" t="s">
        <v>64</v>
      </c>
      <c r="H2" s="270"/>
      <c r="I2" s="270"/>
      <c r="J2" s="130"/>
      <c r="K2" s="131"/>
      <c r="L2" s="270" t="s">
        <v>65</v>
      </c>
      <c r="M2" s="270"/>
      <c r="N2" s="270"/>
      <c r="O2" s="130"/>
      <c r="P2" s="131"/>
      <c r="Q2" s="270" t="s">
        <v>66</v>
      </c>
      <c r="R2" s="270"/>
      <c r="S2" s="270"/>
      <c r="T2" s="130"/>
      <c r="U2" s="131"/>
      <c r="V2" s="270" t="s">
        <v>67</v>
      </c>
      <c r="W2" s="270"/>
      <c r="X2" s="270"/>
      <c r="Y2" s="130"/>
      <c r="Z2" s="131"/>
      <c r="AA2" s="270" t="s">
        <v>68</v>
      </c>
      <c r="AB2" s="270"/>
      <c r="AC2" s="270"/>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3" t="s">
        <v>69</v>
      </c>
      <c r="C3" s="263"/>
      <c r="D3" s="143">
        <f>SUM('8645C Innerduct'!C2:AF499)</f>
        <v>2164</v>
      </c>
      <c r="E3" s="129"/>
      <c r="F3" s="129"/>
      <c r="G3" s="265" t="s">
        <v>70</v>
      </c>
      <c r="H3" s="266"/>
      <c r="I3" s="137" t="str">
        <f>IFERROR(IF(AND(#REF!="Y",#REF!="N"),I4,IF(AND(I4&gt;0,End_Sections!B2="B"),IF(#REF!&lt;1000,I4+10,I4+20),I4)),"")</f>
        <v/>
      </c>
      <c r="J3" s="130"/>
      <c r="K3" s="131"/>
      <c r="L3" s="265" t="s">
        <v>70</v>
      </c>
      <c r="M3" s="266"/>
      <c r="N3" s="137" t="str">
        <f>IFERROR(IF(AND(#REF!="Y",#REF!="N"),N4,IF(AND(N4&gt;0,End_Sections!C2="B"),IF(#REF!&lt;1000,N4+10,N4+20),N4)),"")</f>
        <v/>
      </c>
      <c r="O3" s="130"/>
      <c r="P3" s="131"/>
      <c r="Q3" s="265" t="s">
        <v>70</v>
      </c>
      <c r="R3" s="266"/>
      <c r="S3" s="137" t="str">
        <f>IFERROR(IF(AND(#REF!="Y",#REF!="N"),S4,IF(AND(S4&gt;0,End_Sections!D2="B"),IF(#REF!&lt;1000,S4+10,S4+20),S4)),"")</f>
        <v/>
      </c>
      <c r="T3" s="130"/>
      <c r="U3" s="131"/>
      <c r="V3" s="265" t="s">
        <v>70</v>
      </c>
      <c r="W3" s="266"/>
      <c r="X3" s="137" t="str">
        <f>IFERROR(IF(AND(#REF!="Y",#REF!="N"),X4,IF(AND(X4&gt;0,End_Sections!E2="B"),IF(#REF!&lt;1000,X4+10,X4+20),X4)),"")</f>
        <v/>
      </c>
      <c r="Y3" s="130"/>
      <c r="Z3" s="131"/>
      <c r="AA3" s="265" t="s">
        <v>70</v>
      </c>
      <c r="AB3" s="266"/>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3" t="s">
        <v>71</v>
      </c>
      <c r="C4" s="263"/>
      <c r="D4" s="143">
        <f>D3-(COUNTA('8645C Innerduct'!C2:V499)*4)</f>
        <v>2084</v>
      </c>
      <c r="E4" s="129"/>
      <c r="F4" s="129"/>
      <c r="G4" s="265" t="s">
        <v>72</v>
      </c>
      <c r="H4" s="266"/>
      <c r="I4" s="137" t="str">
        <f>IFERROR(IF(#REF!="","",IF(Aerial!D2="",#REF!,#REF!-(SUM(Aerial!D2,Aerial!D3,End_Sections!B4,End_Sections!B9)))),"")</f>
        <v/>
      </c>
      <c r="J4" s="130"/>
      <c r="K4" s="131"/>
      <c r="L4" s="265" t="s">
        <v>72</v>
      </c>
      <c r="M4" s="266"/>
      <c r="N4" s="137" t="str">
        <f>IFERROR(IF(#REF!="","",IF(Aerial!H2="",#REF!,#REF!-(SUM(Aerial!H2,Aerial!H3,End_Sections!C4,End_Sections!C9)))),"")</f>
        <v/>
      </c>
      <c r="O4" s="130"/>
      <c r="P4" s="131"/>
      <c r="Q4" s="265" t="s">
        <v>72</v>
      </c>
      <c r="R4" s="266"/>
      <c r="S4" s="137" t="str">
        <f>IFERROR(IF(#REF!="","",IF(Aerial!L2="",#REF!,#REF!-(SUM(Aerial!L2,Aerial!L3,End_Sections!D4,End_Sections!D9)))),"")</f>
        <v/>
      </c>
      <c r="T4" s="130"/>
      <c r="U4" s="131"/>
      <c r="V4" s="265" t="s">
        <v>72</v>
      </c>
      <c r="W4" s="266"/>
      <c r="X4" s="137" t="str">
        <f>IFERROR(IF(#REF!="","",IF(Aerial!P2="",#REF!,#REF!-(SUM(Aerial!P2,Aerial!P3,End_Sections!E4,End_Sections!E9)))),"")</f>
        <v/>
      </c>
      <c r="Y4" s="130"/>
      <c r="Z4" s="131"/>
      <c r="AA4" s="265" t="s">
        <v>72</v>
      </c>
      <c r="AB4" s="266"/>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3" t="s">
        <v>73</v>
      </c>
      <c r="C5" s="263"/>
      <c r="D5" s="143">
        <f>SUM('8645C Innerduct'!W2:AF499)</f>
        <v>930</v>
      </c>
      <c r="E5" s="129"/>
      <c r="F5" s="129"/>
      <c r="G5" s="265" t="s">
        <v>71</v>
      </c>
      <c r="H5" s="267"/>
      <c r="I5" s="137" t="str">
        <f>IFERROR(IF(#REF!="","",I4-(SUM(#REF!))-(SUM(End_Sections!B3,End_Sections!B8))),"")</f>
        <v/>
      </c>
      <c r="J5" s="130"/>
      <c r="K5" s="131"/>
      <c r="L5" s="265" t="s">
        <v>71</v>
      </c>
      <c r="M5" s="267"/>
      <c r="N5" s="137" t="str">
        <f>IFERROR(IF(#REF!="","",N4-(SUM(#REF!))-(SUM(End_Sections!C3,End_Sections!C8))),"")</f>
        <v/>
      </c>
      <c r="O5" s="130"/>
      <c r="P5" s="131"/>
      <c r="Q5" s="265" t="s">
        <v>71</v>
      </c>
      <c r="R5" s="267"/>
      <c r="S5" s="137" t="str">
        <f>IFERROR(IF(#REF!="","",S4-(SUM(#REF!))-(SUM(End_Sections!D3,End_Sections!D8))),"")</f>
        <v/>
      </c>
      <c r="T5" s="130"/>
      <c r="U5" s="131"/>
      <c r="V5" s="265" t="s">
        <v>71</v>
      </c>
      <c r="W5" s="267"/>
      <c r="X5" s="137" t="str">
        <f>IFERROR(IF(#REF!="","",X4-(SUM(#REF!))-(SUM(End_Sections!E3,End_Sections!E8))),"")</f>
        <v/>
      </c>
      <c r="Y5" s="130"/>
      <c r="Z5" s="131"/>
      <c r="AA5" s="265" t="s">
        <v>71</v>
      </c>
      <c r="AB5" s="267"/>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3" t="s">
        <v>74</v>
      </c>
      <c r="C6" s="263"/>
      <c r="D6" s="143">
        <f>SUM('8645C Innerduct'!AG2:AP499)</f>
        <v>0</v>
      </c>
      <c r="E6" s="129"/>
      <c r="F6" s="129"/>
      <c r="G6" s="265" t="s">
        <v>75</v>
      </c>
      <c r="H6" s="267"/>
      <c r="I6" s="137" t="str">
        <f>IFERROR(IF(AND(#REF!="Y",#REF!="N"),J6,IF(End_Sections!B2="A",IF(#REF!&lt;1000,J6+10,J6+20),J6)),"")</f>
        <v/>
      </c>
      <c r="J6" s="138" t="e">
        <f>IF(K6=0,"",K6)</f>
        <v>#REF!</v>
      </c>
      <c r="K6" s="131" t="e">
        <f>IF(I$4=0,#REF!,IF(Aerial!D3="",SUM(Aerial!D2,End_Sections!B4,End_Sections!B9),Aerial!D2))</f>
        <v>#REF!</v>
      </c>
      <c r="L6" s="265" t="s">
        <v>75</v>
      </c>
      <c r="M6" s="267"/>
      <c r="N6" s="137" t="str">
        <f>IFERROR(IF(AND(#REF!="Y",#REF!="N"),O6,IF(End_Sections!C2="A",IF(#REF!&lt;1000,O6+10,O6+20),O6)),"")</f>
        <v/>
      </c>
      <c r="O6" s="138" t="e">
        <f>IF(P6=0,"",P6)</f>
        <v>#REF!</v>
      </c>
      <c r="P6" s="131" t="e">
        <f>IF(N$4=0,#REF!,IF(Aerial!H3="",SUM(Aerial!H2,End_Sections!C4,End_Sections!C9),Aerial!H2))</f>
        <v>#REF!</v>
      </c>
      <c r="Q6" s="265" t="s">
        <v>75</v>
      </c>
      <c r="R6" s="267"/>
      <c r="S6" s="137" t="str">
        <f>IFERROR(IF(AND(#REF!="Y",#REF!="N"),T6,IF(End_Sections!D2="A",IF(#REF!&lt;1000,T6+10,T6+20),T6)),"")</f>
        <v/>
      </c>
      <c r="T6" s="138" t="e">
        <f>IF(U6=0,"",U6)</f>
        <v>#REF!</v>
      </c>
      <c r="U6" s="131" t="e">
        <f>IF(S$4=0,#REF!,IF(Aerial!L3="",SUM(Aerial!L2,End_Sections!D4,End_Sections!D9),Aerial!L2))</f>
        <v>#REF!</v>
      </c>
      <c r="V6" s="265" t="s">
        <v>75</v>
      </c>
      <c r="W6" s="267"/>
      <c r="X6" s="137" t="str">
        <f>IFERROR(IF(AND(#REF!="Y",#REF!="N"),Y6,IF(End_Sections!E2="A",IF(#REF!&lt;1000,Y6+10,Y6+20),Y6)),"")</f>
        <v/>
      </c>
      <c r="Y6" s="138" t="e">
        <f>IF(Z6=0,"",Z6)</f>
        <v>#REF!</v>
      </c>
      <c r="Z6" s="131" t="e">
        <f>IF(X$4=0,#REF!,IF(Aerial!P3="",SUM(Aerial!P2,End_Sections!E4,End_Sections!E9),Aerial!P2))</f>
        <v>#REF!</v>
      </c>
      <c r="AA6" s="265" t="s">
        <v>75</v>
      </c>
      <c r="AB6" s="267"/>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3" t="s">
        <v>76</v>
      </c>
      <c r="C7" s="263"/>
      <c r="D7" s="144">
        <f>SUM('8645C Innerduct'!B:B)</f>
        <v>21</v>
      </c>
      <c r="E7" s="129"/>
      <c r="F7" s="129"/>
      <c r="G7" s="265" t="s">
        <v>77</v>
      </c>
      <c r="H7" s="267"/>
      <c r="I7" s="137" t="e">
        <f>J7</f>
        <v>#REF!</v>
      </c>
      <c r="J7" s="138" t="e">
        <f>IF(K7="","",K7)</f>
        <v>#REF!</v>
      </c>
      <c r="K7" s="131" t="e">
        <f>IF(J6="","",IF(Aerial!D3="","",SUM(Aerial!D3,End_Sections!B9)))</f>
        <v>#REF!</v>
      </c>
      <c r="L7" s="265" t="s">
        <v>77</v>
      </c>
      <c r="M7" s="267"/>
      <c r="N7" s="137" t="e">
        <f>O7</f>
        <v>#REF!</v>
      </c>
      <c r="O7" s="138" t="e">
        <f>IF(P7="","",P7)</f>
        <v>#REF!</v>
      </c>
      <c r="P7" s="131" t="e">
        <f>IF(O6="","",IF(Aerial!H3="","",SUM(Aerial!H3,End_Sections!C9)))</f>
        <v>#REF!</v>
      </c>
      <c r="Q7" s="265" t="s">
        <v>77</v>
      </c>
      <c r="R7" s="267"/>
      <c r="S7" s="137" t="e">
        <f>T7</f>
        <v>#REF!</v>
      </c>
      <c r="T7" s="138" t="e">
        <f>IF(U7="","",U7)</f>
        <v>#REF!</v>
      </c>
      <c r="U7" s="131" t="e">
        <f>IF(T6="","",IF(Aerial!L3="","",SUM(Aerial!L3,End_Sections!D9)))</f>
        <v>#REF!</v>
      </c>
      <c r="V7" s="265" t="s">
        <v>77</v>
      </c>
      <c r="W7" s="267"/>
      <c r="X7" s="137" t="e">
        <f>Y7</f>
        <v>#REF!</v>
      </c>
      <c r="Y7" s="138" t="e">
        <f>IF(Z7="","",Z7)</f>
        <v>#REF!</v>
      </c>
      <c r="Z7" s="131" t="e">
        <f>IF(Y6="","",IF(Aerial!P3="","",SUM(Aerial!P3,End_Sections!E9)))</f>
        <v>#REF!</v>
      </c>
      <c r="AA7" s="265" t="s">
        <v>77</v>
      </c>
      <c r="AB7" s="267"/>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8"/>
      <c r="H8" s="268"/>
      <c r="I8" s="132"/>
      <c r="J8" s="133"/>
      <c r="K8" s="131" t="e">
        <f>K7</f>
        <v>#REF!</v>
      </c>
      <c r="L8" s="268"/>
      <c r="M8" s="268"/>
      <c r="N8" s="132"/>
      <c r="O8" s="133"/>
      <c r="P8" s="131"/>
      <c r="Q8" s="268"/>
      <c r="R8" s="268"/>
      <c r="S8" s="132"/>
      <c r="T8" s="133"/>
      <c r="U8" s="131"/>
      <c r="V8" s="268"/>
      <c r="W8" s="268"/>
      <c r="X8" s="132"/>
      <c r="Y8" s="133"/>
      <c r="Z8" s="131"/>
      <c r="AA8" s="268"/>
      <c r="AB8" s="268"/>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8"/>
      <c r="H9" s="268"/>
      <c r="I9" s="132"/>
      <c r="J9" s="133"/>
      <c r="K9" s="131"/>
      <c r="L9" s="268"/>
      <c r="M9" s="268"/>
      <c r="N9" s="132"/>
      <c r="O9" s="133"/>
      <c r="P9" s="131"/>
      <c r="Q9" s="268"/>
      <c r="R9" s="268"/>
      <c r="S9" s="132"/>
      <c r="T9" s="133"/>
      <c r="U9" s="131"/>
      <c r="V9" s="268"/>
      <c r="W9" s="268"/>
      <c r="X9" s="132"/>
      <c r="Y9" s="133"/>
      <c r="Z9" s="131"/>
      <c r="AA9" s="268"/>
      <c r="AB9" s="268"/>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70" t="s">
        <v>78</v>
      </c>
      <c r="H10" s="270"/>
      <c r="I10" s="270"/>
      <c r="J10" s="130"/>
      <c r="K10" s="131"/>
      <c r="L10" s="270" t="s">
        <v>79</v>
      </c>
      <c r="M10" s="270"/>
      <c r="N10" s="270"/>
      <c r="O10" s="130"/>
      <c r="P10" s="131"/>
      <c r="Q10" s="270" t="s">
        <v>80</v>
      </c>
      <c r="R10" s="270"/>
      <c r="S10" s="270"/>
      <c r="T10" s="130"/>
      <c r="U10" s="131"/>
      <c r="V10" s="270" t="s">
        <v>81</v>
      </c>
      <c r="W10" s="270"/>
      <c r="X10" s="270"/>
      <c r="Y10" s="130"/>
      <c r="Z10" s="131"/>
      <c r="AA10" s="270" t="s">
        <v>82</v>
      </c>
      <c r="AB10" s="270"/>
      <c r="AC10" s="270"/>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2" t="s">
        <v>83</v>
      </c>
      <c r="C11" s="262"/>
      <c r="D11" s="262"/>
      <c r="E11" s="129"/>
      <c r="F11" s="129"/>
      <c r="G11" s="265" t="s">
        <v>70</v>
      </c>
      <c r="H11" s="266"/>
      <c r="I11" s="137" t="str">
        <f>IFERROR(IF(AND(#REF!="Y",#REF!="N"),I12,IF(AND(I12&gt;0,End_Sections!G2="B"),IF(#REF!&lt;1000,I12+10,I12+20),I12)),"")</f>
        <v/>
      </c>
      <c r="J11" s="130"/>
      <c r="K11" s="131"/>
      <c r="L11" s="265" t="s">
        <v>70</v>
      </c>
      <c r="M11" s="266"/>
      <c r="N11" s="137" t="str">
        <f>IFERROR(IF(AND(#REF!="Y",#REF!="N"),N12,IF(AND(N12&gt;0,End_Sections!H2="B"),IF(#REF!&lt;1000,N12+10,N12+20),N12)),"")</f>
        <v/>
      </c>
      <c r="O11" s="130"/>
      <c r="P11" s="131"/>
      <c r="Q11" s="265" t="s">
        <v>70</v>
      </c>
      <c r="R11" s="266"/>
      <c r="S11" s="137" t="str">
        <f>IFERROR(IF(AND(#REF!="Y",#REF!="N"),S12,IF(AND(S12&gt;0,End_Sections!I2="B"),IF(#REF!&lt;1000,S12+10,S12+20),S12)),"")</f>
        <v/>
      </c>
      <c r="T11" s="130"/>
      <c r="U11" s="131"/>
      <c r="V11" s="265" t="s">
        <v>70</v>
      </c>
      <c r="W11" s="266"/>
      <c r="X11" s="137" t="str">
        <f>IFERROR(IF(AND(#REF!="Y",#REF!="N"),X12,IF(AND(X12&gt;0,End_Sections!J2="B"),IF(#REF!&lt;1000,X12+10,X12+20),X12)),"")</f>
        <v/>
      </c>
      <c r="Y11" s="130"/>
      <c r="Z11" s="131"/>
      <c r="AA11" s="265" t="s">
        <v>70</v>
      </c>
      <c r="AB11" s="266"/>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1" t="s">
        <v>84</v>
      </c>
      <c r="C12" s="271"/>
      <c r="D12" s="144">
        <f>Data!E2</f>
        <v>47</v>
      </c>
      <c r="E12" s="129"/>
      <c r="F12" s="129"/>
      <c r="G12" s="265" t="s">
        <v>72</v>
      </c>
      <c r="H12" s="266"/>
      <c r="I12" s="137" t="str">
        <f>IFERROR(IF(#REF!="","",IF(Aerial!X2="",#REF!,#REF!-(SUM(Aerial!X2,Aerial!X3,,End_Sections!G4,End_Sections!G9)))),"")</f>
        <v/>
      </c>
      <c r="J12" s="130"/>
      <c r="K12" s="131"/>
      <c r="L12" s="265" t="s">
        <v>72</v>
      </c>
      <c r="M12" s="266"/>
      <c r="N12" s="137" t="str">
        <f>IFERROR(IF(#REF!="","",IF(Aerial!AB2="",#REF!,#REF!-(SUM(Aerial!AB2,Aerial!AB3,End_Sections!H4,End_Sections!H9)))),"")</f>
        <v/>
      </c>
      <c r="O12" s="130"/>
      <c r="P12" s="131"/>
      <c r="Q12" s="265" t="s">
        <v>72</v>
      </c>
      <c r="R12" s="266"/>
      <c r="S12" s="137" t="str">
        <f>IFERROR(IF(#REF!="","",IF(Aerial!AF2="",#REF!,#REF!-(SUM(Aerial!AF2,Aerial!AF3,End_Sections!I4,End_Sections!I9)))),"")</f>
        <v/>
      </c>
      <c r="T12" s="130"/>
      <c r="U12" s="131"/>
      <c r="V12" s="265" t="s">
        <v>72</v>
      </c>
      <c r="W12" s="266"/>
      <c r="X12" s="137" t="str">
        <f>IFERROR(IF(#REF!="","",IF(Aerial!AJ2="",#REF!,#REF!-(SUM(Aerial!AJ2,Aerial!AJ3,End_Sections!J4,End_Sections!J9)))),"")</f>
        <v/>
      </c>
      <c r="Y12" s="130"/>
      <c r="Z12" s="131"/>
      <c r="AA12" s="265" t="s">
        <v>72</v>
      </c>
      <c r="AB12" s="266"/>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1" t="s">
        <v>85</v>
      </c>
      <c r="C13" s="271"/>
      <c r="D13" s="144">
        <f>Data!E3</f>
        <v>0</v>
      </c>
      <c r="E13" s="129"/>
      <c r="F13" s="129"/>
      <c r="G13" s="265" t="s">
        <v>71</v>
      </c>
      <c r="H13" s="267"/>
      <c r="I13" s="137" t="str">
        <f>IFERROR(IF(#REF!="","",I12-(SUM(#REF!))-(SUM(End_Sections!G3,End_Sections!G8))),"")</f>
        <v/>
      </c>
      <c r="J13" s="130"/>
      <c r="K13" s="131"/>
      <c r="L13" s="265" t="s">
        <v>71</v>
      </c>
      <c r="M13" s="267"/>
      <c r="N13" s="137" t="str">
        <f>IFERROR(IF(#REF!="","",N12-(SUM(#REF!))-(SUM(End_Sections!H3,End_Sections!H8))),"")</f>
        <v/>
      </c>
      <c r="O13" s="130"/>
      <c r="P13" s="131"/>
      <c r="Q13" s="265" t="s">
        <v>71</v>
      </c>
      <c r="R13" s="267"/>
      <c r="S13" s="137" t="str">
        <f>IFERROR(IF(#REF!="","",S12-(SUM(#REF!))-(SUM(End_Sections!I3,End_Sections!I8))),"")</f>
        <v/>
      </c>
      <c r="T13" s="130"/>
      <c r="U13" s="131"/>
      <c r="V13" s="265" t="s">
        <v>71</v>
      </c>
      <c r="W13" s="267"/>
      <c r="X13" s="137" t="str">
        <f>IFERROR(IF(#REF!="","",X12-(SUM(#REF!))-(SUM(End_Sections!J3,End_Sections!J8))),"")</f>
        <v/>
      </c>
      <c r="Y13" s="130"/>
      <c r="Z13" s="131"/>
      <c r="AA13" s="265" t="s">
        <v>71</v>
      </c>
      <c r="AB13" s="267"/>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1" t="s">
        <v>86</v>
      </c>
      <c r="C14" s="271"/>
      <c r="D14" s="144">
        <f>Data!E4</f>
        <v>18</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1" t="s">
        <v>87</v>
      </c>
      <c r="C15" s="271"/>
      <c r="D15" s="144">
        <f>Data!E5</f>
        <v>3</v>
      </c>
      <c r="E15" s="129"/>
      <c r="F15" s="129"/>
      <c r="G15" s="265" t="s">
        <v>75</v>
      </c>
      <c r="H15" s="267"/>
      <c r="I15" s="137" t="str">
        <f>IFERROR(IF(AND(#REF!="Y",#REF!="N"),J15,IF(End_Sections!G2="A",IF(#REF!&lt;1000,J15+10,J15+20),J15)),"")</f>
        <v/>
      </c>
      <c r="J15" s="138" t="e">
        <f>IF(K15=0,"",K15)</f>
        <v>#REF!</v>
      </c>
      <c r="K15" s="131" t="e">
        <f>IF(I$12=0,#REF!,IF(Aerial!X3="",SUM(Aerial!X2,End_Sections!G4,End_Sections!G9),Aerial!X2))</f>
        <v>#REF!</v>
      </c>
      <c r="L15" s="265" t="s">
        <v>75</v>
      </c>
      <c r="M15" s="267"/>
      <c r="N15" s="137" t="str">
        <f>IFERROR(IF(AND(#REF!="Y",#REF!="N"),O15,IF(End_Sections!H2="A",IF(#REF!&lt;1000,O15+10,O15+20),O15)),"")</f>
        <v/>
      </c>
      <c r="O15" s="138" t="e">
        <f>IF(P15=0,"",P15)</f>
        <v>#REF!</v>
      </c>
      <c r="P15" s="131" t="e">
        <f>IF(N$12=0,#REF!,IF(Aerial!AB3="",SUM(Aerial!AB2,End_Sections!H4,End_Sections!H9),Aerial!AB2))</f>
        <v>#REF!</v>
      </c>
      <c r="Q15" s="265" t="s">
        <v>75</v>
      </c>
      <c r="R15" s="267"/>
      <c r="S15" s="137" t="str">
        <f>IFERROR(IF(AND(#REF!="Y",#REF!="N"),T15,IF(End_Sections!I2="A",IF(#REF!&lt;1000,T15+10,T15+20),T15)),"")</f>
        <v/>
      </c>
      <c r="T15" s="138" t="e">
        <f>IF(U15=0,"",U15)</f>
        <v>#REF!</v>
      </c>
      <c r="U15" s="131" t="e">
        <f>IF(S$12=0,#REF!,IF(Aerial!AF3="",SUM(Aerial!AF2,End_Sections!I4,End_Sections!I9),Aerial!AF2))</f>
        <v>#REF!</v>
      </c>
      <c r="V15" s="265" t="s">
        <v>75</v>
      </c>
      <c r="W15" s="267"/>
      <c r="X15" s="137" t="str">
        <f>IFERROR(IF(AND(#REF!="Y",#REF!="N"),Y15,IF(End_Sections!J2="A",IF(#REF!&lt;1000,Y15+10,Y15+20),Y15)),"")</f>
        <v/>
      </c>
      <c r="Y15" s="138" t="e">
        <f>IF(Z15=0,"",Z15)</f>
        <v>#REF!</v>
      </c>
      <c r="Z15" s="131" t="e">
        <f>IF(X$12=0,#REF!,IF(Aerial!AJ3="",SUM(Aerial!AJ2,End_Sections!J4,End_Sections!J9),Aerial!AJ2))</f>
        <v>#REF!</v>
      </c>
      <c r="AA15" s="265" t="s">
        <v>75</v>
      </c>
      <c r="AB15" s="267"/>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5" t="s">
        <v>70</v>
      </c>
      <c r="H16" s="266"/>
      <c r="I16" s="137" t="str">
        <f>IFERROR(IF(AND(#REF!="Y",#REF!="N"),I17,IF(AND(I17&gt;0,End_Sections!L2="B"),IF(#REF!&lt;1000,I17+10,I17+20),I17)),"")</f>
        <v/>
      </c>
      <c r="J16" s="130"/>
      <c r="K16" s="131"/>
      <c r="L16" s="265" t="s">
        <v>70</v>
      </c>
      <c r="M16" s="266"/>
      <c r="N16" s="137" t="str">
        <f>IFERROR(IF(AND(#REF!="Y",#REF!="N"),N17,IF(AND(N17&gt;0,End_Sections!M2="B"),IF(#REF!&lt;1000,N17+10,N17+20),N17)),"")</f>
        <v/>
      </c>
      <c r="O16" s="130"/>
      <c r="P16" s="131"/>
      <c r="Q16" s="265" t="s">
        <v>70</v>
      </c>
      <c r="R16" s="266"/>
      <c r="S16" s="137" t="str">
        <f>IFERROR(IF(AND(#REF!="Y",#REF!="N"),S17,IF(AND(S17&gt;0,End_Sections!N2="B"),IF(#REF!&lt;1000,S17+10,S17+20),S17)),"")</f>
        <v/>
      </c>
      <c r="T16" s="130"/>
      <c r="U16" s="131"/>
      <c r="V16" s="265" t="s">
        <v>70</v>
      </c>
      <c r="W16" s="266"/>
      <c r="X16" s="137" t="str">
        <f>IFERROR(IF(AND(#REF!="Y",#REF!="N"),X17,IF(AND(X17&gt;0,End_Sections!O2="B"),IF(#REF!&lt;1000,X17+10,X17+20),X17)),"")</f>
        <v/>
      </c>
      <c r="Y16" s="130"/>
      <c r="Z16" s="131"/>
      <c r="AA16" s="265" t="s">
        <v>70</v>
      </c>
      <c r="AB16" s="266"/>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5" t="s">
        <v>72</v>
      </c>
      <c r="H17" s="266"/>
      <c r="I17" s="137" t="str">
        <f>IFERROR(IF(#REF!="","",IF(Aerial!AR2="",#REF!,#REF!-(SUM(Aerial!AR2,Aerial!AR3,End_Sections!L4,End_Sections!L9)))),"")</f>
        <v/>
      </c>
      <c r="J17" s="130"/>
      <c r="K17" s="131"/>
      <c r="L17" s="265" t="s">
        <v>72</v>
      </c>
      <c r="M17" s="266"/>
      <c r="N17" s="137" t="str">
        <f>IFERROR(IF(#REF!="","",IF(Aerial!AV2="",#REF!,#REF!-(SUM(Aerial!AV2,Aerial!AV3,End_Sections!M4,End_Sections!M9)))),"")</f>
        <v/>
      </c>
      <c r="O17" s="130"/>
      <c r="P17" s="131"/>
      <c r="Q17" s="265" t="s">
        <v>72</v>
      </c>
      <c r="R17" s="266"/>
      <c r="S17" s="137" t="str">
        <f>IFERROR(IF(#REF!="","",IF(Aerial!AZ2="",#REF!,#REF!-(SUM(Aerial!AZ2,Aerial!AZ3,End_Sections!N4,End_Sections!N9)))),"")</f>
        <v/>
      </c>
      <c r="T17" s="130"/>
      <c r="U17" s="131"/>
      <c r="V17" s="265" t="s">
        <v>72</v>
      </c>
      <c r="W17" s="266"/>
      <c r="X17" s="137" t="str">
        <f>IFERROR(IF(#REF!="","",IF(Aerial!BD2="",#REF!,#REF!-(SUM(Aerial!BD2,Aerial!BD3,End_Sections!O4,End_Sections!O9)))),"")</f>
        <v/>
      </c>
      <c r="Y17" s="130"/>
      <c r="Z17" s="131"/>
      <c r="AA17" s="265" t="s">
        <v>72</v>
      </c>
      <c r="AB17" s="266"/>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5" t="s">
        <v>71</v>
      </c>
      <c r="H18" s="267"/>
      <c r="I18" s="137" t="str">
        <f>IFERROR(IF(#REF!="","",I17-(SUM(#REF!))-(SUM(End_Sections!L3,End_Sections!L8))),"")</f>
        <v/>
      </c>
      <c r="J18" s="130"/>
      <c r="K18" s="131"/>
      <c r="L18" s="265" t="s">
        <v>71</v>
      </c>
      <c r="M18" s="267"/>
      <c r="N18" s="137" t="str">
        <f>IFERROR(IF(#REF!="","",N17-(SUM(#REF!))-(SUM(End_Sections!M3,End_Sections!M8))),"")</f>
        <v/>
      </c>
      <c r="O18" s="130"/>
      <c r="P18" s="131"/>
      <c r="Q18" s="265" t="s">
        <v>71</v>
      </c>
      <c r="R18" s="267"/>
      <c r="S18" s="137" t="str">
        <f>IFERROR(IF(#REF!="","",S17-(SUM(#REF!))-(SUM(End_Sections!N3,End_Sections!N8))),"")</f>
        <v/>
      </c>
      <c r="T18" s="130"/>
      <c r="U18" s="131"/>
      <c r="V18" s="265" t="s">
        <v>71</v>
      </c>
      <c r="W18" s="267"/>
      <c r="X18" s="137" t="str">
        <f>IFERROR(IF(#REF!="","",X17-(SUM(#REF!))-(SUM(End_Sections!O3,End_Sections!O8))),"")</f>
        <v/>
      </c>
      <c r="Y18" s="130"/>
      <c r="Z18" s="131"/>
      <c r="AA18" s="265" t="s">
        <v>71</v>
      </c>
      <c r="AB18" s="267"/>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2" t="s">
        <v>88</v>
      </c>
      <c r="C19" s="262"/>
      <c r="D19" s="262"/>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5" t="s">
        <v>77</v>
      </c>
      <c r="H23" s="267"/>
      <c r="I23" s="137" t="e">
        <f>J23</f>
        <v>#REF!</v>
      </c>
      <c r="J23" s="138" t="e">
        <f>IF(K23=0,"",K23)</f>
        <v>#REF!</v>
      </c>
      <c r="K23" s="131" t="e">
        <f>IF(#REF!="","",IF(Aerial!AR3="","",SUM(Aerial!AR3,End_Sections!L9)))</f>
        <v>#REF!</v>
      </c>
      <c r="L23" s="265" t="s">
        <v>77</v>
      </c>
      <c r="M23" s="267"/>
      <c r="N23" s="137" t="e">
        <f>O23</f>
        <v>#REF!</v>
      </c>
      <c r="O23" s="138" t="e">
        <f>IF(P23=0,"",P23)</f>
        <v>#REF!</v>
      </c>
      <c r="P23" s="131" t="e">
        <f>IF(#REF!="","",IF(Aerial!AV3="","",SUM(Aerial!AV3,End_Sections!M9)))</f>
        <v>#REF!</v>
      </c>
      <c r="Q23" s="265" t="s">
        <v>77</v>
      </c>
      <c r="R23" s="267"/>
      <c r="S23" s="137" t="e">
        <f>T23</f>
        <v>#REF!</v>
      </c>
      <c r="T23" s="138" t="e">
        <f>IF(U23=0,"",U23)</f>
        <v>#REF!</v>
      </c>
      <c r="U23" s="131" t="e">
        <f>IF(#REF!="","",IF(Aerial!AZ3="","",SUM(Aerial!AZ3,End_Sections!N9)))</f>
        <v>#REF!</v>
      </c>
      <c r="V23" s="265" t="s">
        <v>77</v>
      </c>
      <c r="W23" s="267"/>
      <c r="X23" s="137" t="e">
        <f>Y23</f>
        <v>#REF!</v>
      </c>
      <c r="Y23" s="138" t="e">
        <f>IF(Z23=0,"",Z23)</f>
        <v>#REF!</v>
      </c>
      <c r="Z23" s="131" t="e">
        <f>IF(#REF!="","",IF(Aerial!BD3="","",SUM(Aerial!BD3,End_Sections!O9)))</f>
        <v>#REF!</v>
      </c>
      <c r="AA23" s="265" t="s">
        <v>77</v>
      </c>
      <c r="AB23" s="267"/>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2" t="s">
        <v>92</v>
      </c>
      <c r="C24" s="272"/>
      <c r="D24" s="272"/>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3" t="s">
        <v>93</v>
      </c>
      <c r="C25" s="263"/>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4" t="s">
        <v>94</v>
      </c>
      <c r="C26" s="264"/>
      <c r="D26" s="145"/>
      <c r="E26" s="129"/>
      <c r="F26" s="129"/>
      <c r="G26" s="270" t="s">
        <v>95</v>
      </c>
      <c r="H26" s="270"/>
      <c r="I26" s="270"/>
      <c r="J26" s="130"/>
      <c r="K26" s="131"/>
      <c r="L26" s="270" t="s">
        <v>96</v>
      </c>
      <c r="M26" s="270"/>
      <c r="N26" s="270"/>
      <c r="O26" s="130"/>
      <c r="P26" s="131"/>
      <c r="Q26" s="270" t="s">
        <v>97</v>
      </c>
      <c r="R26" s="270"/>
      <c r="S26" s="270"/>
      <c r="T26" s="130"/>
      <c r="U26" s="131"/>
      <c r="V26" s="270" t="s">
        <v>98</v>
      </c>
      <c r="W26" s="270"/>
      <c r="X26" s="270"/>
      <c r="Y26" s="130"/>
      <c r="Z26" s="131"/>
      <c r="AA26" s="270" t="s">
        <v>99</v>
      </c>
      <c r="AB26" s="270"/>
      <c r="AC26" s="270"/>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3" t="s">
        <v>100</v>
      </c>
      <c r="C27" s="263"/>
      <c r="D27" s="145"/>
      <c r="E27" s="129"/>
      <c r="F27" s="129"/>
      <c r="G27" s="265" t="s">
        <v>70</v>
      </c>
      <c r="H27" s="266"/>
      <c r="I27" s="137" t="str">
        <f>IFERROR(IF(AND(#REF!="Y",#REF!="N"),#REF!,IF(AND(#REF!&gt;0,End_Sections!Q2="B"),IF(#REF!&lt;1000,#REF!+10,#REF!+20),#REF!)),"")</f>
        <v/>
      </c>
      <c r="J27" s="130"/>
      <c r="K27" s="131"/>
      <c r="L27" s="265" t="s">
        <v>70</v>
      </c>
      <c r="M27" s="266"/>
      <c r="N27" s="137" t="str">
        <f>IFERROR(IF(AND(#REF!="Y",#REF!="N"),#REF!,IF(AND(#REF!&gt;0,End_Sections!R2="B"),IF(#REF!&lt;1000,#REF!+10,#REF!+20),#REF!)),"")</f>
        <v/>
      </c>
      <c r="O27" s="130"/>
      <c r="P27" s="131"/>
      <c r="Q27" s="265" t="s">
        <v>70</v>
      </c>
      <c r="R27" s="266"/>
      <c r="S27" s="137" t="str">
        <f>IFERROR(IF(AND(#REF!="Y",#REF!="N"),#REF!,IF(AND(#REF!&gt;0,End_Sections!S2="B"),IF(#REF!&lt;1000,#REF!+10,#REF!+20),#REF!)),"")</f>
        <v/>
      </c>
      <c r="T27" s="130"/>
      <c r="U27" s="131"/>
      <c r="V27" s="265" t="s">
        <v>70</v>
      </c>
      <c r="W27" s="266"/>
      <c r="X27" s="137" t="str">
        <f>IFERROR(IF(AND(#REF!="Y",#REF!="N"),#REF!,IF(AND(#REF!&gt;0,End_Sections!T2="B"),IF(#REF!&lt;1000,#REF!+10,#REF!+20),#REF!)),"")</f>
        <v/>
      </c>
      <c r="Y27" s="130"/>
      <c r="Z27" s="131"/>
      <c r="AA27" s="265" t="s">
        <v>70</v>
      </c>
      <c r="AB27" s="266"/>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4" t="s">
        <v>101</v>
      </c>
      <c r="C28" s="264"/>
      <c r="D28" s="145"/>
      <c r="E28" s="129"/>
      <c r="F28" s="129"/>
      <c r="G28" s="265" t="s">
        <v>71</v>
      </c>
      <c r="H28" s="267"/>
      <c r="I28" s="137" t="str">
        <f>IFERROR(IF(#REF!="","",#REF!-(SUM(#REF!))-(SUM(End_Sections!Q3,End_Sections!Q8))),"")</f>
        <v/>
      </c>
      <c r="J28" s="130"/>
      <c r="K28" s="131"/>
      <c r="L28" s="265" t="s">
        <v>71</v>
      </c>
      <c r="M28" s="267"/>
      <c r="N28" s="137" t="str">
        <f>IFERROR(IF(#REF!="","",#REF!-(SUM(#REF!))-(SUM(End_Sections!R3,End_Sections!R8))),"")</f>
        <v/>
      </c>
      <c r="O28" s="130"/>
      <c r="P28" s="131"/>
      <c r="Q28" s="265" t="s">
        <v>71</v>
      </c>
      <c r="R28" s="267"/>
      <c r="S28" s="137" t="str">
        <f>IFERROR(IF(#REF!="","",#REF!-(SUM(#REF!))-(SUM(End_Sections!S3,End_Sections!S8))),"")</f>
        <v/>
      </c>
      <c r="T28" s="130"/>
      <c r="U28" s="131"/>
      <c r="V28" s="265" t="s">
        <v>71</v>
      </c>
      <c r="W28" s="267"/>
      <c r="X28" s="137" t="str">
        <f>IFERROR(IF(#REF!="","",#REF!-(SUM(#REF!))-(SUM(End_Sections!T3,End_Sections!T8))),"")</f>
        <v/>
      </c>
      <c r="Y28" s="130"/>
      <c r="Z28" s="131"/>
      <c r="AA28" s="265" t="s">
        <v>71</v>
      </c>
      <c r="AB28" s="267"/>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4" t="s">
        <v>102</v>
      </c>
      <c r="C29" s="264"/>
      <c r="D29" s="145"/>
      <c r="E29" s="129"/>
      <c r="F29" s="129"/>
      <c r="G29" s="265" t="s">
        <v>75</v>
      </c>
      <c r="H29" s="267"/>
      <c r="I29" s="137" t="str">
        <f>IFERROR(IF(AND(#REF!="Y",#REF!="N"),J29,IF(End_Sections!Q2="A",IF(#REF!&lt;1000,J29+10,J29+20),J29)),"")</f>
        <v/>
      </c>
      <c r="J29" s="138" t="e">
        <f>IF(K29=0,"",K29)</f>
        <v>#REF!</v>
      </c>
      <c r="K29" s="131" t="e">
        <f>IF(#REF!=0,#REF!,IF(Aerial!BL3="",SUM(Aerial!BL2,End_Sections!Q4,End_Sections!Q9),Aerial!BL2))</f>
        <v>#REF!</v>
      </c>
      <c r="L29" s="265" t="s">
        <v>75</v>
      </c>
      <c r="M29" s="267"/>
      <c r="N29" s="137" t="str">
        <f>IFERROR(IF(AND(#REF!="Y",#REF!="N"),O29,IF(End_Sections!R2="A",IF(#REF!&lt;1000,O29+10,O29+20),O29)),"")</f>
        <v/>
      </c>
      <c r="O29" s="138" t="e">
        <f>IF(P29=0,"",P29)</f>
        <v>#REF!</v>
      </c>
      <c r="P29" s="131" t="e">
        <f>IF(#REF!=0,#REF!,IF(Aerial!BP3="",SUM(Aerial!BP2,End_Sections!R4,End_Sections!R9),Aerial!BP2))</f>
        <v>#REF!</v>
      </c>
      <c r="Q29" s="265" t="s">
        <v>75</v>
      </c>
      <c r="R29" s="267"/>
      <c r="S29" s="137" t="str">
        <f>IFERROR(IF(AND(#REF!="Y",#REF!="N"),T29,IF(End_Sections!S2="A",IF(#REF!&lt;1000,T29+10,T29+20),T29)),"")</f>
        <v/>
      </c>
      <c r="T29" s="138" t="e">
        <f>IF(U29=0,"",U29)</f>
        <v>#REF!</v>
      </c>
      <c r="U29" s="131" t="e">
        <f>IF(#REF!=0,#REF!,IF(Aerial!BT3="",SUM(Aerial!BT2,End_Sections!S4,End_Sections!S9),Aerial!BT2))</f>
        <v>#REF!</v>
      </c>
      <c r="V29" s="265" t="s">
        <v>75</v>
      </c>
      <c r="W29" s="267"/>
      <c r="X29" s="137" t="str">
        <f>IFERROR(IF(AND(#REF!="Y",#REF!="N"),Y29,IF(End_Sections!T2="A",IF(#REF!&lt;1000,Y29+10,Y29+20),Y29)),"")</f>
        <v/>
      </c>
      <c r="Y29" s="138" t="e">
        <f>IF(Z29=0,"",Z29)</f>
        <v>#REF!</v>
      </c>
      <c r="Z29" s="131" t="e">
        <f>IF(#REF!=0,#REF!,IF(Aerial!BX3="",SUM(Aerial!BX2,End_Sections!T4,End_Sections!T9),Aerial!BX2))</f>
        <v>#REF!</v>
      </c>
      <c r="AA29" s="265" t="s">
        <v>75</v>
      </c>
      <c r="AB29" s="267"/>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9"/>
      <c r="C30" s="269"/>
      <c r="D30" s="269"/>
      <c r="E30" s="129"/>
      <c r="F30" s="129"/>
      <c r="G30" s="265" t="s">
        <v>77</v>
      </c>
      <c r="H30" s="267"/>
      <c r="I30" s="137" t="e">
        <f>J30</f>
        <v>#REF!</v>
      </c>
      <c r="J30" s="138" t="e">
        <f>IF(K30=0,"",K30)</f>
        <v>#REF!</v>
      </c>
      <c r="K30" s="131" t="e">
        <f>IF(J29="","",IF(Aerial!BL3="","",SUM(Aerial!BL3,End_Sections!Q9)))</f>
        <v>#REF!</v>
      </c>
      <c r="L30" s="265" t="s">
        <v>77</v>
      </c>
      <c r="M30" s="267"/>
      <c r="N30" s="137" t="e">
        <f>O30</f>
        <v>#REF!</v>
      </c>
      <c r="O30" s="138" t="e">
        <f>IF(P30=0,"",P30)</f>
        <v>#REF!</v>
      </c>
      <c r="P30" s="131" t="e">
        <f>IF(O29="","",IF(Aerial!BP3="","",SUM(Aerial!BP3,End_Sections!R9)))</f>
        <v>#REF!</v>
      </c>
      <c r="Q30" s="265" t="s">
        <v>77</v>
      </c>
      <c r="R30" s="267"/>
      <c r="S30" s="137" t="e">
        <f>T30</f>
        <v>#REF!</v>
      </c>
      <c r="T30" s="138" t="e">
        <f>IF(U30=0,"",U30)</f>
        <v>#REF!</v>
      </c>
      <c r="U30" s="131" t="e">
        <f>IF(T29="","",IF(Aerial!BT3="","",SUM(Aerial!BT3,End_Sections!S9)))</f>
        <v>#REF!</v>
      </c>
      <c r="V30" s="265" t="s">
        <v>77</v>
      </c>
      <c r="W30" s="267"/>
      <c r="X30" s="137" t="e">
        <f>Y30</f>
        <v>#REF!</v>
      </c>
      <c r="Y30" s="138" t="e">
        <f>IF(Z30=0,"",Z30)</f>
        <v>#REF!</v>
      </c>
      <c r="Z30" s="131" t="e">
        <f>IF(Y29="","",IF(Aerial!BX3="","",SUM(Aerial!BX3,End_Sections!T9)))</f>
        <v>#REF!</v>
      </c>
      <c r="AA30" s="265" t="s">
        <v>77</v>
      </c>
      <c r="AB30" s="267"/>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8"/>
      <c r="C31" s="268"/>
      <c r="D31" s="136"/>
      <c r="E31" s="129"/>
      <c r="F31" s="129"/>
      <c r="G31" s="268"/>
      <c r="H31" s="268"/>
      <c r="I31" s="132"/>
      <c r="J31" s="133"/>
      <c r="K31" s="131"/>
      <c r="L31" s="268"/>
      <c r="M31" s="268"/>
      <c r="N31" s="132"/>
      <c r="O31" s="133"/>
      <c r="P31" s="131"/>
      <c r="Q31" s="268"/>
      <c r="R31" s="268"/>
      <c r="S31" s="132"/>
      <c r="T31" s="133"/>
      <c r="U31" s="131"/>
      <c r="V31" s="268"/>
      <c r="W31" s="268"/>
      <c r="X31" s="132"/>
      <c r="Y31" s="133"/>
      <c r="Z31" s="131"/>
      <c r="AA31" s="268"/>
      <c r="AB31" s="268"/>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8"/>
      <c r="C32" s="268"/>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70" t="s">
        <v>103</v>
      </c>
      <c r="H33" s="270"/>
      <c r="I33" s="270"/>
      <c r="J33" s="130"/>
      <c r="K33" s="131"/>
      <c r="L33" s="270" t="s">
        <v>104</v>
      </c>
      <c r="M33" s="270"/>
      <c r="N33" s="270"/>
      <c r="O33" s="130"/>
      <c r="P33" s="131"/>
      <c r="Q33" s="270" t="s">
        <v>105</v>
      </c>
      <c r="R33" s="270"/>
      <c r="S33" s="270"/>
      <c r="T33" s="130"/>
      <c r="U33" s="131"/>
      <c r="V33" s="270" t="s">
        <v>106</v>
      </c>
      <c r="W33" s="270"/>
      <c r="X33" s="270"/>
      <c r="Y33" s="130"/>
      <c r="Z33" s="131"/>
      <c r="AA33" s="270" t="s">
        <v>107</v>
      </c>
      <c r="AB33" s="270"/>
      <c r="AC33" s="270"/>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5" t="s">
        <v>70</v>
      </c>
      <c r="H34" s="266"/>
      <c r="I34" s="137" t="str">
        <f>IFERROR(IF(AND(#REF!="Y",#REF!="N"),I35,IF(AND(I35&gt;0,End_Sections!V2="B"),IF(#REF!&lt;1000,I35+10,I35+20),I35)),"")</f>
        <v/>
      </c>
      <c r="J34" s="130"/>
      <c r="K34" s="131"/>
      <c r="L34" s="265" t="s">
        <v>70</v>
      </c>
      <c r="M34" s="266"/>
      <c r="N34" s="137" t="str">
        <f>IFERROR(IF(AND(#REF!="Y",#REF!="N"),N35,IF(AND(N35&gt;0,End_Sections!W2="B"),IF(#REF!&lt;1000,N35+10,N35+20),N35)),"")</f>
        <v/>
      </c>
      <c r="O34" s="130"/>
      <c r="P34" s="131"/>
      <c r="Q34" s="265" t="s">
        <v>70</v>
      </c>
      <c r="R34" s="266"/>
      <c r="S34" s="137" t="str">
        <f>IFERROR(IF(AND(#REF!="Y",#REF!="N"),S35,IF(AND(S35&gt;0,End_Sections!X2="B"),IF(#REF!&lt;1000,S35+10,S35+20),S35)),"")</f>
        <v/>
      </c>
      <c r="T34" s="130"/>
      <c r="U34" s="131"/>
      <c r="V34" s="265" t="s">
        <v>70</v>
      </c>
      <c r="W34" s="266"/>
      <c r="X34" s="137" t="str">
        <f>IFERROR(IF(AND(#REF!="Y",#REF!="N"),X35,IF(AND(X35&gt;0,End_Sections!Y2="B"),IF(#REF!&lt;1000,X35+10,X35+20),X35)),"")</f>
        <v/>
      </c>
      <c r="Y34" s="130"/>
      <c r="Z34" s="131"/>
      <c r="AA34" s="265" t="s">
        <v>70</v>
      </c>
      <c r="AB34" s="266"/>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5" t="s">
        <v>72</v>
      </c>
      <c r="H35" s="266"/>
      <c r="I35" s="137" t="str">
        <f>IFERROR(IF(#REF!="","",IF(Aerial!CF2="",#REF!,#REF!-(SUM(Aerial!CF2,Aerial!CF3,End_Sections!V4,End_Sections!V9)))),"")</f>
        <v/>
      </c>
      <c r="J35" s="130"/>
      <c r="K35" s="131"/>
      <c r="L35" s="265" t="s">
        <v>72</v>
      </c>
      <c r="M35" s="266"/>
      <c r="N35" s="137" t="str">
        <f>IFERROR(IF(#REF!="","",IF(Aerial!CJ2="",#REF!,#REF!-(SUM(Aerial!CJ2,Aerial!CJ3,End_Sections!W4,End_Sections!W9)))),"")</f>
        <v/>
      </c>
      <c r="O35" s="130"/>
      <c r="P35" s="131"/>
      <c r="Q35" s="265" t="s">
        <v>72</v>
      </c>
      <c r="R35" s="266"/>
      <c r="S35" s="137" t="str">
        <f>IFERROR(IF(#REF!="","",IF(Aerial!CN2="",#REF!,#REF!-(SUM(Aerial!CN2,Aerial!CN3,End_Sections!X4,End_Sections!X9)))),"")</f>
        <v/>
      </c>
      <c r="T35" s="130"/>
      <c r="U35" s="131"/>
      <c r="V35" s="265" t="s">
        <v>72</v>
      </c>
      <c r="W35" s="266"/>
      <c r="X35" s="137" t="str">
        <f>IFERROR(IF(#REF!="","",IF(Aerial!CR2="",#REF!,#REF!-(SUM(Aerial!CR2,Aerial!CR3,End_Sections!Y4,End_Sections!Y9)))),"")</f>
        <v/>
      </c>
      <c r="Y35" s="130"/>
      <c r="Z35" s="131"/>
      <c r="AA35" s="265" t="s">
        <v>72</v>
      </c>
      <c r="AB35" s="266"/>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5" t="s">
        <v>71</v>
      </c>
      <c r="H36" s="267"/>
      <c r="I36" s="137" t="str">
        <f>IFERROR(IF(#REF!="","",I35-(SUM(#REF!))-(SUM(End_Sections!V3,End_Sections!V8))),"")</f>
        <v/>
      </c>
      <c r="J36" s="130"/>
      <c r="K36" s="131"/>
      <c r="L36" s="265" t="s">
        <v>71</v>
      </c>
      <c r="M36" s="267"/>
      <c r="N36" s="137" t="str">
        <f>IFERROR(IF(#REF!="","",N35-(SUM(#REF!))-(SUM(End_Sections!W3,End_Sections!W8))),"")</f>
        <v/>
      </c>
      <c r="O36" s="130"/>
      <c r="P36" s="131"/>
      <c r="Q36" s="265" t="s">
        <v>71</v>
      </c>
      <c r="R36" s="267"/>
      <c r="S36" s="137" t="str">
        <f>IFERROR(IF(#REF!="","",S35-(SUM(#REF!))-(SUM(End_Sections!X3,End_Sections!X8))),"")</f>
        <v/>
      </c>
      <c r="T36" s="130"/>
      <c r="U36" s="131"/>
      <c r="V36" s="265" t="s">
        <v>71</v>
      </c>
      <c r="W36" s="267"/>
      <c r="X36" s="137" t="str">
        <f>IFERROR(IF(#REF!="","",X35-(SUM(#REF!))-(SUM(End_Sections!Y3,End_Sections!Y8))),"")</f>
        <v/>
      </c>
      <c r="Y36" s="130"/>
      <c r="Z36" s="131"/>
      <c r="AA36" s="265" t="s">
        <v>71</v>
      </c>
      <c r="AB36" s="267"/>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5" t="s">
        <v>75</v>
      </c>
      <c r="H37" s="267"/>
      <c r="I37" s="137" t="str">
        <f>IFERROR(IF(AND(#REF!="Y",#REF!="N"),J37,IF(End_Sections!V2="A",IF(#REF!&lt;1000,J37+10,J37+20),J37)),"")</f>
        <v/>
      </c>
      <c r="J37" s="138" t="e">
        <f>IF(K37=0,"",K37)</f>
        <v>#REF!</v>
      </c>
      <c r="K37" s="131" t="e">
        <f>IF(I35=0,#REF!,IF(Aerial!CF3="",SUM(Aerial!CF2,End_Sections!V4,End_Sections!V9),Aerial!CF2))</f>
        <v>#REF!</v>
      </c>
      <c r="L37" s="265" t="s">
        <v>75</v>
      </c>
      <c r="M37" s="267"/>
      <c r="N37" s="137" t="str">
        <f>IFERROR(IF(AND(#REF!="Y",#REF!="N"),O37,IF(End_Sections!W2="A",IF(#REF!&lt;1000,O37+10,O37+20),O37)),"")</f>
        <v/>
      </c>
      <c r="O37" s="138" t="e">
        <f>IF(P37=0,"",P37)</f>
        <v>#REF!</v>
      </c>
      <c r="P37" s="131" t="e">
        <f>IF(N35=0,#REF!,IF(Aerial!CJ3="",SUM(Aerial!CJ2,End_Sections!W4,End_Sections!W9),Aerial!CJ2))</f>
        <v>#REF!</v>
      </c>
      <c r="Q37" s="265" t="s">
        <v>75</v>
      </c>
      <c r="R37" s="267"/>
      <c r="S37" s="137" t="str">
        <f>IFERROR(IF(AND(#REF!="Y",#REF!="N"),T37,IF(End_Sections!X2="A",IF(#REF!&lt;1000,T37+10,T37+20),T37)),"")</f>
        <v/>
      </c>
      <c r="T37" s="138" t="e">
        <f>IF(U37=0,"",U37)</f>
        <v>#REF!</v>
      </c>
      <c r="U37" s="131" t="e">
        <f>IF(S35=0,#REF!,IF(Aerial!CN3="",SUM(Aerial!CN2,End_Sections!X4,End_Sections!X9),Aerial!CN2))</f>
        <v>#REF!</v>
      </c>
      <c r="V37" s="265" t="s">
        <v>75</v>
      </c>
      <c r="W37" s="267"/>
      <c r="X37" s="137" t="str">
        <f>IFERROR(IF(AND(#REF!="Y",#REF!="N"),Y37,IF(End_Sections!Y2="A",IF(#REF!&lt;1000,Y37+10,Y37+20),Y37)),"")</f>
        <v/>
      </c>
      <c r="Y37" s="138" t="e">
        <f>IF(Z37=0,"",Z37)</f>
        <v>#REF!</v>
      </c>
      <c r="Z37" s="131" t="e">
        <f>IF(X35=0,#REF!,IF(Aerial!CR3="",SUM(Aerial!CR2,End_Sections!Y4,End_Sections!Y9),Aerial!CR2))</f>
        <v>#REF!</v>
      </c>
      <c r="AA37" s="265" t="s">
        <v>75</v>
      </c>
      <c r="AB37" s="267"/>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5" t="s">
        <v>77</v>
      </c>
      <c r="H38" s="267"/>
      <c r="I38" s="137" t="e">
        <f>J38</f>
        <v>#REF!</v>
      </c>
      <c r="J38" s="138" t="e">
        <f>IF(K38="","",K38)</f>
        <v>#REF!</v>
      </c>
      <c r="K38" s="131" t="e">
        <f>IF(J37="","",IF(Aerial!CF3="","",SUM(Aerial!CF3,End_Sections!V9)))</f>
        <v>#REF!</v>
      </c>
      <c r="L38" s="265" t="s">
        <v>77</v>
      </c>
      <c r="M38" s="267"/>
      <c r="N38" s="137" t="e">
        <f>O38</f>
        <v>#REF!</v>
      </c>
      <c r="O38" s="138" t="e">
        <f>IF(P38="","",P38)</f>
        <v>#REF!</v>
      </c>
      <c r="P38" s="131" t="e">
        <f>IF(O37="","",IF(Aerial!CJ3="","",SUM(Aerial!CJ3,End_Sections!W9)))</f>
        <v>#REF!</v>
      </c>
      <c r="Q38" s="265" t="s">
        <v>77</v>
      </c>
      <c r="R38" s="267"/>
      <c r="S38" s="137" t="e">
        <f>T38</f>
        <v>#REF!</v>
      </c>
      <c r="T38" s="138" t="e">
        <f>IF(U38="","",U38)</f>
        <v>#REF!</v>
      </c>
      <c r="U38" s="131" t="e">
        <f>IF(T37="","",IF(Aerial!CN3="","",SUM(Aerial!CN3,End_Sections!X9)))</f>
        <v>#REF!</v>
      </c>
      <c r="V38" s="265" t="s">
        <v>77</v>
      </c>
      <c r="W38" s="267"/>
      <c r="X38" s="137" t="e">
        <f>Y38</f>
        <v>#REF!</v>
      </c>
      <c r="Y38" s="138" t="e">
        <f>IF(Z38="","",Z38)</f>
        <v>#REF!</v>
      </c>
      <c r="Z38" s="131" t="e">
        <f>IF(Y37="","",IF(Aerial!CR3="","",SUM(Aerial!CR3,End_Sections!Y9)))</f>
        <v>#REF!</v>
      </c>
      <c r="AA38" s="265" t="s">
        <v>77</v>
      </c>
      <c r="AB38" s="267"/>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8"/>
      <c r="H39" s="268"/>
      <c r="I39" s="132"/>
      <c r="J39" s="133"/>
      <c r="K39" s="131" t="e">
        <f>K38</f>
        <v>#REF!</v>
      </c>
      <c r="L39" s="268"/>
      <c r="M39" s="268"/>
      <c r="N39" s="132"/>
      <c r="O39" s="133"/>
      <c r="P39" s="131"/>
      <c r="Q39" s="268"/>
      <c r="R39" s="268"/>
      <c r="S39" s="132"/>
      <c r="T39" s="133"/>
      <c r="U39" s="131"/>
      <c r="V39" s="268"/>
      <c r="W39" s="268"/>
      <c r="X39" s="132"/>
      <c r="Y39" s="133"/>
      <c r="Z39" s="131"/>
      <c r="AA39" s="268"/>
      <c r="AB39" s="268"/>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8"/>
      <c r="H40" s="268"/>
      <c r="I40" s="132"/>
      <c r="J40" s="133"/>
      <c r="K40" s="131"/>
      <c r="L40" s="268"/>
      <c r="M40" s="268"/>
      <c r="N40" s="132"/>
      <c r="O40" s="133"/>
      <c r="P40" s="131"/>
      <c r="Q40" s="268"/>
      <c r="R40" s="268"/>
      <c r="S40" s="132"/>
      <c r="T40" s="133"/>
      <c r="U40" s="131"/>
      <c r="V40" s="268"/>
      <c r="W40" s="268"/>
      <c r="X40" s="132"/>
      <c r="Y40" s="133"/>
      <c r="Z40" s="131"/>
      <c r="AA40" s="268"/>
      <c r="AB40" s="268"/>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70" t="s">
        <v>108</v>
      </c>
      <c r="H41" s="270"/>
      <c r="I41" s="270"/>
      <c r="J41" s="130"/>
      <c r="K41" s="131"/>
      <c r="L41" s="270" t="s">
        <v>109</v>
      </c>
      <c r="M41" s="270"/>
      <c r="N41" s="270"/>
      <c r="O41" s="130"/>
      <c r="P41" s="131"/>
      <c r="Q41" s="270" t="s">
        <v>110</v>
      </c>
      <c r="R41" s="270"/>
      <c r="S41" s="270"/>
      <c r="T41" s="130"/>
      <c r="U41" s="131"/>
      <c r="V41" s="270" t="s">
        <v>111</v>
      </c>
      <c r="W41" s="270"/>
      <c r="X41" s="270"/>
      <c r="Y41" s="130"/>
      <c r="Z41" s="131"/>
      <c r="AA41" s="270" t="s">
        <v>112</v>
      </c>
      <c r="AB41" s="270"/>
      <c r="AC41" s="270"/>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5" t="s">
        <v>70</v>
      </c>
      <c r="H42" s="266"/>
      <c r="I42" s="137" t="str">
        <f>IFERROR(IF(AND(#REF!="Y",#REF!="N"),I43,IF(AND(I43&gt;0,End_Sections!AA2="B"),IF(#REF!&lt;1000,I43+10,I43+20),I43)),"")</f>
        <v/>
      </c>
      <c r="J42" s="130"/>
      <c r="K42" s="131"/>
      <c r="L42" s="265" t="s">
        <v>70</v>
      </c>
      <c r="M42" s="266"/>
      <c r="N42" s="137" t="str">
        <f>IFERROR(IF(AND(#REF!="Y",#REF!="N"),N43,IF(AND(N43&gt;0,End_Sections!AB2="B"),IF(#REF!&lt;1000,N43+10,N43+20),N43)),"")</f>
        <v/>
      </c>
      <c r="O42" s="130"/>
      <c r="P42" s="131"/>
      <c r="Q42" s="265" t="s">
        <v>70</v>
      </c>
      <c r="R42" s="266"/>
      <c r="S42" s="137" t="str">
        <f>IFERROR(IF(AND(#REF!="Y",#REF!="N"),S43,IF(AND(S43&gt;0,End_Sections!AC2="B"),IF(#REF!&lt;1000,S43+10,S43+20),S43)),"")</f>
        <v/>
      </c>
      <c r="T42" s="130"/>
      <c r="U42" s="131"/>
      <c r="V42" s="265" t="s">
        <v>70</v>
      </c>
      <c r="W42" s="266"/>
      <c r="X42" s="137" t="str">
        <f>IFERROR(IF(AND(#REF!="Y",#REF!="N"),X43,IF(AND(X43&gt;0,End_Sections!AD2="B"),IF(#REF!&lt;1000,X43+10,X43+20),X43)),"")</f>
        <v/>
      </c>
      <c r="Y42" s="130"/>
      <c r="Z42" s="131"/>
      <c r="AA42" s="265" t="s">
        <v>70</v>
      </c>
      <c r="AB42" s="266"/>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5" t="s">
        <v>72</v>
      </c>
      <c r="H43" s="266"/>
      <c r="I43" s="137" t="str">
        <f>IFERROR(IF(#REF!="","",IF(Aerial!CZ2="",#REF!,#REF!-(SUM(Aerial!CZ2,Aerial!CZ3,End_Sections!AA4,End_Sections!AA9)))),"")</f>
        <v/>
      </c>
      <c r="J43" s="130"/>
      <c r="K43" s="131"/>
      <c r="L43" s="265" t="s">
        <v>72</v>
      </c>
      <c r="M43" s="266"/>
      <c r="N43" s="137" t="str">
        <f>IFERROR(IF(#REF!="","",IF(Aerial!DD2="",#REF!,#REF!-(SUM(Aerial!DD2,Aerial!DD3,End_Sections!AB4,End_Sections!AB9)))),"")</f>
        <v/>
      </c>
      <c r="O43" s="130"/>
      <c r="P43" s="131"/>
      <c r="Q43" s="265" t="s">
        <v>72</v>
      </c>
      <c r="R43" s="266"/>
      <c r="S43" s="137" t="str">
        <f>IFERROR(IF(#REF!="","",IF(Aerial!DH2="",#REF!,#REF!-(SUM(Aerial!DH2,Aerial!DH3,End_Sections!AC4,End_Sections!AC9)))),"")</f>
        <v/>
      </c>
      <c r="T43" s="130"/>
      <c r="U43" s="131"/>
      <c r="V43" s="265" t="s">
        <v>72</v>
      </c>
      <c r="W43" s="266"/>
      <c r="X43" s="137" t="str">
        <f>IFERROR(IF(#REF!="","",IF(Aerial!DN2="",#REF!,#REF!-(SUM(Aerial!DL2,Aerial!DL3,End_Sections!AD4,End_Sections!AD9)))),"")</f>
        <v/>
      </c>
      <c r="Y43" s="130"/>
      <c r="Z43" s="131"/>
      <c r="AA43" s="265" t="s">
        <v>72</v>
      </c>
      <c r="AB43" s="266"/>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5" t="s">
        <v>71</v>
      </c>
      <c r="H44" s="267"/>
      <c r="I44" s="137" t="str">
        <f>IFERROR(IF(#REF!="","",I43-(SUM(#REF!))-(SUM(End_Sections!AA3,End_Sections!AA8))),"")</f>
        <v/>
      </c>
      <c r="J44" s="130"/>
      <c r="K44" s="131"/>
      <c r="L44" s="265" t="s">
        <v>71</v>
      </c>
      <c r="M44" s="267"/>
      <c r="N44" s="137" t="str">
        <f>IFERROR(IF(#REF!="","",N43-(SUM(#REF!))-(SUM(End_Sections!AB3,End_Sections!AB8))),"")</f>
        <v/>
      </c>
      <c r="O44" s="130"/>
      <c r="P44" s="131"/>
      <c r="Q44" s="265" t="s">
        <v>71</v>
      </c>
      <c r="R44" s="267"/>
      <c r="S44" s="137" t="str">
        <f>IFERROR(IF(#REF!="","",S43-(SUM(#REF!))-(SUM(End_Sections!AC3,End_Sections!AC8))),"")</f>
        <v/>
      </c>
      <c r="T44" s="130"/>
      <c r="U44" s="131"/>
      <c r="V44" s="265" t="s">
        <v>71</v>
      </c>
      <c r="W44" s="267"/>
      <c r="X44" s="137" t="str">
        <f>IFERROR(IF(#REF!="","",X43-(SUM(#REF!))-(SUM(End_Sections!AD3,End_Sections!AD8))),"")</f>
        <v/>
      </c>
      <c r="Y44" s="130"/>
      <c r="Z44" s="131"/>
      <c r="AA44" s="265" t="s">
        <v>71</v>
      </c>
      <c r="AB44" s="267"/>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5" t="s">
        <v>75</v>
      </c>
      <c r="H45" s="267"/>
      <c r="I45" s="137" t="str">
        <f>IFERROR(IF(AND(#REF!="Y",#REF!="N"),J45,IF(End_Sections!AA2="A",IF(#REF!&lt;1000,J45+10,J45+20),J45)),"")</f>
        <v/>
      </c>
      <c r="J45" s="138" t="e">
        <f>IF(K45=0,"",K45)</f>
        <v>#REF!</v>
      </c>
      <c r="K45" s="131" t="e">
        <f>IF(I43=0,#REF!,IF(Aerial!CZ3="",SUM(Aerial!CZ2,End_Sections!AA4,End_Sections!AA9),Aerial!CZ2))</f>
        <v>#REF!</v>
      </c>
      <c r="L45" s="265" t="s">
        <v>75</v>
      </c>
      <c r="M45" s="267"/>
      <c r="N45" s="137" t="str">
        <f>IFERROR(IF(AND(#REF!="Y",#REF!="N"),O45,IF(End_Sections!AB2="A",IF(#REF!&lt;1000,O45+10,O45+20),O45)),"")</f>
        <v/>
      </c>
      <c r="O45" s="138" t="e">
        <f>IF(P45=0,"",P45)</f>
        <v>#REF!</v>
      </c>
      <c r="P45" s="131" t="e">
        <f>IF(N43=0,#REF!,IF(Aerial!DD3="",SUM(Aerial!DD2,End_Sections!AB4,End_Sections!AB9),Aerial!DD2))</f>
        <v>#REF!</v>
      </c>
      <c r="Q45" s="265" t="s">
        <v>75</v>
      </c>
      <c r="R45" s="267"/>
      <c r="S45" s="137" t="str">
        <f>IFERROR(IF(AND(#REF!="Y",#REF!="N"),T45,IF(End_Sections!AC2="A",IF(#REF!&lt;1000,T45+10,T45+20),T45)),"")</f>
        <v/>
      </c>
      <c r="T45" s="138" t="e">
        <f>IF(U45=0,"",U45)</f>
        <v>#REF!</v>
      </c>
      <c r="U45" s="131" t="e">
        <f>IF(S43=0,#REF!,IF(Aerial!DH3="",SUM(Aerial!DH2,End_Sections!AC4,End_Sections!AC9),Aerial!DH2))</f>
        <v>#REF!</v>
      </c>
      <c r="V45" s="265" t="s">
        <v>75</v>
      </c>
      <c r="W45" s="267"/>
      <c r="X45" s="137" t="str">
        <f>IFERROR(IF(AND(#REF!="Y",#REF!="N"),Y45,IF(End_Sections!AD2="A",IF(#REF!&lt;1000,Y45+10,Y45+20),Y45)),"")</f>
        <v/>
      </c>
      <c r="Y45" s="138" t="e">
        <f>IF(Z45=0,"",Z45)</f>
        <v>#REF!</v>
      </c>
      <c r="Z45" s="131" t="e">
        <f>IF(X43=0,#REF!,IF(Aerial!DL3="",SUM(Aerial!DL2,End_Sections!AD4,End_Sections!AD9),Aerial!DL2))</f>
        <v>#REF!</v>
      </c>
      <c r="AA45" s="265" t="s">
        <v>75</v>
      </c>
      <c r="AB45" s="267"/>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5" t="s">
        <v>77</v>
      </c>
      <c r="H46" s="267"/>
      <c r="I46" s="137" t="e">
        <f>J46</f>
        <v>#REF!</v>
      </c>
      <c r="J46" s="138" t="e">
        <f>IF(K46=0,"",K46)</f>
        <v>#REF!</v>
      </c>
      <c r="K46" s="131" t="e">
        <f>IF(J45="","",IF(Aerial!CZ3="","",SUM(Aerial!CZ3,End_Sections!AA9)))</f>
        <v>#REF!</v>
      </c>
      <c r="L46" s="265" t="s">
        <v>77</v>
      </c>
      <c r="M46" s="267"/>
      <c r="N46" s="137" t="e">
        <f>O46</f>
        <v>#REF!</v>
      </c>
      <c r="O46" s="138" t="e">
        <f>IF(P46=0,"",P46)</f>
        <v>#REF!</v>
      </c>
      <c r="P46" s="131" t="e">
        <f>IF(O45="","",IF(Aerial!DD3="","",SUM(Aerial!DD3,End_Sections!AB9)))</f>
        <v>#REF!</v>
      </c>
      <c r="Q46" s="265" t="s">
        <v>77</v>
      </c>
      <c r="R46" s="267"/>
      <c r="S46" s="137" t="e">
        <f>T46</f>
        <v>#REF!</v>
      </c>
      <c r="T46" s="138" t="e">
        <f>IF(U46=0,"",U46)</f>
        <v>#REF!</v>
      </c>
      <c r="U46" s="131" t="e">
        <f>IF(T45="","",IF(Aerial!DH3="","",SUM(Aerial!DH3,End_Sections!AC9)))</f>
        <v>#REF!</v>
      </c>
      <c r="V46" s="265" t="s">
        <v>77</v>
      </c>
      <c r="W46" s="267"/>
      <c r="X46" s="137" t="e">
        <f>Y46</f>
        <v>#REF!</v>
      </c>
      <c r="Y46" s="138" t="e">
        <f>IF(Z46=0,"",Z46)</f>
        <v>#REF!</v>
      </c>
      <c r="Z46" s="131" t="e">
        <f>IF(Y45="","",IF(Aerial!DL3="","",SUM(Aerial!DL3,End_Sections!AD9)))</f>
        <v>#REF!</v>
      </c>
      <c r="AA46" s="265" t="s">
        <v>77</v>
      </c>
      <c r="AB46" s="267"/>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70" t="s">
        <v>113</v>
      </c>
      <c r="H49" s="270"/>
      <c r="I49" s="270"/>
      <c r="J49" s="130"/>
      <c r="K49" s="131"/>
      <c r="L49" s="270" t="s">
        <v>114</v>
      </c>
      <c r="M49" s="270"/>
      <c r="N49" s="270"/>
      <c r="O49" s="130"/>
      <c r="P49" s="131"/>
      <c r="Q49" s="270" t="s">
        <v>115</v>
      </c>
      <c r="R49" s="270"/>
      <c r="S49" s="270"/>
      <c r="T49" s="130"/>
      <c r="U49" s="131"/>
      <c r="V49" s="270" t="s">
        <v>116</v>
      </c>
      <c r="W49" s="270"/>
      <c r="X49" s="270"/>
      <c r="Y49" s="130"/>
      <c r="Z49" s="131"/>
      <c r="AA49" s="270" t="s">
        <v>117</v>
      </c>
      <c r="AB49" s="270"/>
      <c r="AC49" s="270"/>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5" t="s">
        <v>70</v>
      </c>
      <c r="H50" s="266"/>
      <c r="I50" s="137" t="str">
        <f>IFERROR(IF(AND(#REF!="Y",#REF!="N"),I51,IF(AND(I51&gt;0,End_Sections!AF2="B"),IF(#REF!&lt;1000,I51+10,I51+20),I51)),"")</f>
        <v/>
      </c>
      <c r="J50" s="130"/>
      <c r="K50" s="131"/>
      <c r="L50" s="265" t="s">
        <v>70</v>
      </c>
      <c r="M50" s="266"/>
      <c r="N50" s="137" t="str">
        <f>IFERROR(IF(AND(#REF!="Y",#REF!="N"),N51,IF(AND(N51&gt;0,End_Sections!AG2="B"),IF(#REF!&lt;1000,N51+10,N51+20),N51)),"")</f>
        <v/>
      </c>
      <c r="O50" s="130"/>
      <c r="P50" s="131"/>
      <c r="Q50" s="265" t="s">
        <v>70</v>
      </c>
      <c r="R50" s="266"/>
      <c r="S50" s="137" t="str">
        <f>IFERROR(IF(AND(#REF!="Y",#REF!="N"),S51,IF(AND(S51&gt;0,End_Sections!AH2="B"),IF(#REF!&lt;1000,S51+10,S51+20),S51)),"")</f>
        <v/>
      </c>
      <c r="T50" s="130"/>
      <c r="U50" s="131"/>
      <c r="V50" s="265" t="s">
        <v>70</v>
      </c>
      <c r="W50" s="266"/>
      <c r="X50" s="137" t="str">
        <f>IFERROR(IF(AND(#REF!="Y",#REF!="N"),X51,IF(AND(X51&gt;0,End_Sections!AI2="B"),IF(#REF!&lt;1000,X51+10,X51+20),X51)),"")</f>
        <v/>
      </c>
      <c r="Y50" s="130"/>
      <c r="Z50" s="131"/>
      <c r="AA50" s="265" t="s">
        <v>70</v>
      </c>
      <c r="AB50" s="266"/>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5" t="s">
        <v>72</v>
      </c>
      <c r="H51" s="266"/>
      <c r="I51" s="137" t="str">
        <f>IFERROR(IF(#REF!="","",IF(Aerial!DT2="",#REF!,#REF!-(SUM(Aerial!DT2,Aerial!DT3,End_Sections!AF4,End_Sections!AF9)))),"")</f>
        <v/>
      </c>
      <c r="J51" s="130"/>
      <c r="K51" s="131"/>
      <c r="L51" s="265" t="s">
        <v>72</v>
      </c>
      <c r="M51" s="266"/>
      <c r="N51" s="137" t="str">
        <f>IFERROR(IF(#REF!="","",IF(Aerial!DX2="",#REF!,#REF!-(SUM(Aerial!DX2,Aerial!DX3,End_Sections!AG4,End_Sections!AG9)))),"")</f>
        <v/>
      </c>
      <c r="O51" s="130"/>
      <c r="P51" s="131"/>
      <c r="Q51" s="265" t="s">
        <v>72</v>
      </c>
      <c r="R51" s="266"/>
      <c r="S51" s="137" t="str">
        <f>IFERROR(IF(#REF!="","",IF(Aerial!EB2="",#REF!,#REF!-(SUM(Aerial!EB2,Aerial!EB3,End_Sections!AH4,End_Sections!AH9)))),"")</f>
        <v/>
      </c>
      <c r="T51" s="130"/>
      <c r="U51" s="131"/>
      <c r="V51" s="265" t="s">
        <v>72</v>
      </c>
      <c r="W51" s="266"/>
      <c r="X51" s="137" t="str">
        <f>IFERROR(IF(#REF!="","",IF(Aerial!EF2="",#REF!,#REF!-(SUM(Aerial!EF2,Aerial!EF3,End_Sections!AI4,End_Sections!AI9)))),"")</f>
        <v/>
      </c>
      <c r="Y51" s="130"/>
      <c r="Z51" s="131"/>
      <c r="AA51" s="265" t="s">
        <v>72</v>
      </c>
      <c r="AB51" s="266"/>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5" t="s">
        <v>71</v>
      </c>
      <c r="H52" s="267"/>
      <c r="I52" s="137" t="str">
        <f>IFERROR(IF(#REF!="","",I51-(SUM(#REF!))-(SUM(End_Sections!AF3,End_Sections!AF8))),"")</f>
        <v/>
      </c>
      <c r="J52" s="130"/>
      <c r="K52" s="131"/>
      <c r="L52" s="265" t="s">
        <v>71</v>
      </c>
      <c r="M52" s="267"/>
      <c r="N52" s="137" t="str">
        <f>IFERROR(IF(#REF!="","",N51-(SUM(#REF!))-(SUM(End_Sections!AG3,End_Sections!AG8))),"")</f>
        <v/>
      </c>
      <c r="O52" s="130"/>
      <c r="P52" s="131"/>
      <c r="Q52" s="265" t="s">
        <v>71</v>
      </c>
      <c r="R52" s="267"/>
      <c r="S52" s="137" t="str">
        <f>IFERROR(IF(#REF!="","",S51-(SUM(#REF!))-(SUM(End_Sections!AH3,End_Sections!AH8))),"")</f>
        <v/>
      </c>
      <c r="T52" s="130"/>
      <c r="U52" s="131"/>
      <c r="V52" s="265" t="s">
        <v>71</v>
      </c>
      <c r="W52" s="267"/>
      <c r="X52" s="137" t="str">
        <f>IFERROR(IF(#REF!="","",X51-(SUM(#REF!))-(SUM(End_Sections!AI3,End_Sections!AI8))),"")</f>
        <v/>
      </c>
      <c r="Y52" s="130"/>
      <c r="Z52" s="131"/>
      <c r="AA52" s="265" t="s">
        <v>71</v>
      </c>
      <c r="AB52" s="267"/>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5" t="s">
        <v>75</v>
      </c>
      <c r="H53" s="267"/>
      <c r="I53" s="137" t="str">
        <f>IFERROR(IF(AND(#REF!="Y",#REF!="N"),J53,IF(End_Sections!AF2="A",IF(#REF!&lt;1000,J53+10,J53+20),J53)),"")</f>
        <v/>
      </c>
      <c r="J53" s="138" t="e">
        <f>IF(K53=0,"",K53)</f>
        <v>#REF!</v>
      </c>
      <c r="K53" s="131" t="e">
        <f>IF(I51=0,#REF!,IF(Aerial!DT3="",SUM(Aerial!DT2,End_Sections!AF4,End_Sections!AF9),Aerial!DT2))</f>
        <v>#REF!</v>
      </c>
      <c r="L53" s="265" t="s">
        <v>75</v>
      </c>
      <c r="M53" s="267"/>
      <c r="N53" s="137" t="str">
        <f>IFERROR(IF(AND(#REF!="Y",#REF!="N"),O53,IF(End_Sections!AG2="A",IF(#REF!&lt;1000,O53+10,O53+20),O53)),"")</f>
        <v/>
      </c>
      <c r="O53" s="138" t="e">
        <f>IF(P53=0,"",P53)</f>
        <v>#REF!</v>
      </c>
      <c r="P53" s="131" t="e">
        <f>IF(N51=0,#REF!,IF(Aerial!DX3="",SUM(Aerial!DX2,End_Sections!AG4,End_Sections!AG9),Aerial!DX2))</f>
        <v>#REF!</v>
      </c>
      <c r="Q53" s="265" t="s">
        <v>75</v>
      </c>
      <c r="R53" s="267"/>
      <c r="S53" s="137" t="str">
        <f>IFERROR(IF(AND(#REF!="Y",#REF!="N"),T53,IF(End_Sections!AH2="A",IF(#REF!&lt;1000,T53+10,T53+20),T53)),"")</f>
        <v/>
      </c>
      <c r="T53" s="138" t="e">
        <f>IF(U53=0,"",U53)</f>
        <v>#REF!</v>
      </c>
      <c r="U53" s="131" t="e">
        <f>IF(S51=0,#REF!,IF(Aerial!EB3="",SUM(Aerial!EB2,End_Sections!AH4,End_Sections!AH9),Aerial!EB2))</f>
        <v>#REF!</v>
      </c>
      <c r="V53" s="265" t="s">
        <v>75</v>
      </c>
      <c r="W53" s="267"/>
      <c r="X53" s="137" t="str">
        <f>IFERROR(IF(AND(#REF!="Y",#REF!="N"),Y53,IF(End_Sections!AI2="A",IF(#REF!&lt;1000,Y53+10,Y53+20),Y53)),"")</f>
        <v/>
      </c>
      <c r="Y53" s="138" t="e">
        <f>IF(Z53=0,"",Z53)</f>
        <v>#REF!</v>
      </c>
      <c r="Z53" s="131" t="e">
        <f>IF(X51=0,#REF!,IF(Aerial!EF3="",SUM(Aerial!EF2,End_Sections!AI4,End_Sections!AI9),Aerial!EF2))</f>
        <v>#REF!</v>
      </c>
      <c r="AA53" s="265" t="s">
        <v>75</v>
      </c>
      <c r="AB53" s="267"/>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5" t="s">
        <v>77</v>
      </c>
      <c r="H54" s="267"/>
      <c r="I54" s="137" t="e">
        <f>J54</f>
        <v>#REF!</v>
      </c>
      <c r="J54" s="138" t="e">
        <f>IF(K54=0,"",K54)</f>
        <v>#REF!</v>
      </c>
      <c r="K54" s="131" t="e">
        <f>IF(J53="","",IF(Aerial!DT3="","",SUM(Aerial!DT3,End_Sections!AF9)))</f>
        <v>#REF!</v>
      </c>
      <c r="L54" s="265" t="s">
        <v>77</v>
      </c>
      <c r="M54" s="267"/>
      <c r="N54" s="137" t="e">
        <f>O54</f>
        <v>#REF!</v>
      </c>
      <c r="O54" s="138" t="e">
        <f>IF(P54=0,"",P54)</f>
        <v>#REF!</v>
      </c>
      <c r="P54" s="131" t="e">
        <f>IF(O53="","",IF(Aerial!DX3="","",SUM(Aerial!DX3,End_Sections!AG9)))</f>
        <v>#REF!</v>
      </c>
      <c r="Q54" s="265" t="s">
        <v>77</v>
      </c>
      <c r="R54" s="267"/>
      <c r="S54" s="137" t="e">
        <f>T54</f>
        <v>#REF!</v>
      </c>
      <c r="T54" s="138" t="e">
        <f>IF(U54=0,"",U54)</f>
        <v>#REF!</v>
      </c>
      <c r="U54" s="131" t="e">
        <f>IF(T53="","",IF(Aerial!EB3="","",SUM(Aerial!EB3,End_Sections!AH9)))</f>
        <v>#REF!</v>
      </c>
      <c r="V54" s="265" t="s">
        <v>77</v>
      </c>
      <c r="W54" s="267"/>
      <c r="X54" s="137" t="e">
        <f>Y54</f>
        <v>#REF!</v>
      </c>
      <c r="Y54" s="138" t="e">
        <f>IF(Z54=0,"",Z54)</f>
        <v>#REF!</v>
      </c>
      <c r="Z54" s="131" t="e">
        <f>IF(Y53="","",IF(Aerial!EF3="","",SUM(Aerial!EF3,End_Sections!AI9)))</f>
        <v>#REF!</v>
      </c>
      <c r="AA54" s="265" t="s">
        <v>77</v>
      </c>
      <c r="AB54" s="267"/>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70" t="s">
        <v>118</v>
      </c>
      <c r="H57" s="270"/>
      <c r="I57" s="270"/>
      <c r="J57" s="130"/>
      <c r="K57" s="131"/>
      <c r="L57" s="270" t="s">
        <v>119</v>
      </c>
      <c r="M57" s="270"/>
      <c r="N57" s="270"/>
      <c r="O57" s="130"/>
      <c r="P57" s="131"/>
      <c r="Q57" s="270" t="s">
        <v>120</v>
      </c>
      <c r="R57" s="270"/>
      <c r="S57" s="270"/>
      <c r="T57" s="130"/>
      <c r="U57" s="131"/>
      <c r="V57" s="270" t="s">
        <v>121</v>
      </c>
      <c r="W57" s="270"/>
      <c r="X57" s="270"/>
      <c r="Y57" s="130"/>
      <c r="Z57" s="131"/>
      <c r="AA57" s="270" t="s">
        <v>122</v>
      </c>
      <c r="AB57" s="270"/>
      <c r="AC57" s="270"/>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5" t="s">
        <v>70</v>
      </c>
      <c r="H58" s="266"/>
      <c r="I58" s="137" t="str">
        <f>IFERROR(IF(AND(#REF!="Y",#REF!="N"),I59,IF(AND(I59&gt;0,End_Sections!AK2="B"),IF(#REF!&lt;1000,I59+10,I59+20),I59)),"")</f>
        <v/>
      </c>
      <c r="J58" s="130"/>
      <c r="K58" s="131"/>
      <c r="L58" s="265" t="s">
        <v>70</v>
      </c>
      <c r="M58" s="266"/>
      <c r="N58" s="137" t="str">
        <f>IFERROR(IF(AND(#REF!="Y",#REF!="N"),N59,IF(AND(N59&gt;0,End_Sections!AL2="B"),IF(#REF!&lt;1000,N59+10,N59+20),N59)),"")</f>
        <v/>
      </c>
      <c r="O58" s="130"/>
      <c r="P58" s="131"/>
      <c r="Q58" s="265" t="s">
        <v>70</v>
      </c>
      <c r="R58" s="266"/>
      <c r="S58" s="137" t="str">
        <f>IFERROR(IF(AND(#REF!="Y",#REF!="N"),S59,IF(AND(S59&gt;0,End_Sections!AM2="B"),IF(#REF!&lt;1000,S59+10,S59+20),S59)),"")</f>
        <v/>
      </c>
      <c r="T58" s="130"/>
      <c r="U58" s="131"/>
      <c r="V58" s="265" t="s">
        <v>70</v>
      </c>
      <c r="W58" s="266"/>
      <c r="X58" s="137" t="str">
        <f>IFERROR(IF(AND(#REF!="Y",#REF!="N"),X59,IF(AND(X59&gt;0,End_Sections!AN2="B"),IF(#REF!&lt;1000,X59+10,X59+20),X59)),"")</f>
        <v/>
      </c>
      <c r="Y58" s="130"/>
      <c r="Z58" s="131"/>
      <c r="AA58" s="265" t="s">
        <v>70</v>
      </c>
      <c r="AB58" s="266"/>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5" t="s">
        <v>72</v>
      </c>
      <c r="H59" s="266"/>
      <c r="I59" s="137" t="str">
        <f>IFERROR(IF(#REF!="","",IF(Aerial!EN2="",#REF!,#REF!-(SUM(Aerial!EN2,Aerial!EN3,End_Sections!AK4,End_Sections!AK9)))),"")</f>
        <v/>
      </c>
      <c r="J59" s="130"/>
      <c r="K59" s="131"/>
      <c r="L59" s="265" t="s">
        <v>72</v>
      </c>
      <c r="M59" s="266"/>
      <c r="N59" s="137" t="str">
        <f>IFERROR(IF(#REF!="","",IF(Aerial!ER2="",#REF!,#REF!-(SUM(Aerial!ER2,Aerial!ER3,End_Sections!AL4,End_Sections!AL9)))),"")</f>
        <v/>
      </c>
      <c r="O59" s="130"/>
      <c r="P59" s="131"/>
      <c r="Q59" s="265" t="s">
        <v>72</v>
      </c>
      <c r="R59" s="266"/>
      <c r="S59" s="137" t="str">
        <f>IFERROR(IF(#REF!="","",IF(Aerial!EV2="",#REF!,#REF!-(SUM(Aerial!EV2,Aerial!EV3,End_Sections!AM4,End_Sections!AM9)))),"")</f>
        <v/>
      </c>
      <c r="T59" s="130"/>
      <c r="U59" s="131"/>
      <c r="V59" s="265" t="s">
        <v>72</v>
      </c>
      <c r="W59" s="266"/>
      <c r="X59" s="137" t="str">
        <f>IFERROR(IF(#REF!="","",IF(Aerial!EZ2="",#REF!,#REF!-(SUM(Aerial!EZ2,Aerial!EZ3,End_Sections!AN4,End_Sections!AN9)))),"")</f>
        <v/>
      </c>
      <c r="Y59" s="130"/>
      <c r="Z59" s="131"/>
      <c r="AA59" s="265" t="s">
        <v>72</v>
      </c>
      <c r="AB59" s="266"/>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5" t="s">
        <v>71</v>
      </c>
      <c r="H60" s="267"/>
      <c r="I60" s="137" t="str">
        <f>IFERROR(IF(#REF!="","",I59-(SUM(#REF!))-(SUM(End_Sections!AK3,End_Sections!AK8))),"")</f>
        <v/>
      </c>
      <c r="J60" s="130"/>
      <c r="K60" s="131"/>
      <c r="L60" s="265" t="s">
        <v>71</v>
      </c>
      <c r="M60" s="267"/>
      <c r="N60" s="137" t="str">
        <f>IFERROR(IF(#REF!="","",N59-(SUM(#REF!))-(SUM(End_Sections!AL3,End_Sections!AL8))),"")</f>
        <v/>
      </c>
      <c r="O60" s="130"/>
      <c r="P60" s="131"/>
      <c r="Q60" s="265" t="s">
        <v>71</v>
      </c>
      <c r="R60" s="267"/>
      <c r="S60" s="137" t="str">
        <f>IFERROR(IF(#REF!="","",S59-(SUM(#REF!))-(SUM(End_Sections!AM3,End_Sections!AM8))),"")</f>
        <v/>
      </c>
      <c r="T60" s="130"/>
      <c r="U60" s="131"/>
      <c r="V60" s="265" t="s">
        <v>71</v>
      </c>
      <c r="W60" s="267"/>
      <c r="X60" s="137" t="str">
        <f>IFERROR(IF(#REF!="","",X59-(SUM(#REF!))-(SUM(End_Sections!AN3,End_Sections!AN8))),"")</f>
        <v/>
      </c>
      <c r="Y60" s="130"/>
      <c r="Z60" s="131"/>
      <c r="AA60" s="265" t="s">
        <v>71</v>
      </c>
      <c r="AB60" s="267"/>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5" t="s">
        <v>75</v>
      </c>
      <c r="H61" s="267"/>
      <c r="I61" s="137" t="str">
        <f>IFERROR(IF(AND(#REF!="Y",#REF!="N"),J61,IF(End_Sections!AK2="A",IF(#REF!&lt;1000,J61+10,J61+20),J61)),"")</f>
        <v/>
      </c>
      <c r="J61" s="138" t="e">
        <f>IF(K61=0,"",K61)</f>
        <v>#REF!</v>
      </c>
      <c r="K61" s="131" t="e">
        <f>IF(I59=0,#REF!,IF(Aerial!EN3="",SUM(Aerial!EN2,End_Sections!AK4,End_Sections!AK9),Aerial!EN2))</f>
        <v>#REF!</v>
      </c>
      <c r="L61" s="265" t="s">
        <v>75</v>
      </c>
      <c r="M61" s="267"/>
      <c r="N61" s="137" t="str">
        <f>IFERROR(IF(AND(#REF!="Y",#REF!="N"),O61,IF(End_Sections!AL2="A",IF(#REF!&lt;1000,O61+10,O61+20),O61)),"")</f>
        <v/>
      </c>
      <c r="O61" s="138" t="e">
        <f>IF(P61=0,"",P61)</f>
        <v>#REF!</v>
      </c>
      <c r="P61" s="131" t="e">
        <f>IF(N59=0,#REF!,IF(Aerial!ER3="",SUM(Aerial!ER2,End_Sections!AL4,End_Sections!AL9),Aerial!ER2))</f>
        <v>#REF!</v>
      </c>
      <c r="Q61" s="265" t="s">
        <v>75</v>
      </c>
      <c r="R61" s="267"/>
      <c r="S61" s="137" t="str">
        <f>IFERROR(IF(AND(#REF!="Y",#REF!="N"),T61,IF(End_Sections!AM2="A",IF(#REF!&lt;1000,T61+10,T61+20),T61)),"")</f>
        <v/>
      </c>
      <c r="T61" s="138" t="e">
        <f>IF(U61=0,"",U61)</f>
        <v>#REF!</v>
      </c>
      <c r="U61" s="131" t="e">
        <f>IF(S59=0,#REF!,IF(Aerial!EV3="",SUM(Aerial!EV2,End_Sections!AM4,End_Sections!AM9),Aerial!EV2))</f>
        <v>#REF!</v>
      </c>
      <c r="V61" s="265" t="s">
        <v>75</v>
      </c>
      <c r="W61" s="267"/>
      <c r="X61" s="137" t="str">
        <f>IFERROR(IF(AND(#REF!="Y",#REF!="N"),Y61,IF(End_Sections!AN2="A",IF(#REF!&lt;1000,Y61+10,Y61+20),Y61)),"")</f>
        <v/>
      </c>
      <c r="Y61" s="138" t="e">
        <f>IF(Z61=0,"",Z61)</f>
        <v>#REF!</v>
      </c>
      <c r="Z61" s="131" t="e">
        <f>IF(X59=0,#REF!,IF(Aerial!EZ3="",SUM(Aerial!EZ2,End_Sections!AN4,End_Sections!AN9),Aerial!EZ2))</f>
        <v>#REF!</v>
      </c>
      <c r="AA61" s="265" t="s">
        <v>75</v>
      </c>
      <c r="AB61" s="267"/>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5" t="s">
        <v>77</v>
      </c>
      <c r="H62" s="267"/>
      <c r="I62" s="137" t="e">
        <f>J62</f>
        <v>#REF!</v>
      </c>
      <c r="J62" s="138" t="e">
        <f>IF(K62=0,"",K62)</f>
        <v>#REF!</v>
      </c>
      <c r="K62" s="131" t="e">
        <f>IF(J61="","",IF(Aerial!EN3="","",SUM(Aerial!EN3,End_Sections!AK9)))</f>
        <v>#REF!</v>
      </c>
      <c r="L62" s="265" t="s">
        <v>77</v>
      </c>
      <c r="M62" s="267"/>
      <c r="N62" s="137" t="e">
        <f>O62</f>
        <v>#REF!</v>
      </c>
      <c r="O62" s="138" t="e">
        <f>IF(P62=0,"",P62)</f>
        <v>#REF!</v>
      </c>
      <c r="P62" s="131" t="e">
        <f>IF(O61="","",IF(Aerial!ER3="","",SUM(Aerial!ER3,End_Sections!AL9)))</f>
        <v>#REF!</v>
      </c>
      <c r="Q62" s="265" t="s">
        <v>77</v>
      </c>
      <c r="R62" s="267"/>
      <c r="S62" s="137" t="e">
        <f>T62</f>
        <v>#REF!</v>
      </c>
      <c r="T62" s="138" t="e">
        <f>IF(U62=0,"",U62)</f>
        <v>#REF!</v>
      </c>
      <c r="U62" s="131" t="e">
        <f>IF(T61="","",IF(Aerial!EV3="","",SUM(Aerial!EV3,End_Sections!AM9)))</f>
        <v>#REF!</v>
      </c>
      <c r="V62" s="265" t="s">
        <v>77</v>
      </c>
      <c r="W62" s="267"/>
      <c r="X62" s="137" t="e">
        <f>Y62</f>
        <v>#REF!</v>
      </c>
      <c r="Y62" s="138" t="e">
        <f>IF(Z62=0,"",Z62)</f>
        <v>#REF!</v>
      </c>
      <c r="Z62" s="131" t="e">
        <f>IF(Y61="","",IF(Aerial!EZ3="","",SUM(Aerial!EZ3,End_Sections!AN9)))</f>
        <v>#REF!</v>
      </c>
      <c r="AA62" s="265" t="s">
        <v>77</v>
      </c>
      <c r="AB62" s="267"/>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CV1" zoomScaleNormal="100" workbookViewId="0">
      <pane ySplit="8" topLeftCell="A9" activePane="bottomLeft" state="frozen"/>
      <selection pane="bottomLeft" activeCell="DH20" sqref="DH20"/>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6" t="s">
        <v>123</v>
      </c>
      <c r="B1" s="276"/>
      <c r="C1" s="276"/>
      <c r="D1" s="276"/>
      <c r="F1" s="276" t="s">
        <v>124</v>
      </c>
      <c r="G1" s="276"/>
      <c r="H1" s="276"/>
      <c r="I1" s="276"/>
      <c r="K1" s="276" t="s">
        <v>125</v>
      </c>
      <c r="L1" s="276"/>
      <c r="M1" s="276"/>
      <c r="N1" s="276"/>
      <c r="P1" s="276" t="s">
        <v>126</v>
      </c>
      <c r="Q1" s="276"/>
      <c r="R1" s="276"/>
      <c r="S1" s="276"/>
      <c r="U1" s="276" t="s">
        <v>127</v>
      </c>
      <c r="V1" s="276"/>
      <c r="W1" s="276"/>
      <c r="X1" s="276"/>
      <c r="Z1" s="276" t="s">
        <v>128</v>
      </c>
      <c r="AA1" s="276"/>
      <c r="AB1" s="276"/>
      <c r="AC1" s="276"/>
      <c r="AE1" s="276" t="s">
        <v>129</v>
      </c>
      <c r="AF1" s="276"/>
      <c r="AG1" s="276"/>
      <c r="AH1" s="276"/>
      <c r="AJ1" s="276" t="s">
        <v>130</v>
      </c>
      <c r="AK1" s="276"/>
      <c r="AL1" s="276"/>
      <c r="AM1" s="276"/>
      <c r="AO1" s="276" t="s">
        <v>131</v>
      </c>
      <c r="AP1" s="276"/>
      <c r="AQ1" s="276"/>
      <c r="AR1" s="276"/>
      <c r="AT1" s="276" t="s">
        <v>132</v>
      </c>
      <c r="AU1" s="276"/>
      <c r="AV1" s="276"/>
      <c r="AW1" s="276"/>
      <c r="AY1" s="276" t="s">
        <v>133</v>
      </c>
      <c r="AZ1" s="276"/>
      <c r="BA1" s="276"/>
      <c r="BB1" s="276"/>
      <c r="BD1" s="276" t="s">
        <v>134</v>
      </c>
      <c r="BE1" s="276"/>
      <c r="BF1" s="276"/>
      <c r="BG1" s="276"/>
      <c r="BI1" s="276" t="s">
        <v>135</v>
      </c>
      <c r="BJ1" s="276"/>
      <c r="BK1" s="276"/>
      <c r="BL1" s="276"/>
      <c r="BN1" s="276" t="s">
        <v>136</v>
      </c>
      <c r="BO1" s="276"/>
      <c r="BP1" s="276"/>
      <c r="BQ1" s="276"/>
      <c r="BS1" s="276" t="s">
        <v>137</v>
      </c>
      <c r="BT1" s="276"/>
      <c r="BU1" s="276"/>
      <c r="BV1" s="276"/>
      <c r="BX1" s="276" t="s">
        <v>138</v>
      </c>
      <c r="BY1" s="276"/>
      <c r="BZ1" s="276"/>
      <c r="CA1" s="276"/>
      <c r="CC1" s="276" t="s">
        <v>139</v>
      </c>
      <c r="CD1" s="276"/>
      <c r="CE1" s="276"/>
      <c r="CF1" s="276"/>
      <c r="CH1" s="276" t="s">
        <v>140</v>
      </c>
      <c r="CI1" s="276"/>
      <c r="CJ1" s="276"/>
      <c r="CK1" s="276"/>
      <c r="CM1" s="276" t="s">
        <v>141</v>
      </c>
      <c r="CN1" s="276"/>
      <c r="CO1" s="276"/>
      <c r="CP1" s="276"/>
      <c r="CR1" s="276" t="s">
        <v>142</v>
      </c>
      <c r="CS1" s="276"/>
      <c r="CT1" s="276"/>
      <c r="CU1" s="276"/>
      <c r="CW1" s="276" t="s">
        <v>143</v>
      </c>
      <c r="CX1" s="276"/>
      <c r="CY1" s="276"/>
      <c r="CZ1" s="276"/>
      <c r="DB1" s="276" t="s">
        <v>144</v>
      </c>
      <c r="DC1" s="276"/>
      <c r="DD1" s="276"/>
      <c r="DE1" s="276"/>
      <c r="DG1" s="276" t="s">
        <v>145</v>
      </c>
      <c r="DH1" s="276"/>
      <c r="DI1" s="276"/>
      <c r="DJ1" s="276"/>
      <c r="DL1" s="276" t="s">
        <v>146</v>
      </c>
      <c r="DM1" s="276"/>
      <c r="DN1" s="276"/>
      <c r="DO1" s="276"/>
      <c r="DQ1" s="276" t="s">
        <v>147</v>
      </c>
      <c r="DR1" s="276"/>
      <c r="DS1" s="276"/>
      <c r="DT1" s="276"/>
      <c r="DV1" s="276" t="s">
        <v>148</v>
      </c>
      <c r="DW1" s="276"/>
      <c r="DX1" s="276"/>
      <c r="DY1" s="276"/>
      <c r="EA1" s="276" t="s">
        <v>149</v>
      </c>
      <c r="EB1" s="276"/>
      <c r="EC1" s="276"/>
      <c r="ED1" s="276"/>
      <c r="EF1" s="276" t="s">
        <v>150</v>
      </c>
      <c r="EG1" s="276"/>
      <c r="EH1" s="276"/>
      <c r="EI1" s="276"/>
      <c r="EK1" s="276" t="s">
        <v>151</v>
      </c>
      <c r="EL1" s="276"/>
      <c r="EM1" s="276"/>
      <c r="EN1" s="276"/>
      <c r="EP1" s="276" t="s">
        <v>152</v>
      </c>
      <c r="EQ1" s="276"/>
      <c r="ER1" s="276"/>
      <c r="ES1" s="276"/>
      <c r="EU1" s="276" t="s">
        <v>153</v>
      </c>
      <c r="EV1" s="276"/>
      <c r="EW1" s="276"/>
      <c r="EX1" s="276"/>
      <c r="EZ1" s="276" t="s">
        <v>154</v>
      </c>
      <c r="FA1" s="276"/>
      <c r="FB1" s="276"/>
      <c r="FC1" s="276"/>
      <c r="FE1" s="276" t="s">
        <v>155</v>
      </c>
      <c r="FF1" s="276"/>
      <c r="FG1" s="276"/>
      <c r="FH1" s="276"/>
      <c r="FJ1" s="276" t="s">
        <v>156</v>
      </c>
      <c r="FK1" s="276"/>
      <c r="FL1" s="276"/>
      <c r="FM1" s="276"/>
      <c r="FO1" s="276" t="s">
        <v>157</v>
      </c>
      <c r="FP1" s="276"/>
      <c r="FQ1" s="276"/>
      <c r="FR1" s="276"/>
      <c r="FT1" s="276" t="s">
        <v>158</v>
      </c>
      <c r="FU1" s="276"/>
      <c r="FV1" s="276"/>
      <c r="FW1" s="276"/>
      <c r="FY1" s="276" t="s">
        <v>159</v>
      </c>
      <c r="FZ1" s="276"/>
      <c r="GA1" s="276"/>
      <c r="GB1" s="276"/>
      <c r="GD1" s="276" t="s">
        <v>160</v>
      </c>
      <c r="GE1" s="276"/>
      <c r="GF1" s="276"/>
      <c r="GG1" s="276"/>
      <c r="GI1" s="276" t="s">
        <v>161</v>
      </c>
      <c r="GJ1" s="276"/>
      <c r="GK1" s="276"/>
      <c r="GL1" s="276"/>
      <c r="GN1" s="276" t="s">
        <v>162</v>
      </c>
      <c r="GO1" s="276"/>
      <c r="GP1" s="276"/>
      <c r="GQ1" s="276"/>
      <c r="GS1" s="276" t="s">
        <v>163</v>
      </c>
      <c r="GT1" s="276"/>
      <c r="GU1" s="276"/>
      <c r="GV1" s="276"/>
      <c r="GX1" s="276" t="s">
        <v>164</v>
      </c>
      <c r="GY1" s="276"/>
      <c r="GZ1" s="276"/>
      <c r="HA1" s="276"/>
      <c r="HC1" s="276" t="s">
        <v>165</v>
      </c>
      <c r="HD1" s="276"/>
      <c r="HE1" s="276"/>
      <c r="HF1" s="276"/>
      <c r="HH1" s="276" t="s">
        <v>166</v>
      </c>
      <c r="HI1" s="276"/>
      <c r="HJ1" s="276"/>
      <c r="HK1" s="276"/>
      <c r="HM1" s="276" t="s">
        <v>167</v>
      </c>
      <c r="HN1" s="276"/>
      <c r="HO1" s="276"/>
      <c r="HP1" s="276"/>
      <c r="HR1" s="276" t="s">
        <v>168</v>
      </c>
      <c r="HS1" s="276"/>
      <c r="HT1" s="276"/>
      <c r="HU1" s="276"/>
      <c r="HW1" s="276" t="s">
        <v>169</v>
      </c>
      <c r="HX1" s="276"/>
      <c r="HY1" s="276"/>
      <c r="HZ1" s="276"/>
      <c r="IB1" s="276" t="s">
        <v>170</v>
      </c>
      <c r="IC1" s="276"/>
      <c r="ID1" s="276"/>
      <c r="IE1" s="276"/>
      <c r="IG1" s="276" t="s">
        <v>171</v>
      </c>
      <c r="IH1" s="276"/>
      <c r="II1" s="276"/>
      <c r="IJ1" s="276"/>
      <c r="IL1" s="276" t="s">
        <v>172</v>
      </c>
      <c r="IM1" s="276"/>
      <c r="IN1" s="276"/>
      <c r="IO1" s="276"/>
    </row>
    <row r="2" spans="1:250" x14ac:dyDescent="0.25">
      <c r="A2" s="277" t="s">
        <v>173</v>
      </c>
      <c r="B2" s="277"/>
      <c r="C2" s="277"/>
      <c r="D2" s="14">
        <f>IF(D3="","",IF(AND(D5="Y",D6="N"),D3,IF(D3&lt;1000,D3+10,D3+20)))</f>
        <v>1534</v>
      </c>
      <c r="F2" s="277" t="s">
        <v>173</v>
      </c>
      <c r="G2" s="277"/>
      <c r="H2" s="277"/>
      <c r="I2" s="14">
        <f>IF(I3="","",IF(AND(I5="Y",I6="N"),I3,IF(I3&lt;1000,I3+10,I3+20)))</f>
        <v>196</v>
      </c>
      <c r="K2" s="277" t="s">
        <v>173</v>
      </c>
      <c r="L2" s="277"/>
      <c r="M2" s="277"/>
      <c r="N2" s="14">
        <f>IF(N3="","",IF(AND(N5="Y",N6="N"),N3,IF(N3&lt;1000,N3+10,N3+20)))</f>
        <v>1323</v>
      </c>
      <c r="P2" s="277" t="s">
        <v>173</v>
      </c>
      <c r="Q2" s="277"/>
      <c r="R2" s="277"/>
      <c r="S2" s="14">
        <f>IF(S3="","",IF(AND(S5="Y",S6="N"),S3,IF(S3&lt;1000,S3+10,S3+20)))</f>
        <v>3089</v>
      </c>
      <c r="U2" s="277" t="s">
        <v>173</v>
      </c>
      <c r="V2" s="277"/>
      <c r="W2" s="277"/>
      <c r="X2" s="14">
        <f>IF(X3="","",IF(AND(X5="Y",X6="N"),X3,IF(X3&lt;1000,X3+10,X3+20)))</f>
        <v>647</v>
      </c>
      <c r="Z2" s="277" t="s">
        <v>173</v>
      </c>
      <c r="AA2" s="277"/>
      <c r="AB2" s="277"/>
      <c r="AC2" s="14">
        <f>IF(AC3="","",IF(AND(AC5="Y",AC6="N"),AC3,IF(AC3&lt;1000,AC3+10,AC3+20)))</f>
        <v>1219</v>
      </c>
      <c r="AE2" s="277" t="s">
        <v>173</v>
      </c>
      <c r="AF2" s="277"/>
      <c r="AG2" s="277"/>
      <c r="AH2" s="14">
        <f>IF(AH3="","",IF(AND(AH5="Y",AH6="N"),AH3,IF(AH3&lt;1000,AH3+10,AH3+20)))</f>
        <v>3009</v>
      </c>
      <c r="AJ2" s="277" t="s">
        <v>173</v>
      </c>
      <c r="AK2" s="277"/>
      <c r="AL2" s="277"/>
      <c r="AM2" s="14">
        <f>IF(AM3="","",IF(AND(AM5="Y",AM6="N"),AM3,IF(AM3&lt;1000,AM3+10,AM3+20)))</f>
        <v>2442</v>
      </c>
      <c r="AO2" s="277" t="s">
        <v>173</v>
      </c>
      <c r="AP2" s="277"/>
      <c r="AQ2" s="277"/>
      <c r="AR2" s="14">
        <f>IF(AR3="","",IF(AND(AR5="Y",AR6="N"),AR3,IF(AR3&lt;1000,AR3+10,AR3+20)))</f>
        <v>2443</v>
      </c>
      <c r="AT2" s="277" t="s">
        <v>173</v>
      </c>
      <c r="AU2" s="277"/>
      <c r="AV2" s="277"/>
      <c r="AW2" s="14">
        <f>IF(AW3="","",IF(AND(AW5="Y",AW6="N"),AW3,IF(AW3&lt;1000,AW3+10,AW3+20)))</f>
        <v>2581</v>
      </c>
      <c r="AY2" s="277" t="s">
        <v>173</v>
      </c>
      <c r="AZ2" s="277"/>
      <c r="BA2" s="277"/>
      <c r="BB2" s="14">
        <f>IF(BB3="","",IF(AND(BB5="Y",BB6="N"),BB3,IF(BB3&lt;1000,BB3+10,BB3+20)))</f>
        <v>2142</v>
      </c>
      <c r="BD2" s="277" t="s">
        <v>173</v>
      </c>
      <c r="BE2" s="277"/>
      <c r="BF2" s="277"/>
      <c r="BG2" s="14">
        <f>IF(BG3="","",IF(AND(BG5="Y",BG6="N"),BG3,IF(BG3&lt;1000,BG3+10,BG3+20)))</f>
        <v>2392</v>
      </c>
      <c r="BI2" s="277" t="s">
        <v>173</v>
      </c>
      <c r="BJ2" s="277"/>
      <c r="BK2" s="277"/>
      <c r="BL2" s="14">
        <f>IF(BL3="","",IF(AND(BL5="Y",BL6="N"),BL3,IF(BL3&lt;1000,BL3+10,BL3+20)))</f>
        <v>768</v>
      </c>
      <c r="BN2" s="277" t="s">
        <v>173</v>
      </c>
      <c r="BO2" s="277"/>
      <c r="BP2" s="277"/>
      <c r="BQ2" s="14">
        <f>IF(BQ3="","",IF(AND(BQ5="Y",BQ6="N"),BQ3,IF(BQ3&lt;1000,BQ3+10,BQ3+20)))</f>
        <v>1162</v>
      </c>
      <c r="BS2" s="277" t="s">
        <v>173</v>
      </c>
      <c r="BT2" s="277"/>
      <c r="BU2" s="277"/>
      <c r="BV2" s="14">
        <f>IF(BV3="","",IF(AND(BV5="Y",BV6="N"),BV3,IF(BV3&lt;1000,BV3+10,BV3+20)))</f>
        <v>1730</v>
      </c>
      <c r="BX2" s="277" t="s">
        <v>173</v>
      </c>
      <c r="BY2" s="277"/>
      <c r="BZ2" s="277"/>
      <c r="CA2" s="14">
        <f>IF(CA3="","",IF(AND(CA5="Y",CA6="N"),CA3,IF(CA3&lt;1000,CA3+10,CA3+20)))</f>
        <v>2159</v>
      </c>
      <c r="CC2" s="277" t="s">
        <v>173</v>
      </c>
      <c r="CD2" s="277"/>
      <c r="CE2" s="277"/>
      <c r="CF2" s="14">
        <f>IF(CF3="","",IF(AND(CF5="Y",CF6="N"),CF3,IF(CF3&lt;1000,CF3+10,CF3+20)))</f>
        <v>3033</v>
      </c>
      <c r="CH2" s="277" t="s">
        <v>173</v>
      </c>
      <c r="CI2" s="277"/>
      <c r="CJ2" s="277"/>
      <c r="CK2" s="14">
        <f>IF(CK3="","",IF(AND(CK5="Y",CK6="N"),CK3,IF(CK3&lt;1000,CK3+10,CK3+20)))</f>
        <v>2521</v>
      </c>
      <c r="CM2" s="277" t="s">
        <v>173</v>
      </c>
      <c r="CN2" s="277"/>
      <c r="CO2" s="277"/>
      <c r="CP2" s="14">
        <f>IF(CP3="","",IF(AND(CP5="Y",CP6="N"),CP3,IF(CP3&lt;1000,CP3+10,CP3+20)))</f>
        <v>735</v>
      </c>
      <c r="CR2" s="277" t="s">
        <v>173</v>
      </c>
      <c r="CS2" s="277"/>
      <c r="CT2" s="277"/>
      <c r="CU2" s="14">
        <f>IF(CU3="","",IF(AND(CU5="Y",CU6="N"),CU3,IF(CU3&lt;1000,CU3+10,CU3+20)))</f>
        <v>2937</v>
      </c>
      <c r="CW2" s="277" t="s">
        <v>173</v>
      </c>
      <c r="CX2" s="277"/>
      <c r="CY2" s="277"/>
      <c r="CZ2" s="14">
        <f>IF(CZ3="","",IF(AND(CZ5="Y",CZ6="N"),CZ3,IF(CZ3&lt;1000,CZ3+10,CZ3+20)))</f>
        <v>1473</v>
      </c>
      <c r="DB2" s="277" t="s">
        <v>173</v>
      </c>
      <c r="DC2" s="277"/>
      <c r="DD2" s="277"/>
      <c r="DE2" s="14">
        <f>IF(DE3="","",IF(AND(DE5="Y",DE6="N"),DE3,IF(DE3&lt;1000,DE3+10,DE3+20)))</f>
        <v>430</v>
      </c>
      <c r="DG2" s="277" t="s">
        <v>173</v>
      </c>
      <c r="DH2" s="277"/>
      <c r="DI2" s="277"/>
      <c r="DJ2" s="14">
        <f>IF(DJ3="","",IF(AND(DJ5="Y",DJ6="N"),DJ3,IF(DJ3&lt;1000,DJ3+10,DJ3+20)))</f>
        <v>335</v>
      </c>
      <c r="DL2" s="277" t="s">
        <v>173</v>
      </c>
      <c r="DM2" s="277"/>
      <c r="DN2" s="277"/>
      <c r="DO2" s="14" t="str">
        <f>IF(DO3="","",IF(AND(DO5="Y",DO6="N"),DO3,IF(DO3&lt;1000,DO3+10,DO3+20)))</f>
        <v/>
      </c>
      <c r="DQ2" s="277" t="s">
        <v>173</v>
      </c>
      <c r="DR2" s="277"/>
      <c r="DS2" s="277"/>
      <c r="DT2" s="14" t="str">
        <f>IF(DT3="","",IF(AND(DT5="Y",DT6="N"),DT3,IF(DT3&lt;1000,DT3+10,DT3+20)))</f>
        <v/>
      </c>
      <c r="DV2" s="277" t="s">
        <v>173</v>
      </c>
      <c r="DW2" s="277"/>
      <c r="DX2" s="277"/>
      <c r="DY2" s="14" t="str">
        <f>IF(DY3="","",IF(AND(DY5="Y",DY6="N"),DY3,IF(DY3&lt;1000,DY3+10,DY3+20)))</f>
        <v/>
      </c>
      <c r="EA2" s="277" t="s">
        <v>173</v>
      </c>
      <c r="EB2" s="277"/>
      <c r="EC2" s="277"/>
      <c r="ED2" s="14" t="str">
        <f>IF(ED3="","",IF(AND(ED5="Y",ED6="N"),ED3,IF(ED3&lt;1000,ED3+10,ED3+20)))</f>
        <v/>
      </c>
      <c r="EF2" s="277" t="s">
        <v>173</v>
      </c>
      <c r="EG2" s="277"/>
      <c r="EH2" s="277"/>
      <c r="EI2" s="14" t="str">
        <f>IF(EI3="","",IF(AND(EI5="Y",EI6="N"),EI3,IF(EI3&lt;1000,EI3+10,EI3+20)))</f>
        <v/>
      </c>
      <c r="EK2" s="277" t="s">
        <v>173</v>
      </c>
      <c r="EL2" s="277"/>
      <c r="EM2" s="277"/>
      <c r="EN2" s="14" t="str">
        <f>IF(EN3="","",IF(AND(EN5="Y",EN6="N"),EN3,IF(EN3&lt;1000,EN3+10,EN3+20)))</f>
        <v/>
      </c>
      <c r="EP2" s="277" t="s">
        <v>173</v>
      </c>
      <c r="EQ2" s="277"/>
      <c r="ER2" s="277"/>
      <c r="ES2" s="14" t="str">
        <f>IF(ES3="","",IF(AND(ES5="Y",ES6="N"),ES3,IF(ES3&lt;1000,ES3+10,ES3+20)))</f>
        <v/>
      </c>
      <c r="EU2" s="277" t="s">
        <v>173</v>
      </c>
      <c r="EV2" s="277"/>
      <c r="EW2" s="277"/>
      <c r="EX2" s="14" t="str">
        <f>IF(EX3="","",IF(AND(EX5="Y",EX6="N"),EX3,IF(EX3&lt;1000,EX3+10,EX3+20)))</f>
        <v/>
      </c>
      <c r="EZ2" s="277" t="s">
        <v>173</v>
      </c>
      <c r="FA2" s="277"/>
      <c r="FB2" s="277"/>
      <c r="FC2" s="14" t="str">
        <f>IF(FC3="","",IF(AND(FC5="Y",FC6="N"),FC3,IF(FC3&lt;1000,FC3+10,FC3+20)))</f>
        <v/>
      </c>
      <c r="FE2" s="277" t="s">
        <v>173</v>
      </c>
      <c r="FF2" s="277"/>
      <c r="FG2" s="277"/>
      <c r="FH2" s="14" t="str">
        <f>IF(FH3="","",IF(AND(FH5="Y",FH6="N"),FH3,IF(FH3&lt;1000,FH3+10,FH3+20)))</f>
        <v/>
      </c>
      <c r="FJ2" s="277" t="s">
        <v>173</v>
      </c>
      <c r="FK2" s="277"/>
      <c r="FL2" s="277"/>
      <c r="FM2" s="14" t="str">
        <f>IF(FM3="","",IF(AND(FM5="Y",FM6="N"),FM3,IF(FM3&lt;1000,FM3+10,FM3+20)))</f>
        <v/>
      </c>
      <c r="FO2" s="277" t="s">
        <v>173</v>
      </c>
      <c r="FP2" s="277"/>
      <c r="FQ2" s="277"/>
      <c r="FR2" s="14" t="str">
        <f>IF(FR3="","",IF(AND(FR5="Y",FR6="N"),FR3,IF(FR3&lt;1000,FR3+10,FR3+20)))</f>
        <v/>
      </c>
      <c r="FT2" s="277" t="s">
        <v>173</v>
      </c>
      <c r="FU2" s="277"/>
      <c r="FV2" s="277"/>
      <c r="FW2" s="14" t="str">
        <f>IF(FW3="","",IF(AND(FW5="Y",FW6="N"),FW3,IF(FW3&lt;1000,FW3+10,FW3+20)))</f>
        <v/>
      </c>
      <c r="FY2" s="277" t="s">
        <v>173</v>
      </c>
      <c r="FZ2" s="277"/>
      <c r="GA2" s="277"/>
      <c r="GB2" s="14" t="str">
        <f>IF(GB3="","",IF(AND(GB5="Y",GB6="N"),GB3,IF(GB3&lt;1000,GB3+10,GB3+20)))</f>
        <v/>
      </c>
      <c r="GD2" s="277" t="s">
        <v>173</v>
      </c>
      <c r="GE2" s="277"/>
      <c r="GF2" s="277"/>
      <c r="GG2" s="14" t="str">
        <f>IF(GG3="","",IF(AND(GG5="Y",GG6="N"),GG3,IF(GG3&lt;1000,GG3+10,GG3+20)))</f>
        <v/>
      </c>
      <c r="GI2" s="277" t="s">
        <v>173</v>
      </c>
      <c r="GJ2" s="277"/>
      <c r="GK2" s="277"/>
      <c r="GL2" s="14" t="str">
        <f>IF(GL3="","",IF(AND(GL5="Y",GL6="N"),GL3,IF(GL3&lt;1000,GL3+10,GL3+20)))</f>
        <v/>
      </c>
      <c r="GN2" s="277" t="s">
        <v>173</v>
      </c>
      <c r="GO2" s="277"/>
      <c r="GP2" s="277"/>
      <c r="GQ2" s="14" t="str">
        <f>IF(GQ3="","",IF(AND(GQ5="Y",GQ6="N"),GQ3,IF(GQ3&lt;1000,GQ3+10,GQ3+20)))</f>
        <v/>
      </c>
      <c r="GS2" s="277" t="s">
        <v>173</v>
      </c>
      <c r="GT2" s="277"/>
      <c r="GU2" s="277"/>
      <c r="GV2" s="14" t="str">
        <f>IF(GV3="","",IF(AND(GV5="Y",GV6="N"),GV3,IF(GV3&lt;1000,GV3+10,GV3+20)))</f>
        <v/>
      </c>
      <c r="GX2" s="277" t="s">
        <v>173</v>
      </c>
      <c r="GY2" s="277"/>
      <c r="GZ2" s="277"/>
      <c r="HA2" s="14" t="str">
        <f>IF(HA3="","",IF(AND(HA5="Y",HA6="N"),HA3,IF(HA3&lt;1000,HA3+10,HA3+20)))</f>
        <v/>
      </c>
      <c r="HC2" s="277" t="s">
        <v>173</v>
      </c>
      <c r="HD2" s="277"/>
      <c r="HE2" s="277"/>
      <c r="HF2" s="14" t="str">
        <f>IF(HF3="","",IF(AND(HF5="Y",HF6="N"),HF3,IF(HF3&lt;1000,HF3+10,HF3+20)))</f>
        <v/>
      </c>
      <c r="HH2" s="277" t="s">
        <v>173</v>
      </c>
      <c r="HI2" s="277"/>
      <c r="HJ2" s="277"/>
      <c r="HK2" s="14" t="str">
        <f>IF(HK3="","",IF(AND(HK5="Y",HK6="N"),HK3,IF(HK3&lt;1000,HK3+10,HK3+20)))</f>
        <v/>
      </c>
      <c r="HM2" s="277" t="s">
        <v>173</v>
      </c>
      <c r="HN2" s="277"/>
      <c r="HO2" s="277"/>
      <c r="HP2" s="14" t="str">
        <f>IF(HP3="","",IF(AND(HP5="Y",HP6="N"),HP3,IF(HP3&lt;1000,HP3+10,HP3+20)))</f>
        <v/>
      </c>
      <c r="HR2" s="277" t="s">
        <v>173</v>
      </c>
      <c r="HS2" s="277"/>
      <c r="HT2" s="277"/>
      <c r="HU2" s="14" t="str">
        <f>IF(HU3="","",IF(AND(HU5="Y",HU6="N"),HU3,IF(HU3&lt;1000,HU3+10,HU3+20)))</f>
        <v/>
      </c>
      <c r="HW2" s="277" t="s">
        <v>173</v>
      </c>
      <c r="HX2" s="277"/>
      <c r="HY2" s="277"/>
      <c r="HZ2" s="14" t="str">
        <f>IF(HZ3="","",IF(AND(HZ5="Y",HZ6="N"),HZ3,IF(HZ3&lt;1000,HZ3+10,HZ3+20)))</f>
        <v/>
      </c>
      <c r="IB2" s="277" t="s">
        <v>173</v>
      </c>
      <c r="IC2" s="277"/>
      <c r="ID2" s="277"/>
      <c r="IE2" s="14" t="str">
        <f>IF(IE3="","",IF(AND(IE5="Y",IE6="N"),IE3,IF(IE3&lt;1000,IE3+10,IE3+20)))</f>
        <v/>
      </c>
      <c r="IG2" s="277" t="s">
        <v>173</v>
      </c>
      <c r="IH2" s="277"/>
      <c r="II2" s="277"/>
      <c r="IJ2" s="14" t="str">
        <f>IF(IJ3="","",IF(AND(IJ5="Y",IJ6="N"),IJ3,IF(IJ3&lt;1000,IJ3+10,IJ3+20)))</f>
        <v/>
      </c>
      <c r="IL2" s="277" t="s">
        <v>173</v>
      </c>
      <c r="IM2" s="277"/>
      <c r="IN2" s="277"/>
      <c r="IO2" s="14" t="str">
        <f>IF(IO3="","",IF(AND(IO5="Y",IO6="N"),IO3,IF(IO3&lt;1000,IO3+10,IO3+20)))</f>
        <v/>
      </c>
    </row>
    <row r="3" spans="1:250" x14ac:dyDescent="0.25">
      <c r="A3" s="277" t="s">
        <v>174</v>
      </c>
      <c r="B3" s="277"/>
      <c r="C3" s="277"/>
      <c r="D3" s="15">
        <f>IF(E3="","",SUM(E3,E5,E6))</f>
        <v>1514</v>
      </c>
      <c r="E3" s="16">
        <f>IF(E9="","",SUM(E9:E208,B9:B208,D9:D208))</f>
        <v>1489</v>
      </c>
      <c r="F3" s="277" t="s">
        <v>174</v>
      </c>
      <c r="G3" s="277"/>
      <c r="H3" s="277"/>
      <c r="I3" s="15">
        <f>IF(J3="","",SUM(J3,J5,J6))</f>
        <v>186</v>
      </c>
      <c r="J3" s="16">
        <f>IF(J9="","",SUM(J9:J208,G9:G208,I9:I208))</f>
        <v>186</v>
      </c>
      <c r="K3" s="277" t="s">
        <v>174</v>
      </c>
      <c r="L3" s="277"/>
      <c r="M3" s="277"/>
      <c r="N3" s="15">
        <f>IF(O3="","",SUM(O3,O5,O6))</f>
        <v>1303</v>
      </c>
      <c r="O3" s="16">
        <f>IF(O9="","",SUM(O9:O208,L9:L208,N9:N208))</f>
        <v>1303</v>
      </c>
      <c r="P3" s="277" t="s">
        <v>174</v>
      </c>
      <c r="Q3" s="277"/>
      <c r="R3" s="277"/>
      <c r="S3" s="15">
        <f>IF(T3="","",SUM(T3,T5,T6))</f>
        <v>3069</v>
      </c>
      <c r="T3" s="16">
        <f>IF(T9="","",SUM(T9:T208,Q9:Q208,S9:S208))</f>
        <v>3069</v>
      </c>
      <c r="U3" s="277" t="s">
        <v>174</v>
      </c>
      <c r="V3" s="277"/>
      <c r="W3" s="277"/>
      <c r="X3" s="15">
        <f>IF(Y3="","",SUM(Y3,Y5,Y6))</f>
        <v>647</v>
      </c>
      <c r="Y3" s="16">
        <f>IF(Y9="","",SUM(Y9:Y208,V9:V208,X9:X208))</f>
        <v>597</v>
      </c>
      <c r="Z3" s="277" t="s">
        <v>174</v>
      </c>
      <c r="AA3" s="277"/>
      <c r="AB3" s="277"/>
      <c r="AC3" s="15">
        <f>IF(AD3="","",SUM(AD3,AD5,AD6))</f>
        <v>1199</v>
      </c>
      <c r="AD3" s="16">
        <f>IF(AD9="","",SUM(AD9:AD208,AA9:AA208,AC9:AC208))</f>
        <v>1184</v>
      </c>
      <c r="AE3" s="277" t="s">
        <v>174</v>
      </c>
      <c r="AF3" s="277"/>
      <c r="AG3" s="277"/>
      <c r="AH3" s="15">
        <f>IF(AI3="","",SUM(AI3,AI5,AI6))</f>
        <v>2989</v>
      </c>
      <c r="AI3" s="16">
        <f>IF(AI9="","",SUM(AI9:AI208,AF9:AF208,AH9:AH208))</f>
        <v>2989</v>
      </c>
      <c r="AJ3" s="277" t="s">
        <v>174</v>
      </c>
      <c r="AK3" s="277"/>
      <c r="AL3" s="277"/>
      <c r="AM3" s="15">
        <f>IF(AN3="","",SUM(AN3,AN5,AN6))</f>
        <v>2422</v>
      </c>
      <c r="AN3" s="16">
        <f>IF(AN9="","",SUM(AN9:AN208,AK9:AK208,AM9:AM208))</f>
        <v>2422</v>
      </c>
      <c r="AO3" s="277" t="s">
        <v>174</v>
      </c>
      <c r="AP3" s="277"/>
      <c r="AQ3" s="277"/>
      <c r="AR3" s="15">
        <f>IF(AS3="","",SUM(AS3,AS5,AS6))</f>
        <v>2423</v>
      </c>
      <c r="AS3" s="16">
        <f>IF(AS9="","",SUM(AS9:AS208,AP9:AP208,AR9:AR208))</f>
        <v>2423</v>
      </c>
      <c r="AT3" s="277" t="s">
        <v>174</v>
      </c>
      <c r="AU3" s="277"/>
      <c r="AV3" s="277"/>
      <c r="AW3" s="15">
        <f>IF(AX3="","",SUM(AX3,AX5,AX6))</f>
        <v>2561</v>
      </c>
      <c r="AX3" s="16">
        <f>IF(AX9="","",SUM(AX9:AX208,AU9:AU208,AW9:AW208))</f>
        <v>2561</v>
      </c>
      <c r="AY3" s="277" t="s">
        <v>174</v>
      </c>
      <c r="AZ3" s="277"/>
      <c r="BA3" s="277"/>
      <c r="BB3" s="15">
        <f>IF(BC3="","",SUM(BC3,BC5,BC6))</f>
        <v>2122</v>
      </c>
      <c r="BC3" s="16">
        <f>IF(BC9="","",SUM(BC9:BC208,AZ9:AZ208,BB9:BB208))</f>
        <v>2122</v>
      </c>
      <c r="BD3" s="277" t="s">
        <v>174</v>
      </c>
      <c r="BE3" s="277"/>
      <c r="BF3" s="277"/>
      <c r="BG3" s="15">
        <f>IF(BH3="","",SUM(BH3,BH5,BH6))</f>
        <v>2372</v>
      </c>
      <c r="BH3" s="16">
        <f>IF(BH9="","",SUM(BH9:BH208,BE9:BE208,BG9:BG208))</f>
        <v>2372</v>
      </c>
      <c r="BI3" s="277" t="s">
        <v>174</v>
      </c>
      <c r="BJ3" s="277"/>
      <c r="BK3" s="277"/>
      <c r="BL3" s="15">
        <f>IF(BM3="","",SUM(BM3,BM5,BM6))</f>
        <v>758</v>
      </c>
      <c r="BM3" s="16">
        <f>IF(BM9="","",SUM(BM9:BM208,BJ9:BJ208,BL9:BL208))</f>
        <v>758</v>
      </c>
      <c r="BN3" s="277" t="s">
        <v>174</v>
      </c>
      <c r="BO3" s="277"/>
      <c r="BP3" s="277"/>
      <c r="BQ3" s="15">
        <f>IF(BR3="","",SUM(BR3,BR5,BR6))</f>
        <v>1142</v>
      </c>
      <c r="BR3" s="16">
        <f>IF(BR9="","",SUM(BR9:BR208,BO9:BO208,BQ9:BQ208))</f>
        <v>1117</v>
      </c>
      <c r="BS3" s="277" t="s">
        <v>174</v>
      </c>
      <c r="BT3" s="277"/>
      <c r="BU3" s="277"/>
      <c r="BV3" s="15">
        <f>IF(BW3="","",SUM(BW3,BW5,BW6))</f>
        <v>1710</v>
      </c>
      <c r="BW3" s="16">
        <f>IF(BW9="","",SUM(BW9:BW208,BT9:BT208,BV9:BV208))</f>
        <v>1710</v>
      </c>
      <c r="BX3" s="277" t="s">
        <v>174</v>
      </c>
      <c r="BY3" s="277"/>
      <c r="BZ3" s="277"/>
      <c r="CA3" s="15">
        <f>IF(CB3="","",SUM(CB3,CB5,CB6))</f>
        <v>2139</v>
      </c>
      <c r="CB3" s="16">
        <f>IF(CB9="","",SUM(CB9:CB208,BY9:BY208,CA9:CA208))</f>
        <v>2114</v>
      </c>
      <c r="CC3" s="277" t="s">
        <v>174</v>
      </c>
      <c r="CD3" s="277"/>
      <c r="CE3" s="277"/>
      <c r="CF3" s="15">
        <f>IF(CG3="","",SUM(CG3,CG5,CG6))</f>
        <v>3013</v>
      </c>
      <c r="CG3" s="16">
        <f>IF(CG9="","",SUM(CG9:CG208,CD9:CD208,CF9:CF208))</f>
        <v>3013</v>
      </c>
      <c r="CH3" s="277" t="s">
        <v>174</v>
      </c>
      <c r="CI3" s="277"/>
      <c r="CJ3" s="277"/>
      <c r="CK3" s="15">
        <f>IF(CL3="","",SUM(CL3,CL5,CL6))</f>
        <v>2501</v>
      </c>
      <c r="CL3" s="16">
        <f>IF(CL9="","",SUM(CL9:CL208,CI9:CI208,CK9:CK208))</f>
        <v>2476</v>
      </c>
      <c r="CM3" s="277" t="s">
        <v>174</v>
      </c>
      <c r="CN3" s="277"/>
      <c r="CO3" s="277"/>
      <c r="CP3" s="15">
        <f>IF(CQ3="","",SUM(CQ3,CQ5,CQ6))</f>
        <v>735</v>
      </c>
      <c r="CQ3" s="16">
        <f>IF(CQ9="","",SUM(CQ9:CQ208,CN9:CN208,CP9:CP208))</f>
        <v>685</v>
      </c>
      <c r="CR3" s="277" t="s">
        <v>174</v>
      </c>
      <c r="CS3" s="277"/>
      <c r="CT3" s="277"/>
      <c r="CU3" s="15">
        <f>IF(CV3="","",SUM(CV3,CV5,CV6))</f>
        <v>2917</v>
      </c>
      <c r="CV3" s="16">
        <f>IF(CV9="","",SUM(CV9:CV208,CS9:CS208,CU9:CU208))</f>
        <v>2892</v>
      </c>
      <c r="CW3" s="277" t="s">
        <v>174</v>
      </c>
      <c r="CX3" s="277"/>
      <c r="CY3" s="277"/>
      <c r="CZ3" s="15">
        <f>IF(DA3="","",SUM(DA3,DA5,DA6))</f>
        <v>1453</v>
      </c>
      <c r="DA3" s="16">
        <f>IF(DA9="","",SUM(DA9:DA208,CX9:CX208,CZ9:CZ208))</f>
        <v>1428</v>
      </c>
      <c r="DB3" s="277" t="s">
        <v>174</v>
      </c>
      <c r="DC3" s="277"/>
      <c r="DD3" s="277"/>
      <c r="DE3" s="15">
        <f>IF(DF3="","",SUM(DF3,DF5,DF6))</f>
        <v>420</v>
      </c>
      <c r="DF3" s="16">
        <f>IF(DF9="","",SUM(DF9:DF208,DC9:DC208,DE9:DE208))</f>
        <v>420</v>
      </c>
      <c r="DG3" s="277" t="s">
        <v>174</v>
      </c>
      <c r="DH3" s="277"/>
      <c r="DI3" s="277"/>
      <c r="DJ3" s="15">
        <f>IF(DK3="","",SUM(DK3,DK5,DK6))</f>
        <v>325</v>
      </c>
      <c r="DK3" s="16">
        <f>IF(DK9="","",SUM(DK9:DK208,DH9:DH208,DJ9:DJ208))</f>
        <v>325</v>
      </c>
      <c r="DL3" s="277" t="s">
        <v>174</v>
      </c>
      <c r="DM3" s="277"/>
      <c r="DN3" s="277"/>
      <c r="DO3" s="15" t="str">
        <f>IF(DP3="","",SUM(DP3,DP5,DP6))</f>
        <v/>
      </c>
      <c r="DP3" s="16" t="str">
        <f>IF(DP9="","",SUM(DP9:DP208,DM9:DM208,DO9:DO208))</f>
        <v/>
      </c>
      <c r="DQ3" s="277" t="s">
        <v>174</v>
      </c>
      <c r="DR3" s="277"/>
      <c r="DS3" s="277"/>
      <c r="DT3" s="15" t="str">
        <f>IF(DU3="","",SUM(DU3,DU5,DU6))</f>
        <v/>
      </c>
      <c r="DU3" s="16" t="str">
        <f>IF(DU9="","",SUM(DU9:DU208,DR9:DR208,DT9:DT208))</f>
        <v/>
      </c>
      <c r="DV3" s="277" t="s">
        <v>174</v>
      </c>
      <c r="DW3" s="277"/>
      <c r="DX3" s="277"/>
      <c r="DY3" s="15" t="str">
        <f>IF(DZ3="","",SUM(DZ3,DZ5,DZ6))</f>
        <v/>
      </c>
      <c r="DZ3" s="16" t="str">
        <f>IF(DZ9="","",SUM(DZ9:DZ208,DW9:DW208,DY9:DY208))</f>
        <v/>
      </c>
      <c r="EA3" s="277" t="s">
        <v>174</v>
      </c>
      <c r="EB3" s="277"/>
      <c r="EC3" s="277"/>
      <c r="ED3" s="15" t="str">
        <f>IF(EE3="","",SUM(EE3,EE5,EE6))</f>
        <v/>
      </c>
      <c r="EE3" s="16" t="str">
        <f>IF(EE9="","",SUM(EE9:EE208,EB9:EB208,ED9:ED208))</f>
        <v/>
      </c>
      <c r="EF3" s="277" t="s">
        <v>174</v>
      </c>
      <c r="EG3" s="277"/>
      <c r="EH3" s="277"/>
      <c r="EI3" s="15" t="str">
        <f>IF(EJ3="","",SUM(EJ3,EJ5,EJ6))</f>
        <v/>
      </c>
      <c r="EJ3" s="16" t="str">
        <f>IF(EJ9="","",SUM(EJ9:EJ208,EG9:EG208,EI9:EI208))</f>
        <v/>
      </c>
      <c r="EK3" s="277" t="s">
        <v>174</v>
      </c>
      <c r="EL3" s="277"/>
      <c r="EM3" s="277"/>
      <c r="EN3" s="15" t="str">
        <f>IF(EO3="","",SUM(EO3,EO5,EO6))</f>
        <v/>
      </c>
      <c r="EO3" s="16" t="str">
        <f>IF(EO9="","",SUM(EO9:EO208,EL9:EL208,EN9:EN208))</f>
        <v/>
      </c>
      <c r="EP3" s="277" t="s">
        <v>174</v>
      </c>
      <c r="EQ3" s="277"/>
      <c r="ER3" s="277"/>
      <c r="ES3" s="15" t="str">
        <f>IF(ET3="","",SUM(ET3,ET5,ET6))</f>
        <v/>
      </c>
      <c r="ET3" s="16" t="str">
        <f>IF(ET9="","",SUM(ET9:ET208,EQ9:EQ208,ES9:ES208))</f>
        <v/>
      </c>
      <c r="EU3" s="277" t="s">
        <v>174</v>
      </c>
      <c r="EV3" s="277"/>
      <c r="EW3" s="277"/>
      <c r="EX3" s="15" t="str">
        <f>IF(EY3="","",SUM(EY3,EY5,EY6))</f>
        <v/>
      </c>
      <c r="EY3" s="16" t="str">
        <f>IF(EY9="","",SUM(EY9:EY208,EV9:EV208,EX9:EX208))</f>
        <v/>
      </c>
      <c r="EZ3" s="277" t="s">
        <v>174</v>
      </c>
      <c r="FA3" s="277"/>
      <c r="FB3" s="277"/>
      <c r="FC3" s="15" t="str">
        <f>IF(FD3="","",SUM(FD3,FD5,FD6))</f>
        <v/>
      </c>
      <c r="FD3" s="16" t="str">
        <f>IF(FD9="","",SUM(FD9:FD208,FA9:FA208,FC9:FC208))</f>
        <v/>
      </c>
      <c r="FE3" s="277" t="s">
        <v>174</v>
      </c>
      <c r="FF3" s="277"/>
      <c r="FG3" s="277"/>
      <c r="FH3" s="15" t="str">
        <f>IF(FI3="","",SUM(FI3,FI5,FI6))</f>
        <v/>
      </c>
      <c r="FI3" s="16" t="str">
        <f>IF(FI9="","",SUM(FI9:FI208,FF9:FF208,FH9:FH208))</f>
        <v/>
      </c>
      <c r="FJ3" s="277" t="s">
        <v>174</v>
      </c>
      <c r="FK3" s="277"/>
      <c r="FL3" s="277"/>
      <c r="FM3" s="15" t="str">
        <f>IF(FN3="","",SUM(FN3,FN5,FN6))</f>
        <v/>
      </c>
      <c r="FN3" s="16" t="str">
        <f>IF(FN9="","",SUM(FN9:FN208,FK9:FK208,FM9:FM208))</f>
        <v/>
      </c>
      <c r="FO3" s="277" t="s">
        <v>174</v>
      </c>
      <c r="FP3" s="277"/>
      <c r="FQ3" s="277"/>
      <c r="FR3" s="15" t="str">
        <f>IF(FS3="","",SUM(FS3,FS5,FS6))</f>
        <v/>
      </c>
      <c r="FS3" s="16" t="str">
        <f>IF(FS9="","",SUM(FS9:FS208,FP9:FP208,FR9:FR208))</f>
        <v/>
      </c>
      <c r="FT3" s="277" t="s">
        <v>174</v>
      </c>
      <c r="FU3" s="277"/>
      <c r="FV3" s="277"/>
      <c r="FW3" s="15" t="str">
        <f>IF(FX3="","",SUM(FX3,FX5,FX6))</f>
        <v/>
      </c>
      <c r="FX3" s="16" t="str">
        <f>IF(FX9="","",SUM(FX9:FX208,FU9:FU208,FW9:FW208))</f>
        <v/>
      </c>
      <c r="FY3" s="277" t="s">
        <v>174</v>
      </c>
      <c r="FZ3" s="277"/>
      <c r="GA3" s="277"/>
      <c r="GB3" s="15" t="str">
        <f>IF(GC3="","",SUM(GC3,GC5,GC6))</f>
        <v/>
      </c>
      <c r="GC3" s="16" t="str">
        <f>IF(GC9="","",SUM(GC9:GC208,FZ9:FZ208,GB9:GB208))</f>
        <v/>
      </c>
      <c r="GD3" s="277" t="s">
        <v>174</v>
      </c>
      <c r="GE3" s="277"/>
      <c r="GF3" s="277"/>
      <c r="GG3" s="15" t="str">
        <f>IF(GH3="","",SUM(GH3,GH5,GH6))</f>
        <v/>
      </c>
      <c r="GH3" s="16" t="str">
        <f>IF(GH9="","",SUM(GH9:GH208,GE9:GE208,GG9:GG208))</f>
        <v/>
      </c>
      <c r="GI3" s="277" t="s">
        <v>174</v>
      </c>
      <c r="GJ3" s="277"/>
      <c r="GK3" s="277"/>
      <c r="GL3" s="15" t="str">
        <f>IF(GM3="","",SUM(GM3,GM5,GM6))</f>
        <v/>
      </c>
      <c r="GM3" s="16" t="str">
        <f>IF(GM9="","",SUM(GM9:GM208,GJ9:GJ208,GL9:GL208))</f>
        <v/>
      </c>
      <c r="GN3" s="277" t="s">
        <v>174</v>
      </c>
      <c r="GO3" s="277"/>
      <c r="GP3" s="277"/>
      <c r="GQ3" s="15" t="str">
        <f>IF(GR3="","",SUM(GR3,GR5,GR6))</f>
        <v/>
      </c>
      <c r="GR3" s="16" t="str">
        <f>IF(GR9="","",SUM(GR9:GR208,GO9:GO208,GQ9:GQ208))</f>
        <v/>
      </c>
      <c r="GS3" s="277" t="s">
        <v>174</v>
      </c>
      <c r="GT3" s="277"/>
      <c r="GU3" s="277"/>
      <c r="GV3" s="15" t="str">
        <f>IF(GW3="","",SUM(GW3,GW5,GW6))</f>
        <v/>
      </c>
      <c r="GW3" s="16" t="str">
        <f>IF(GW9="","",SUM(GW9:GW208,GT9:GT208,GV9:GV208))</f>
        <v/>
      </c>
      <c r="GX3" s="277" t="s">
        <v>174</v>
      </c>
      <c r="GY3" s="277"/>
      <c r="GZ3" s="277"/>
      <c r="HA3" s="15" t="str">
        <f>IF(HB3="","",SUM(HB3,HB5,HB6))</f>
        <v/>
      </c>
      <c r="HB3" s="16" t="str">
        <f>IF(HB9="","",SUM(HB9:HB208,GY9:GY208,HA9:HA208))</f>
        <v/>
      </c>
      <c r="HC3" s="277" t="s">
        <v>174</v>
      </c>
      <c r="HD3" s="277"/>
      <c r="HE3" s="277"/>
      <c r="HF3" s="15" t="str">
        <f>IF(HG3="","",SUM(HG3,HG5,HG6))</f>
        <v/>
      </c>
      <c r="HG3" s="16" t="str">
        <f>IF(HG9="","",SUM(HG9:HG208,HD9:HD208,HF9:HF208))</f>
        <v/>
      </c>
      <c r="HH3" s="277" t="s">
        <v>174</v>
      </c>
      <c r="HI3" s="277"/>
      <c r="HJ3" s="277"/>
      <c r="HK3" s="15" t="str">
        <f>IF(HL3="","",SUM(HL3,HL5,HL6))</f>
        <v/>
      </c>
      <c r="HL3" s="16" t="str">
        <f>IF(HL9="","",SUM(HL9:HL208,HI9:HI208,HK9:HK208))</f>
        <v/>
      </c>
      <c r="HM3" s="277" t="s">
        <v>174</v>
      </c>
      <c r="HN3" s="277"/>
      <c r="HO3" s="277"/>
      <c r="HP3" s="15" t="str">
        <f>IF(HQ3="","",SUM(HQ3,HQ5,HQ6))</f>
        <v/>
      </c>
      <c r="HQ3" s="16" t="str">
        <f>IF(HQ9="","",SUM(HQ9:HQ208,HN9:HN208,HP9:HP208))</f>
        <v/>
      </c>
      <c r="HR3" s="277" t="s">
        <v>174</v>
      </c>
      <c r="HS3" s="277"/>
      <c r="HT3" s="277"/>
      <c r="HU3" s="15" t="str">
        <f>IF(HV3="","",SUM(HV3,HV5,HV6))</f>
        <v/>
      </c>
      <c r="HV3" s="16" t="str">
        <f>IF(HV9="","",SUM(HV9:HV208,HS9:HS208,HU9:HU208))</f>
        <v/>
      </c>
      <c r="HW3" s="277" t="s">
        <v>174</v>
      </c>
      <c r="HX3" s="277"/>
      <c r="HY3" s="277"/>
      <c r="HZ3" s="15" t="str">
        <f>IF(IA3="","",SUM(IA3,IA5,IA6))</f>
        <v/>
      </c>
      <c r="IA3" s="16" t="str">
        <f>IF(IA9="","",SUM(IA9:IA208,HX9:HX208,HZ9:HZ208))</f>
        <v/>
      </c>
      <c r="IB3" s="277" t="s">
        <v>174</v>
      </c>
      <c r="IC3" s="277"/>
      <c r="ID3" s="277"/>
      <c r="IE3" s="15" t="str">
        <f>IF(IF3="","",SUM(IF3,IF5,IF6))</f>
        <v/>
      </c>
      <c r="IF3" s="16" t="str">
        <f>IF(IF9="","",SUM(IF9:IF208,IC9:IC208,IE9:IE208))</f>
        <v/>
      </c>
      <c r="IG3" s="277" t="s">
        <v>174</v>
      </c>
      <c r="IH3" s="277"/>
      <c r="II3" s="277"/>
      <c r="IJ3" s="15" t="str">
        <f>IF(IK3="","",SUM(IK3,IK5,IK6))</f>
        <v/>
      </c>
      <c r="IK3" s="16" t="str">
        <f>IF(IK9="","",SUM(IK9:IK208,IH9:IH208,IJ9:IJ208))</f>
        <v/>
      </c>
      <c r="IL3" s="277" t="s">
        <v>174</v>
      </c>
      <c r="IM3" s="277"/>
      <c r="IN3" s="277"/>
      <c r="IO3" s="15" t="str">
        <f>IF(IP3="","",SUM(IP3,IP5,IP6))</f>
        <v/>
      </c>
      <c r="IP3" s="16" t="str">
        <f>IF(IP9="","",SUM(IP9:IP208,IM9:IM208,IO9:IO208))</f>
        <v/>
      </c>
    </row>
    <row r="4" spans="1:250" x14ac:dyDescent="0.25">
      <c r="A4" s="273" t="s">
        <v>175</v>
      </c>
      <c r="B4" s="274"/>
      <c r="C4" s="275"/>
      <c r="D4" s="117" t="s">
        <v>179</v>
      </c>
      <c r="F4" s="273" t="s">
        <v>175</v>
      </c>
      <c r="G4" s="274"/>
      <c r="H4" s="275"/>
      <c r="I4" s="117" t="s">
        <v>178</v>
      </c>
      <c r="K4" s="273" t="s">
        <v>175</v>
      </c>
      <c r="L4" s="274"/>
      <c r="M4" s="275"/>
      <c r="N4" s="117" t="s">
        <v>179</v>
      </c>
      <c r="P4" s="273" t="s">
        <v>175</v>
      </c>
      <c r="Q4" s="274"/>
      <c r="R4" s="275"/>
      <c r="S4" s="117" t="s">
        <v>179</v>
      </c>
      <c r="U4" s="273" t="s">
        <v>175</v>
      </c>
      <c r="V4" s="274"/>
      <c r="W4" s="275"/>
      <c r="X4" s="117" t="s">
        <v>179</v>
      </c>
      <c r="Z4" s="273" t="s">
        <v>175</v>
      </c>
      <c r="AA4" s="274"/>
      <c r="AB4" s="275"/>
      <c r="AC4" s="117" t="s">
        <v>179</v>
      </c>
      <c r="AE4" s="273" t="s">
        <v>175</v>
      </c>
      <c r="AF4" s="274"/>
      <c r="AG4" s="275"/>
      <c r="AH4" s="117" t="s">
        <v>179</v>
      </c>
      <c r="AJ4" s="273" t="s">
        <v>175</v>
      </c>
      <c r="AK4" s="274"/>
      <c r="AL4" s="275"/>
      <c r="AM4" s="117" t="s">
        <v>179</v>
      </c>
      <c r="AO4" s="273" t="s">
        <v>175</v>
      </c>
      <c r="AP4" s="274"/>
      <c r="AQ4" s="275"/>
      <c r="AR4" s="117" t="s">
        <v>179</v>
      </c>
      <c r="AT4" s="273" t="s">
        <v>175</v>
      </c>
      <c r="AU4" s="274"/>
      <c r="AV4" s="275"/>
      <c r="AW4" s="117" t="s">
        <v>179</v>
      </c>
      <c r="AY4" s="273" t="s">
        <v>175</v>
      </c>
      <c r="AZ4" s="274"/>
      <c r="BA4" s="275"/>
      <c r="BB4" s="117" t="s">
        <v>179</v>
      </c>
      <c r="BD4" s="273" t="s">
        <v>175</v>
      </c>
      <c r="BE4" s="274"/>
      <c r="BF4" s="275"/>
      <c r="BG4" s="117" t="s">
        <v>179</v>
      </c>
      <c r="BI4" s="273" t="s">
        <v>175</v>
      </c>
      <c r="BJ4" s="274"/>
      <c r="BK4" s="275"/>
      <c r="BL4" s="117" t="s">
        <v>178</v>
      </c>
      <c r="BN4" s="273" t="s">
        <v>175</v>
      </c>
      <c r="BO4" s="274"/>
      <c r="BP4" s="275"/>
      <c r="BQ4" s="117" t="s">
        <v>179</v>
      </c>
      <c r="BS4" s="273" t="s">
        <v>175</v>
      </c>
      <c r="BT4" s="274"/>
      <c r="BU4" s="275"/>
      <c r="BV4" s="117" t="s">
        <v>179</v>
      </c>
      <c r="BX4" s="273" t="s">
        <v>175</v>
      </c>
      <c r="BY4" s="274"/>
      <c r="BZ4" s="275"/>
      <c r="CA4" s="117" t="s">
        <v>179</v>
      </c>
      <c r="CC4" s="273" t="s">
        <v>175</v>
      </c>
      <c r="CD4" s="274"/>
      <c r="CE4" s="275"/>
      <c r="CF4" s="117" t="s">
        <v>179</v>
      </c>
      <c r="CH4" s="273" t="s">
        <v>175</v>
      </c>
      <c r="CI4" s="274"/>
      <c r="CJ4" s="275"/>
      <c r="CK4" s="117" t="s">
        <v>179</v>
      </c>
      <c r="CM4" s="273" t="s">
        <v>175</v>
      </c>
      <c r="CN4" s="274"/>
      <c r="CO4" s="275"/>
      <c r="CP4" s="117" t="s">
        <v>179</v>
      </c>
      <c r="CR4" s="273" t="s">
        <v>175</v>
      </c>
      <c r="CS4" s="274"/>
      <c r="CT4" s="275"/>
      <c r="CU4" s="117" t="s">
        <v>179</v>
      </c>
      <c r="CW4" s="273" t="s">
        <v>175</v>
      </c>
      <c r="CX4" s="274"/>
      <c r="CY4" s="275"/>
      <c r="CZ4" s="117" t="s">
        <v>179</v>
      </c>
      <c r="DB4" s="273" t="s">
        <v>175</v>
      </c>
      <c r="DC4" s="274"/>
      <c r="DD4" s="275"/>
      <c r="DE4" s="117" t="s">
        <v>178</v>
      </c>
      <c r="DG4" s="273" t="s">
        <v>175</v>
      </c>
      <c r="DH4" s="274"/>
      <c r="DI4" s="275"/>
      <c r="DJ4" s="117" t="s">
        <v>178</v>
      </c>
      <c r="DL4" s="273" t="s">
        <v>175</v>
      </c>
      <c r="DM4" s="274"/>
      <c r="DN4" s="275"/>
      <c r="DO4" s="117"/>
      <c r="DQ4" s="273" t="s">
        <v>175</v>
      </c>
      <c r="DR4" s="274"/>
      <c r="DS4" s="275"/>
      <c r="DT4" s="117"/>
      <c r="DV4" s="273" t="s">
        <v>175</v>
      </c>
      <c r="DW4" s="274"/>
      <c r="DX4" s="275"/>
      <c r="DY4" s="117"/>
      <c r="EA4" s="273" t="s">
        <v>175</v>
      </c>
      <c r="EB4" s="274"/>
      <c r="EC4" s="275"/>
      <c r="ED4" s="117"/>
      <c r="EF4" s="273" t="s">
        <v>175</v>
      </c>
      <c r="EG4" s="274"/>
      <c r="EH4" s="275"/>
      <c r="EI4" s="117"/>
      <c r="EK4" s="273" t="s">
        <v>175</v>
      </c>
      <c r="EL4" s="274"/>
      <c r="EM4" s="275"/>
      <c r="EN4" s="117"/>
      <c r="EP4" s="273" t="s">
        <v>175</v>
      </c>
      <c r="EQ4" s="274"/>
      <c r="ER4" s="275"/>
      <c r="ES4" s="117"/>
      <c r="EU4" s="273" t="s">
        <v>175</v>
      </c>
      <c r="EV4" s="274"/>
      <c r="EW4" s="275"/>
      <c r="EX4" s="117"/>
      <c r="EZ4" s="273" t="s">
        <v>175</v>
      </c>
      <c r="FA4" s="274"/>
      <c r="FB4" s="275"/>
      <c r="FC4" s="117"/>
      <c r="FE4" s="273" t="s">
        <v>175</v>
      </c>
      <c r="FF4" s="274"/>
      <c r="FG4" s="275"/>
      <c r="FH4" s="117"/>
      <c r="FJ4" s="273" t="s">
        <v>175</v>
      </c>
      <c r="FK4" s="274"/>
      <c r="FL4" s="275"/>
      <c r="FM4" s="117"/>
      <c r="FO4" s="273" t="s">
        <v>175</v>
      </c>
      <c r="FP4" s="274"/>
      <c r="FQ4" s="275"/>
      <c r="FR4" s="117"/>
      <c r="FT4" s="273" t="s">
        <v>175</v>
      </c>
      <c r="FU4" s="274"/>
      <c r="FV4" s="275"/>
      <c r="FW4" s="117"/>
      <c r="FY4" s="273" t="s">
        <v>175</v>
      </c>
      <c r="FZ4" s="274"/>
      <c r="GA4" s="275"/>
      <c r="GB4" s="117"/>
      <c r="GD4" s="273" t="s">
        <v>175</v>
      </c>
      <c r="GE4" s="274"/>
      <c r="GF4" s="275"/>
      <c r="GG4" s="117"/>
      <c r="GI4" s="273" t="s">
        <v>175</v>
      </c>
      <c r="GJ4" s="274"/>
      <c r="GK4" s="275"/>
      <c r="GL4" s="117"/>
      <c r="GN4" s="273" t="s">
        <v>175</v>
      </c>
      <c r="GO4" s="274"/>
      <c r="GP4" s="275"/>
      <c r="GQ4" s="117"/>
      <c r="GS4" s="273" t="s">
        <v>175</v>
      </c>
      <c r="GT4" s="274"/>
      <c r="GU4" s="275"/>
      <c r="GV4" s="117"/>
      <c r="GX4" s="273" t="s">
        <v>175</v>
      </c>
      <c r="GY4" s="274"/>
      <c r="GZ4" s="275"/>
      <c r="HA4" s="117"/>
      <c r="HC4" s="273" t="s">
        <v>175</v>
      </c>
      <c r="HD4" s="274"/>
      <c r="HE4" s="275"/>
      <c r="HF4" s="117"/>
      <c r="HH4" s="273" t="s">
        <v>175</v>
      </c>
      <c r="HI4" s="274"/>
      <c r="HJ4" s="275"/>
      <c r="HK4" s="117"/>
      <c r="HM4" s="273" t="s">
        <v>175</v>
      </c>
      <c r="HN4" s="274"/>
      <c r="HO4" s="275"/>
      <c r="HP4" s="117"/>
      <c r="HR4" s="273" t="s">
        <v>175</v>
      </c>
      <c r="HS4" s="274"/>
      <c r="HT4" s="275"/>
      <c r="HU4" s="117"/>
      <c r="HW4" s="273" t="s">
        <v>175</v>
      </c>
      <c r="HX4" s="274"/>
      <c r="HY4" s="275"/>
      <c r="HZ4" s="117"/>
      <c r="IB4" s="273" t="s">
        <v>175</v>
      </c>
      <c r="IC4" s="274"/>
      <c r="ID4" s="275"/>
      <c r="IE4" s="117"/>
      <c r="IG4" s="273" t="s">
        <v>175</v>
      </c>
      <c r="IH4" s="274"/>
      <c r="II4" s="275"/>
      <c r="IJ4" s="117"/>
      <c r="IL4" s="273" t="s">
        <v>175</v>
      </c>
      <c r="IM4" s="274"/>
      <c r="IN4" s="275"/>
      <c r="IO4" s="117"/>
    </row>
    <row r="5" spans="1:250" x14ac:dyDescent="0.25">
      <c r="A5" s="273" t="s">
        <v>176</v>
      </c>
      <c r="B5" s="274"/>
      <c r="C5" s="275"/>
      <c r="D5" s="117" t="s">
        <v>178</v>
      </c>
      <c r="E5" s="16" t="str">
        <f>IF(D4="N","0",IF(D5="Y",E7/2,"0"))</f>
        <v>0</v>
      </c>
      <c r="F5" s="273" t="s">
        <v>176</v>
      </c>
      <c r="G5" s="274"/>
      <c r="H5" s="275"/>
      <c r="I5" s="117" t="s">
        <v>178</v>
      </c>
      <c r="J5" s="16" t="str">
        <f>IF(I4="N","0",IF(I5="Y",J7/2,"0"))</f>
        <v>0</v>
      </c>
      <c r="K5" s="273" t="s">
        <v>176</v>
      </c>
      <c r="L5" s="274"/>
      <c r="M5" s="275"/>
      <c r="N5" s="117" t="s">
        <v>178</v>
      </c>
      <c r="O5" s="16" t="str">
        <f>IF(N4="N","0",IF(N5="Y",O7/2,"0"))</f>
        <v>0</v>
      </c>
      <c r="P5" s="273" t="s">
        <v>176</v>
      </c>
      <c r="Q5" s="274"/>
      <c r="R5" s="275"/>
      <c r="S5" s="117" t="s">
        <v>178</v>
      </c>
      <c r="T5" s="16" t="str">
        <f>IF(S4="N","0",IF(S5="Y",T7/2,"0"))</f>
        <v>0</v>
      </c>
      <c r="U5" s="273" t="s">
        <v>176</v>
      </c>
      <c r="V5" s="274"/>
      <c r="W5" s="275"/>
      <c r="X5" s="117" t="s">
        <v>179</v>
      </c>
      <c r="Y5" s="16">
        <f>IF(X4="N","0",IF(X5="Y",Y7/2,"0"))</f>
        <v>25</v>
      </c>
      <c r="Z5" s="273" t="s">
        <v>176</v>
      </c>
      <c r="AA5" s="274"/>
      <c r="AB5" s="275"/>
      <c r="AC5" s="117" t="s">
        <v>178</v>
      </c>
      <c r="AD5" s="16" t="str">
        <f>IF(AC4="N","0",IF(AC5="Y",AD7/2,"0"))</f>
        <v>0</v>
      </c>
      <c r="AE5" s="273" t="s">
        <v>176</v>
      </c>
      <c r="AF5" s="274"/>
      <c r="AG5" s="275"/>
      <c r="AH5" s="117" t="s">
        <v>178</v>
      </c>
      <c r="AI5" s="16" t="str">
        <f>IF(AH4="N","0",IF(AH5="Y",AI7/2,"0"))</f>
        <v>0</v>
      </c>
      <c r="AJ5" s="273" t="s">
        <v>176</v>
      </c>
      <c r="AK5" s="274"/>
      <c r="AL5" s="275"/>
      <c r="AM5" s="117" t="s">
        <v>178</v>
      </c>
      <c r="AN5" s="16" t="str">
        <f>IF(AM4="N","0",IF(AM5="Y",AN7/2,"0"))</f>
        <v>0</v>
      </c>
      <c r="AO5" s="273" t="s">
        <v>176</v>
      </c>
      <c r="AP5" s="274"/>
      <c r="AQ5" s="275"/>
      <c r="AR5" s="117" t="s">
        <v>178</v>
      </c>
      <c r="AS5" s="16" t="str">
        <f>IF(AR4="N","0",IF(AR5="Y",AS7/2,"0"))</f>
        <v>0</v>
      </c>
      <c r="AT5" s="273" t="s">
        <v>176</v>
      </c>
      <c r="AU5" s="274"/>
      <c r="AV5" s="275"/>
      <c r="AW5" s="117" t="s">
        <v>178</v>
      </c>
      <c r="AX5" s="16" t="str">
        <f>IF(AW4="N","0",IF(AW5="Y",AX7/2,"0"))</f>
        <v>0</v>
      </c>
      <c r="AY5" s="273" t="s">
        <v>176</v>
      </c>
      <c r="AZ5" s="274"/>
      <c r="BA5" s="275"/>
      <c r="BB5" s="117" t="s">
        <v>178</v>
      </c>
      <c r="BC5" s="16" t="str">
        <f>IF(BB4="N","0",IF(BB5="Y",BC7/2,"0"))</f>
        <v>0</v>
      </c>
      <c r="BD5" s="273" t="s">
        <v>176</v>
      </c>
      <c r="BE5" s="274"/>
      <c r="BF5" s="275"/>
      <c r="BG5" s="117" t="s">
        <v>178</v>
      </c>
      <c r="BH5" s="16" t="str">
        <f>IF(BG4="N","0",IF(BG5="Y",BH7/2,"0"))</f>
        <v>0</v>
      </c>
      <c r="BI5" s="273" t="s">
        <v>176</v>
      </c>
      <c r="BJ5" s="274"/>
      <c r="BK5" s="275"/>
      <c r="BL5" s="117" t="s">
        <v>178</v>
      </c>
      <c r="BM5" s="16" t="str">
        <f>IF(BL4="N","0",IF(BL5="Y",BM7/2,"0"))</f>
        <v>0</v>
      </c>
      <c r="BN5" s="273" t="s">
        <v>176</v>
      </c>
      <c r="BO5" s="274"/>
      <c r="BP5" s="275"/>
      <c r="BQ5" s="117" t="s">
        <v>178</v>
      </c>
      <c r="BR5" s="16" t="str">
        <f>IF(BQ4="N","0",IF(BQ5="Y",BR7/2,"0"))</f>
        <v>0</v>
      </c>
      <c r="BS5" s="273" t="s">
        <v>176</v>
      </c>
      <c r="BT5" s="274"/>
      <c r="BU5" s="275"/>
      <c r="BV5" s="117" t="s">
        <v>178</v>
      </c>
      <c r="BW5" s="16" t="str">
        <f>IF(BV4="N","0",IF(BV5="Y",BW7/2,"0"))</f>
        <v>0</v>
      </c>
      <c r="BX5" s="273" t="s">
        <v>176</v>
      </c>
      <c r="BY5" s="274"/>
      <c r="BZ5" s="275"/>
      <c r="CA5" s="117" t="s">
        <v>178</v>
      </c>
      <c r="CB5" s="16" t="str">
        <f>IF(CA4="N","0",IF(CA5="Y",CB7/2,"0"))</f>
        <v>0</v>
      </c>
      <c r="CC5" s="273" t="s">
        <v>176</v>
      </c>
      <c r="CD5" s="274"/>
      <c r="CE5" s="275"/>
      <c r="CF5" s="117" t="s">
        <v>178</v>
      </c>
      <c r="CG5" s="16" t="str">
        <f>IF(CF4="N","0",IF(CF5="Y",CG7/2,"0"))</f>
        <v>0</v>
      </c>
      <c r="CH5" s="273" t="s">
        <v>176</v>
      </c>
      <c r="CI5" s="274"/>
      <c r="CJ5" s="275"/>
      <c r="CK5" s="117" t="s">
        <v>178</v>
      </c>
      <c r="CL5" s="16" t="str">
        <f>IF(CK4="N","0",IF(CK5="Y",CL7/2,"0"))</f>
        <v>0</v>
      </c>
      <c r="CM5" s="273" t="s">
        <v>176</v>
      </c>
      <c r="CN5" s="274"/>
      <c r="CO5" s="275"/>
      <c r="CP5" s="117" t="s">
        <v>179</v>
      </c>
      <c r="CQ5" s="16">
        <f>IF(CP4="N","0",IF(CP5="Y",CQ7/2,"0"))</f>
        <v>25</v>
      </c>
      <c r="CR5" s="273" t="s">
        <v>176</v>
      </c>
      <c r="CS5" s="274"/>
      <c r="CT5" s="275"/>
      <c r="CU5" s="117" t="s">
        <v>178</v>
      </c>
      <c r="CV5" s="16" t="str">
        <f>IF(CU4="N","0",IF(CU5="Y",CV7/2,"0"))</f>
        <v>0</v>
      </c>
      <c r="CW5" s="273" t="s">
        <v>176</v>
      </c>
      <c r="CX5" s="274"/>
      <c r="CY5" s="275"/>
      <c r="CZ5" s="117" t="s">
        <v>178</v>
      </c>
      <c r="DA5" s="16" t="str">
        <f>IF(CZ4="N","0",IF(CZ5="Y",DA7/2,"0"))</f>
        <v>0</v>
      </c>
      <c r="DB5" s="273" t="s">
        <v>176</v>
      </c>
      <c r="DC5" s="274"/>
      <c r="DD5" s="275"/>
      <c r="DE5" s="117" t="s">
        <v>178</v>
      </c>
      <c r="DF5" s="16" t="str">
        <f>IF(DE4="N","0",IF(DE5="Y",DF7/2,"0"))</f>
        <v>0</v>
      </c>
      <c r="DG5" s="273" t="s">
        <v>176</v>
      </c>
      <c r="DH5" s="274"/>
      <c r="DI5" s="275"/>
      <c r="DJ5" s="117" t="s">
        <v>178</v>
      </c>
      <c r="DK5" s="16" t="str">
        <f>IF(DJ4="N","0",IF(DJ5="Y",DK7/2,"0"))</f>
        <v>0</v>
      </c>
      <c r="DL5" s="273" t="s">
        <v>176</v>
      </c>
      <c r="DM5" s="274"/>
      <c r="DN5" s="275"/>
      <c r="DO5" s="117"/>
      <c r="DP5" s="16" t="str">
        <f>IF(DO4="N","0",IF(DO5="Y",DP7/2,"0"))</f>
        <v>0</v>
      </c>
      <c r="DQ5" s="273" t="s">
        <v>176</v>
      </c>
      <c r="DR5" s="274"/>
      <c r="DS5" s="275"/>
      <c r="DT5" s="117"/>
      <c r="DU5" s="16" t="str">
        <f>IF(DT4="N","0",IF(DT5="Y",DU7/2,"0"))</f>
        <v>0</v>
      </c>
      <c r="DV5" s="273" t="s">
        <v>176</v>
      </c>
      <c r="DW5" s="274"/>
      <c r="DX5" s="275"/>
      <c r="DY5" s="117"/>
      <c r="DZ5" s="16" t="str">
        <f>IF(DY4="N","0",IF(DY5="Y",DZ7/2,"0"))</f>
        <v>0</v>
      </c>
      <c r="EA5" s="273" t="s">
        <v>176</v>
      </c>
      <c r="EB5" s="274"/>
      <c r="EC5" s="275"/>
      <c r="ED5" s="117"/>
      <c r="EE5" s="16" t="str">
        <f>IF(ED4="N","0",IF(ED5="Y",EE7/2,"0"))</f>
        <v>0</v>
      </c>
      <c r="EF5" s="273" t="s">
        <v>176</v>
      </c>
      <c r="EG5" s="274"/>
      <c r="EH5" s="275"/>
      <c r="EI5" s="117"/>
      <c r="EJ5" s="16" t="str">
        <f>IF(EI4="N","0",IF(EI5="Y",EJ7/2,"0"))</f>
        <v>0</v>
      </c>
      <c r="EK5" s="273" t="s">
        <v>176</v>
      </c>
      <c r="EL5" s="274"/>
      <c r="EM5" s="275"/>
      <c r="EN5" s="117"/>
      <c r="EO5" s="16" t="str">
        <f>IF(EN4="N","0",IF(EN5="Y",EO7/2,"0"))</f>
        <v>0</v>
      </c>
      <c r="EP5" s="273" t="s">
        <v>176</v>
      </c>
      <c r="EQ5" s="274"/>
      <c r="ER5" s="275"/>
      <c r="ES5" s="117"/>
      <c r="ET5" s="16" t="str">
        <f>IF(ES4="N","0",IF(ES5="Y",ET7/2,"0"))</f>
        <v>0</v>
      </c>
      <c r="EU5" s="273" t="s">
        <v>176</v>
      </c>
      <c r="EV5" s="274"/>
      <c r="EW5" s="275"/>
      <c r="EX5" s="117"/>
      <c r="EY5" s="16" t="str">
        <f>IF(EX4="N","0",IF(EX5="Y",EY7/2,"0"))</f>
        <v>0</v>
      </c>
      <c r="EZ5" s="273" t="s">
        <v>176</v>
      </c>
      <c r="FA5" s="274"/>
      <c r="FB5" s="275"/>
      <c r="FC5" s="117"/>
      <c r="FD5" s="16" t="str">
        <f>IF(FC4="N","0",IF(FC5="Y",FD7/2,"0"))</f>
        <v>0</v>
      </c>
      <c r="FE5" s="273" t="s">
        <v>176</v>
      </c>
      <c r="FF5" s="274"/>
      <c r="FG5" s="275"/>
      <c r="FH5" s="117"/>
      <c r="FI5" s="16" t="str">
        <f>IF(FH4="N","0",IF(FH5="Y",FI7/2,"0"))</f>
        <v>0</v>
      </c>
      <c r="FJ5" s="273" t="s">
        <v>176</v>
      </c>
      <c r="FK5" s="274"/>
      <c r="FL5" s="275"/>
      <c r="FM5" s="117"/>
      <c r="FN5" s="16" t="str">
        <f>IF(FM4="N","0",IF(FM5="Y",FN7/2,"0"))</f>
        <v>0</v>
      </c>
      <c r="FO5" s="273" t="s">
        <v>176</v>
      </c>
      <c r="FP5" s="274"/>
      <c r="FQ5" s="275"/>
      <c r="FR5" s="117"/>
      <c r="FS5" s="16" t="str">
        <f>IF(FR4="N","0",IF(FR5="Y",FS7/2,"0"))</f>
        <v>0</v>
      </c>
      <c r="FT5" s="273" t="s">
        <v>176</v>
      </c>
      <c r="FU5" s="274"/>
      <c r="FV5" s="275"/>
      <c r="FW5" s="117"/>
      <c r="FX5" s="16" t="str">
        <f>IF(FW4="N","0",IF(FW5="Y",FX7/2,"0"))</f>
        <v>0</v>
      </c>
      <c r="FY5" s="273" t="s">
        <v>176</v>
      </c>
      <c r="FZ5" s="274"/>
      <c r="GA5" s="275"/>
      <c r="GB5" s="117"/>
      <c r="GC5" s="16" t="str">
        <f>IF(GB4="N","0",IF(GB5="Y",GC7/2,"0"))</f>
        <v>0</v>
      </c>
      <c r="GD5" s="273" t="s">
        <v>176</v>
      </c>
      <c r="GE5" s="274"/>
      <c r="GF5" s="275"/>
      <c r="GG5" s="117"/>
      <c r="GH5" s="16" t="str">
        <f>IF(GG4="N","0",IF(GG5="Y",GH7/2,"0"))</f>
        <v>0</v>
      </c>
      <c r="GI5" s="273" t="s">
        <v>176</v>
      </c>
      <c r="GJ5" s="274"/>
      <c r="GK5" s="275"/>
      <c r="GL5" s="117"/>
      <c r="GM5" s="16" t="str">
        <f>IF(GL4="N","0",IF(GL5="Y",GM7/2,"0"))</f>
        <v>0</v>
      </c>
      <c r="GN5" s="273" t="s">
        <v>176</v>
      </c>
      <c r="GO5" s="274"/>
      <c r="GP5" s="275"/>
      <c r="GQ5" s="117"/>
      <c r="GR5" s="16" t="str">
        <f>IF(GQ4="N","0",IF(GQ5="Y",GR7/2,"0"))</f>
        <v>0</v>
      </c>
      <c r="GS5" s="273" t="s">
        <v>176</v>
      </c>
      <c r="GT5" s="274"/>
      <c r="GU5" s="275"/>
      <c r="GV5" s="117"/>
      <c r="GW5" s="16" t="str">
        <f>IF(GV4="N","0",IF(GV5="Y",GW7/2,"0"))</f>
        <v>0</v>
      </c>
      <c r="GX5" s="273" t="s">
        <v>176</v>
      </c>
      <c r="GY5" s="274"/>
      <c r="GZ5" s="275"/>
      <c r="HA5" s="117"/>
      <c r="HB5" s="16" t="str">
        <f>IF(HA4="N","0",IF(HA5="Y",HB7/2,"0"))</f>
        <v>0</v>
      </c>
      <c r="HC5" s="273" t="s">
        <v>176</v>
      </c>
      <c r="HD5" s="274"/>
      <c r="HE5" s="275"/>
      <c r="HF5" s="117"/>
      <c r="HG5" s="16" t="str">
        <f>IF(HF4="N","0",IF(HF5="Y",HG7/2,"0"))</f>
        <v>0</v>
      </c>
      <c r="HH5" s="273" t="s">
        <v>176</v>
      </c>
      <c r="HI5" s="274"/>
      <c r="HJ5" s="275"/>
      <c r="HK5" s="117"/>
      <c r="HL5" s="16" t="str">
        <f>IF(HK4="N","0",IF(HK5="Y",HL7/2,"0"))</f>
        <v>0</v>
      </c>
      <c r="HM5" s="273" t="s">
        <v>176</v>
      </c>
      <c r="HN5" s="274"/>
      <c r="HO5" s="275"/>
      <c r="HP5" s="117"/>
      <c r="HQ5" s="16" t="str">
        <f>IF(HP4="N","0",IF(HP5="Y",HQ7/2,"0"))</f>
        <v>0</v>
      </c>
      <c r="HR5" s="273" t="s">
        <v>176</v>
      </c>
      <c r="HS5" s="274"/>
      <c r="HT5" s="275"/>
      <c r="HU5" s="117"/>
      <c r="HV5" s="16" t="str">
        <f>IF(HU4="N","0",IF(HU5="Y",HV7/2,"0"))</f>
        <v>0</v>
      </c>
      <c r="HW5" s="273" t="s">
        <v>176</v>
      </c>
      <c r="HX5" s="274"/>
      <c r="HY5" s="275"/>
      <c r="HZ5" s="117"/>
      <c r="IA5" s="16" t="str">
        <f>IF(HZ4="N","0",IF(HZ5="Y",IA7/2,"0"))</f>
        <v>0</v>
      </c>
      <c r="IB5" s="273" t="s">
        <v>176</v>
      </c>
      <c r="IC5" s="274"/>
      <c r="ID5" s="275"/>
      <c r="IE5" s="117"/>
      <c r="IF5" s="16" t="str">
        <f>IF(IE4="N","0",IF(IE5="Y",IF7/2,"0"))</f>
        <v>0</v>
      </c>
      <c r="IG5" s="273" t="s">
        <v>176</v>
      </c>
      <c r="IH5" s="274"/>
      <c r="II5" s="275"/>
      <c r="IJ5" s="117"/>
      <c r="IK5" s="16" t="str">
        <f>IF(IJ4="N","0",IF(IJ5="Y",IK7/2,"0"))</f>
        <v>0</v>
      </c>
      <c r="IL5" s="273" t="s">
        <v>176</v>
      </c>
      <c r="IM5" s="274"/>
      <c r="IN5" s="275"/>
      <c r="IO5" s="117"/>
      <c r="IP5" s="16" t="str">
        <f>IF(IO4="N","0",IF(IO5="Y",IP7/2,"0"))</f>
        <v>0</v>
      </c>
    </row>
    <row r="6" spans="1:250" x14ac:dyDescent="0.25">
      <c r="A6" s="273" t="s">
        <v>177</v>
      </c>
      <c r="B6" s="274"/>
      <c r="C6" s="275"/>
      <c r="D6" s="117" t="s">
        <v>178</v>
      </c>
      <c r="E6" s="16">
        <f>IF(D4="N","0",IF(D6="N",E7/2,"0"))</f>
        <v>25</v>
      </c>
      <c r="F6" s="273" t="s">
        <v>177</v>
      </c>
      <c r="G6" s="274"/>
      <c r="H6" s="275"/>
      <c r="I6" s="117" t="s">
        <v>179</v>
      </c>
      <c r="J6" s="16" t="str">
        <f>IF(I4="N","0",IF(I6="N",J7/2,"0"))</f>
        <v>0</v>
      </c>
      <c r="K6" s="273" t="s">
        <v>177</v>
      </c>
      <c r="L6" s="274"/>
      <c r="M6" s="275"/>
      <c r="N6" s="117" t="s">
        <v>179</v>
      </c>
      <c r="O6" s="16" t="str">
        <f>IF(N4="N","0",IF(N6="N",O7/2,"0"))</f>
        <v>0</v>
      </c>
      <c r="P6" s="273" t="s">
        <v>177</v>
      </c>
      <c r="Q6" s="274"/>
      <c r="R6" s="275"/>
      <c r="S6" s="117" t="s">
        <v>179</v>
      </c>
      <c r="T6" s="16" t="str">
        <f>IF(S4="N","0",IF(S6="N",T7/2,"0"))</f>
        <v>0</v>
      </c>
      <c r="U6" s="273" t="s">
        <v>177</v>
      </c>
      <c r="V6" s="274"/>
      <c r="W6" s="275"/>
      <c r="X6" s="117" t="s">
        <v>178</v>
      </c>
      <c r="Y6" s="16">
        <f>IF(X4="N","0",IF(X6="N",Y7/2,"0"))</f>
        <v>25</v>
      </c>
      <c r="Z6" s="273" t="s">
        <v>177</v>
      </c>
      <c r="AA6" s="274"/>
      <c r="AB6" s="275"/>
      <c r="AC6" s="117" t="s">
        <v>178</v>
      </c>
      <c r="AD6" s="16">
        <f>IF(AC4="N","0",IF(AC6="N",AD7/2,"0"))</f>
        <v>15</v>
      </c>
      <c r="AE6" s="273" t="s">
        <v>177</v>
      </c>
      <c r="AF6" s="274"/>
      <c r="AG6" s="275"/>
      <c r="AH6" s="117" t="s">
        <v>179</v>
      </c>
      <c r="AI6" s="16" t="str">
        <f>IF(AH4="N","0",IF(AH6="N",AI7/2,"0"))</f>
        <v>0</v>
      </c>
      <c r="AJ6" s="273" t="s">
        <v>177</v>
      </c>
      <c r="AK6" s="274"/>
      <c r="AL6" s="275"/>
      <c r="AM6" s="117" t="s">
        <v>179</v>
      </c>
      <c r="AN6" s="16" t="str">
        <f>IF(AM4="N","0",IF(AM6="N",AN7/2,"0"))</f>
        <v>0</v>
      </c>
      <c r="AO6" s="273" t="s">
        <v>177</v>
      </c>
      <c r="AP6" s="274"/>
      <c r="AQ6" s="275"/>
      <c r="AR6" s="117" t="s">
        <v>179</v>
      </c>
      <c r="AS6" s="16" t="str">
        <f>IF(AR4="N","0",IF(AR6="N",AS7/2,"0"))</f>
        <v>0</v>
      </c>
      <c r="AT6" s="273" t="s">
        <v>177</v>
      </c>
      <c r="AU6" s="274"/>
      <c r="AV6" s="275"/>
      <c r="AW6" s="117" t="s">
        <v>179</v>
      </c>
      <c r="AX6" s="16" t="str">
        <f>IF(AW4="N","0",IF(AW6="N",AX7/2,"0"))</f>
        <v>0</v>
      </c>
      <c r="AY6" s="273" t="s">
        <v>177</v>
      </c>
      <c r="AZ6" s="274"/>
      <c r="BA6" s="275"/>
      <c r="BB6" s="117" t="s">
        <v>179</v>
      </c>
      <c r="BC6" s="16" t="str">
        <f>IF(BB4="N","0",IF(BB6="N",BC7/2,"0"))</f>
        <v>0</v>
      </c>
      <c r="BD6" s="273" t="s">
        <v>177</v>
      </c>
      <c r="BE6" s="274"/>
      <c r="BF6" s="275"/>
      <c r="BG6" s="117" t="s">
        <v>179</v>
      </c>
      <c r="BH6" s="16" t="str">
        <f>IF(BG4="N","0",IF(BG6="N",BH7/2,"0"))</f>
        <v>0</v>
      </c>
      <c r="BI6" s="273" t="s">
        <v>177</v>
      </c>
      <c r="BJ6" s="274"/>
      <c r="BK6" s="275"/>
      <c r="BL6" s="117" t="s">
        <v>179</v>
      </c>
      <c r="BM6" s="16" t="str">
        <f>IF(BL4="N","0",IF(BL6="N",BM7/2,"0"))</f>
        <v>0</v>
      </c>
      <c r="BN6" s="273" t="s">
        <v>177</v>
      </c>
      <c r="BO6" s="274"/>
      <c r="BP6" s="275"/>
      <c r="BQ6" s="117" t="s">
        <v>178</v>
      </c>
      <c r="BR6" s="16">
        <f>IF(BQ4="N","0",IF(BQ6="N",BR7/2,"0"))</f>
        <v>25</v>
      </c>
      <c r="BS6" s="273" t="s">
        <v>177</v>
      </c>
      <c r="BT6" s="274"/>
      <c r="BU6" s="275"/>
      <c r="BV6" s="117" t="s">
        <v>179</v>
      </c>
      <c r="BW6" s="16" t="str">
        <f>IF(BV4="N","0",IF(BV6="N",BW7/2,"0"))</f>
        <v>0</v>
      </c>
      <c r="BX6" s="273" t="s">
        <v>177</v>
      </c>
      <c r="BY6" s="274"/>
      <c r="BZ6" s="275"/>
      <c r="CA6" s="117" t="s">
        <v>178</v>
      </c>
      <c r="CB6" s="16">
        <f>IF(CA4="N","0",IF(CA6="N",CB7/2,"0"))</f>
        <v>25</v>
      </c>
      <c r="CC6" s="273" t="s">
        <v>177</v>
      </c>
      <c r="CD6" s="274"/>
      <c r="CE6" s="275"/>
      <c r="CF6" s="117" t="s">
        <v>179</v>
      </c>
      <c r="CG6" s="16" t="str">
        <f>IF(CF4="N","0",IF(CF6="N",CG7/2,"0"))</f>
        <v>0</v>
      </c>
      <c r="CH6" s="273" t="s">
        <v>177</v>
      </c>
      <c r="CI6" s="274"/>
      <c r="CJ6" s="275"/>
      <c r="CK6" s="117" t="s">
        <v>178</v>
      </c>
      <c r="CL6" s="16">
        <f>IF(CK4="N","0",IF(CK6="N",CL7/2,"0"))</f>
        <v>25</v>
      </c>
      <c r="CM6" s="273" t="s">
        <v>177</v>
      </c>
      <c r="CN6" s="274"/>
      <c r="CO6" s="275"/>
      <c r="CP6" s="117" t="s">
        <v>178</v>
      </c>
      <c r="CQ6" s="16">
        <f>IF(CP4="N","0",IF(CP6="N",CQ7/2,"0"))</f>
        <v>25</v>
      </c>
      <c r="CR6" s="273" t="s">
        <v>177</v>
      </c>
      <c r="CS6" s="274"/>
      <c r="CT6" s="275"/>
      <c r="CU6" s="117" t="s">
        <v>178</v>
      </c>
      <c r="CV6" s="16">
        <f>IF(CU4="N","0",IF(CU6="N",CV7/2,"0"))</f>
        <v>25</v>
      </c>
      <c r="CW6" s="273" t="s">
        <v>177</v>
      </c>
      <c r="CX6" s="274"/>
      <c r="CY6" s="275"/>
      <c r="CZ6" s="117" t="s">
        <v>178</v>
      </c>
      <c r="DA6" s="16">
        <f>IF(CZ4="N","0",IF(CZ6="N",DA7/2,"0"))</f>
        <v>25</v>
      </c>
      <c r="DB6" s="273" t="s">
        <v>177</v>
      </c>
      <c r="DC6" s="274"/>
      <c r="DD6" s="275"/>
      <c r="DE6" s="117" t="s">
        <v>179</v>
      </c>
      <c r="DF6" s="16" t="str">
        <f>IF(DE4="N","0",IF(DE6="N",DF7/2,"0"))</f>
        <v>0</v>
      </c>
      <c r="DG6" s="273" t="s">
        <v>177</v>
      </c>
      <c r="DH6" s="274"/>
      <c r="DI6" s="275"/>
      <c r="DJ6" s="117" t="s">
        <v>179</v>
      </c>
      <c r="DK6" s="16" t="str">
        <f>IF(DJ4="N","0",IF(DJ6="N",DK7/2,"0"))</f>
        <v>0</v>
      </c>
      <c r="DL6" s="273" t="s">
        <v>177</v>
      </c>
      <c r="DM6" s="274"/>
      <c r="DN6" s="275"/>
      <c r="DO6" s="117" t="s">
        <v>178</v>
      </c>
      <c r="DP6" s="16">
        <f>IF(DO4="N","0",IF(DO6="N",DP7/2,"0"))</f>
        <v>0</v>
      </c>
      <c r="DQ6" s="273" t="s">
        <v>177</v>
      </c>
      <c r="DR6" s="274"/>
      <c r="DS6" s="275"/>
      <c r="DT6" s="117" t="s">
        <v>178</v>
      </c>
      <c r="DU6" s="16">
        <f>IF(DT4="N","0",IF(DT6="N",DU7/2,"0"))</f>
        <v>0</v>
      </c>
      <c r="DV6" s="273" t="s">
        <v>177</v>
      </c>
      <c r="DW6" s="274"/>
      <c r="DX6" s="275"/>
      <c r="DY6" s="117" t="s">
        <v>178</v>
      </c>
      <c r="DZ6" s="16">
        <f>IF(DY4="N","0",IF(DY6="N",DZ7/2,"0"))</f>
        <v>0</v>
      </c>
      <c r="EA6" s="273" t="s">
        <v>177</v>
      </c>
      <c r="EB6" s="274"/>
      <c r="EC6" s="275"/>
      <c r="ED6" s="117" t="s">
        <v>178</v>
      </c>
      <c r="EE6" s="16">
        <f>IF(ED4="N","0",IF(ED6="N",EE7/2,"0"))</f>
        <v>0</v>
      </c>
      <c r="EF6" s="273" t="s">
        <v>177</v>
      </c>
      <c r="EG6" s="274"/>
      <c r="EH6" s="275"/>
      <c r="EI6" s="117" t="s">
        <v>178</v>
      </c>
      <c r="EJ6" s="16">
        <f>IF(EI4="N","0",IF(EI6="N",EJ7/2,"0"))</f>
        <v>0</v>
      </c>
      <c r="EK6" s="273" t="s">
        <v>177</v>
      </c>
      <c r="EL6" s="274"/>
      <c r="EM6" s="275"/>
      <c r="EN6" s="117" t="s">
        <v>178</v>
      </c>
      <c r="EO6" s="16">
        <f>IF(EN4="N","0",IF(EN6="N",EO7/2,"0"))</f>
        <v>0</v>
      </c>
      <c r="EP6" s="273" t="s">
        <v>177</v>
      </c>
      <c r="EQ6" s="274"/>
      <c r="ER6" s="275"/>
      <c r="ES6" s="117" t="s">
        <v>178</v>
      </c>
      <c r="ET6" s="16">
        <f>IF(ES4="N","0",IF(ES6="N",ET7/2,"0"))</f>
        <v>0</v>
      </c>
      <c r="EU6" s="273" t="s">
        <v>177</v>
      </c>
      <c r="EV6" s="274"/>
      <c r="EW6" s="275"/>
      <c r="EX6" s="117" t="s">
        <v>178</v>
      </c>
      <c r="EY6" s="16">
        <f>IF(EX4="N","0",IF(EX6="N",EY7/2,"0"))</f>
        <v>0</v>
      </c>
      <c r="EZ6" s="273" t="s">
        <v>177</v>
      </c>
      <c r="FA6" s="274"/>
      <c r="FB6" s="275"/>
      <c r="FC6" s="117" t="s">
        <v>178</v>
      </c>
      <c r="FD6" s="16">
        <f>IF(FC4="N","0",IF(FC6="N",FD7/2,"0"))</f>
        <v>0</v>
      </c>
      <c r="FE6" s="273" t="s">
        <v>177</v>
      </c>
      <c r="FF6" s="274"/>
      <c r="FG6" s="275"/>
      <c r="FH6" s="117" t="s">
        <v>178</v>
      </c>
      <c r="FI6" s="16">
        <f>IF(FH4="N","0",IF(FH6="N",FI7/2,"0"))</f>
        <v>0</v>
      </c>
      <c r="FJ6" s="273" t="s">
        <v>177</v>
      </c>
      <c r="FK6" s="274"/>
      <c r="FL6" s="275"/>
      <c r="FM6" s="117" t="s">
        <v>178</v>
      </c>
      <c r="FN6" s="16">
        <f>IF(FM4="N","0",IF(FM6="N",FN7/2,"0"))</f>
        <v>0</v>
      </c>
      <c r="FO6" s="273" t="s">
        <v>177</v>
      </c>
      <c r="FP6" s="274"/>
      <c r="FQ6" s="275"/>
      <c r="FR6" s="117" t="s">
        <v>178</v>
      </c>
      <c r="FS6" s="16">
        <f>IF(FR4="N","0",IF(FR6="N",FS7/2,"0"))</f>
        <v>0</v>
      </c>
      <c r="FT6" s="273" t="s">
        <v>177</v>
      </c>
      <c r="FU6" s="274"/>
      <c r="FV6" s="275"/>
      <c r="FW6" s="117" t="s">
        <v>178</v>
      </c>
      <c r="FX6" s="16">
        <f>IF(FW4="N","0",IF(FW6="N",FX7/2,"0"))</f>
        <v>0</v>
      </c>
      <c r="FY6" s="273" t="s">
        <v>177</v>
      </c>
      <c r="FZ6" s="274"/>
      <c r="GA6" s="275"/>
      <c r="GB6" s="117" t="s">
        <v>178</v>
      </c>
      <c r="GC6" s="16">
        <f>IF(GB4="N","0",IF(GB6="N",GC7/2,"0"))</f>
        <v>0</v>
      </c>
      <c r="GD6" s="273" t="s">
        <v>177</v>
      </c>
      <c r="GE6" s="274"/>
      <c r="GF6" s="275"/>
      <c r="GG6" s="117" t="s">
        <v>178</v>
      </c>
      <c r="GH6" s="16">
        <f>IF(GG4="N","0",IF(GG6="N",GH7/2,"0"))</f>
        <v>0</v>
      </c>
      <c r="GI6" s="273" t="s">
        <v>177</v>
      </c>
      <c r="GJ6" s="274"/>
      <c r="GK6" s="275"/>
      <c r="GL6" s="117" t="s">
        <v>178</v>
      </c>
      <c r="GM6" s="16">
        <f>IF(GL4="N","0",IF(GL6="N",GM7/2,"0"))</f>
        <v>0</v>
      </c>
      <c r="GN6" s="273" t="s">
        <v>177</v>
      </c>
      <c r="GO6" s="274"/>
      <c r="GP6" s="275"/>
      <c r="GQ6" s="117" t="s">
        <v>178</v>
      </c>
      <c r="GR6" s="16">
        <f>IF(GQ4="N","0",IF(GQ6="N",GR7/2,"0"))</f>
        <v>0</v>
      </c>
      <c r="GS6" s="273" t="s">
        <v>177</v>
      </c>
      <c r="GT6" s="274"/>
      <c r="GU6" s="275"/>
      <c r="GV6" s="117" t="s">
        <v>178</v>
      </c>
      <c r="GW6" s="16">
        <f>IF(GV4="N","0",IF(GV6="N",GW7/2,"0"))</f>
        <v>0</v>
      </c>
      <c r="GX6" s="273" t="s">
        <v>177</v>
      </c>
      <c r="GY6" s="274"/>
      <c r="GZ6" s="275"/>
      <c r="HA6" s="117" t="s">
        <v>178</v>
      </c>
      <c r="HB6" s="16">
        <f>IF(HA4="N","0",IF(HA6="N",HB7/2,"0"))</f>
        <v>0</v>
      </c>
      <c r="HC6" s="273" t="s">
        <v>177</v>
      </c>
      <c r="HD6" s="274"/>
      <c r="HE6" s="275"/>
      <c r="HF6" s="117" t="s">
        <v>178</v>
      </c>
      <c r="HG6" s="16">
        <f>IF(HF4="N","0",IF(HF6="N",HG7/2,"0"))</f>
        <v>0</v>
      </c>
      <c r="HH6" s="273" t="s">
        <v>177</v>
      </c>
      <c r="HI6" s="274"/>
      <c r="HJ6" s="275"/>
      <c r="HK6" s="117" t="s">
        <v>178</v>
      </c>
      <c r="HL6" s="16">
        <f>IF(HK4="N","0",IF(HK6="N",HL7/2,"0"))</f>
        <v>0</v>
      </c>
      <c r="HM6" s="273" t="s">
        <v>177</v>
      </c>
      <c r="HN6" s="274"/>
      <c r="HO6" s="275"/>
      <c r="HP6" s="117" t="s">
        <v>178</v>
      </c>
      <c r="HQ6" s="16">
        <f>IF(HP4="N","0",IF(HP6="N",HQ7/2,"0"))</f>
        <v>0</v>
      </c>
      <c r="HR6" s="273" t="s">
        <v>177</v>
      </c>
      <c r="HS6" s="274"/>
      <c r="HT6" s="275"/>
      <c r="HU6" s="117" t="s">
        <v>178</v>
      </c>
      <c r="HV6" s="16">
        <f>IF(HU4="N","0",IF(HU6="N",HV7/2,"0"))</f>
        <v>0</v>
      </c>
      <c r="HW6" s="273" t="s">
        <v>177</v>
      </c>
      <c r="HX6" s="274"/>
      <c r="HY6" s="275"/>
      <c r="HZ6" s="117" t="s">
        <v>178</v>
      </c>
      <c r="IA6" s="16">
        <f>IF(HZ4="N","0",IF(HZ6="N",IA7/2,"0"))</f>
        <v>0</v>
      </c>
      <c r="IB6" s="273" t="s">
        <v>177</v>
      </c>
      <c r="IC6" s="274"/>
      <c r="ID6" s="275"/>
      <c r="IE6" s="117" t="s">
        <v>178</v>
      </c>
      <c r="IF6" s="16">
        <f>IF(IE4="N","0",IF(IE6="N",IF7/2,"0"))</f>
        <v>0</v>
      </c>
      <c r="IG6" s="273" t="s">
        <v>177</v>
      </c>
      <c r="IH6" s="274"/>
      <c r="II6" s="275"/>
      <c r="IJ6" s="117" t="s">
        <v>178</v>
      </c>
      <c r="IK6" s="16">
        <f>IF(IJ4="N","0",IF(IJ6="N",IK7/2,"0"))</f>
        <v>0</v>
      </c>
      <c r="IL6" s="273" t="s">
        <v>177</v>
      </c>
      <c r="IM6" s="274"/>
      <c r="IN6" s="275"/>
      <c r="IO6" s="117" t="s">
        <v>178</v>
      </c>
      <c r="IP6" s="16">
        <f>IF(IO4="N","0",IF(IO6="N",IP7/2,"0"))</f>
        <v>0</v>
      </c>
    </row>
    <row r="7" spans="1:250" x14ac:dyDescent="0.25">
      <c r="A7" s="273" t="s">
        <v>180</v>
      </c>
      <c r="B7" s="274"/>
      <c r="C7" s="275"/>
      <c r="D7" s="117" t="s">
        <v>492</v>
      </c>
      <c r="E7" s="16">
        <f>IF(OR(D7="RPX",D7="SS"),30,IF(OR(D7="RPX-T",D7="EUC"),50,0))</f>
        <v>50</v>
      </c>
      <c r="F7" s="273" t="s">
        <v>180</v>
      </c>
      <c r="G7" s="274"/>
      <c r="H7" s="275"/>
      <c r="I7" s="117"/>
      <c r="J7" s="16">
        <f>IF(OR(I7="RPX",I7="SS"),30,IF(OR(I7="RPX-T",I7="EUC"),50,0))</f>
        <v>0</v>
      </c>
      <c r="K7" s="273" t="s">
        <v>180</v>
      </c>
      <c r="L7" s="274"/>
      <c r="M7" s="275"/>
      <c r="N7" s="117" t="s">
        <v>487</v>
      </c>
      <c r="O7" s="16">
        <f>IF(OR(N7="RPX",N7="SS"),30,IF(OR(N7="RPX-T",N7="EUC"),50,0))</f>
        <v>30</v>
      </c>
      <c r="P7" s="273" t="s">
        <v>180</v>
      </c>
      <c r="Q7" s="274"/>
      <c r="R7" s="275"/>
      <c r="S7" s="117" t="s">
        <v>492</v>
      </c>
      <c r="T7" s="16">
        <f>IF(OR(S7="RPX",S7="SS"),30,IF(OR(S7="RPX-T",S7="EUC"),50,0))</f>
        <v>50</v>
      </c>
      <c r="U7" s="273" t="s">
        <v>180</v>
      </c>
      <c r="V7" s="274"/>
      <c r="W7" s="275"/>
      <c r="X7" s="117" t="s">
        <v>492</v>
      </c>
      <c r="Y7" s="16">
        <f>IF(OR(X7="RPX",X7="SS"),30,IF(OR(X7="RPX-T",X7="EUC"),50,0))</f>
        <v>50</v>
      </c>
      <c r="Z7" s="273" t="s">
        <v>180</v>
      </c>
      <c r="AA7" s="274"/>
      <c r="AB7" s="275"/>
      <c r="AC7" s="117" t="s">
        <v>487</v>
      </c>
      <c r="AD7" s="16">
        <f>IF(OR(AC7="RPX",AC7="SS"),30,IF(OR(AC7="RPX-T",AC7="EUC"),50,0))</f>
        <v>30</v>
      </c>
      <c r="AE7" s="273" t="s">
        <v>180</v>
      </c>
      <c r="AF7" s="274"/>
      <c r="AG7" s="275"/>
      <c r="AH7" s="117" t="s">
        <v>487</v>
      </c>
      <c r="AI7" s="16">
        <f>IF(OR(AH7="RPX",AH7="SS"),30,IF(OR(AH7="RPX-T",AH7="EUC"),50,0))</f>
        <v>30</v>
      </c>
      <c r="AJ7" s="273" t="s">
        <v>180</v>
      </c>
      <c r="AK7" s="274"/>
      <c r="AL7" s="275"/>
      <c r="AM7" s="117" t="s">
        <v>492</v>
      </c>
      <c r="AN7" s="16">
        <f>IF(OR(AM7="RPX",AM7="SS"),30,IF(OR(AM7="RPX-T",AM7="EUC"),50,0))</f>
        <v>50</v>
      </c>
      <c r="AO7" s="273" t="s">
        <v>180</v>
      </c>
      <c r="AP7" s="274"/>
      <c r="AQ7" s="275"/>
      <c r="AR7" s="117" t="s">
        <v>487</v>
      </c>
      <c r="AS7" s="16">
        <f>IF(OR(AR7="RPX",AR7="SS"),30,IF(OR(AR7="RPX-T",AR7="EUC"),50,0))</f>
        <v>30</v>
      </c>
      <c r="AT7" s="273" t="s">
        <v>180</v>
      </c>
      <c r="AU7" s="274"/>
      <c r="AV7" s="275"/>
      <c r="AW7" s="117" t="s">
        <v>492</v>
      </c>
      <c r="AX7" s="16">
        <f>IF(OR(AW7="RPX",AW7="SS"),30,IF(OR(AW7="RPX-T",AW7="EUC"),50,0))</f>
        <v>50</v>
      </c>
      <c r="AY7" s="273" t="s">
        <v>180</v>
      </c>
      <c r="AZ7" s="274"/>
      <c r="BA7" s="275"/>
      <c r="BB7" s="117" t="s">
        <v>492</v>
      </c>
      <c r="BC7" s="16">
        <f>IF(OR(BB7="RPX",BB7="SS"),30,IF(OR(BB7="RPX-T",BB7="EUC"),50,0))</f>
        <v>50</v>
      </c>
      <c r="BD7" s="273" t="s">
        <v>180</v>
      </c>
      <c r="BE7" s="274"/>
      <c r="BF7" s="275"/>
      <c r="BG7" s="117" t="s">
        <v>487</v>
      </c>
      <c r="BH7" s="16">
        <f>IF(OR(BG7="RPX",BG7="SS"),30,IF(OR(BG7="RPX-T",BG7="EUC"),50,0))</f>
        <v>30</v>
      </c>
      <c r="BI7" s="273" t="s">
        <v>180</v>
      </c>
      <c r="BJ7" s="274"/>
      <c r="BK7" s="275"/>
      <c r="BL7" s="117"/>
      <c r="BM7" s="16">
        <f>IF(OR(BL7="RPX",BL7="SS"),30,IF(OR(BL7="RPX-T",BL7="EUC"),50,0))</f>
        <v>0</v>
      </c>
      <c r="BN7" s="273" t="s">
        <v>180</v>
      </c>
      <c r="BO7" s="274"/>
      <c r="BP7" s="275"/>
      <c r="BQ7" s="117" t="s">
        <v>492</v>
      </c>
      <c r="BR7" s="16">
        <f>IF(OR(BQ7="RPX",BQ7="SS"),30,IF(OR(BQ7="RPX-T",BQ7="EUC"),50,0))</f>
        <v>50</v>
      </c>
      <c r="BS7" s="273" t="s">
        <v>180</v>
      </c>
      <c r="BT7" s="274"/>
      <c r="BU7" s="275"/>
      <c r="BV7" s="117" t="s">
        <v>492</v>
      </c>
      <c r="BW7" s="16">
        <f>IF(OR(BV7="RPX",BV7="SS"),30,IF(OR(BV7="RPX-T",BV7="EUC"),50,0))</f>
        <v>50</v>
      </c>
      <c r="BX7" s="273" t="s">
        <v>180</v>
      </c>
      <c r="BY7" s="274"/>
      <c r="BZ7" s="275"/>
      <c r="CA7" s="117" t="s">
        <v>492</v>
      </c>
      <c r="CB7" s="16">
        <f>IF(OR(CA7="RPX",CA7="SS"),30,IF(OR(CA7="RPX-T",CA7="EUC"),50,0))</f>
        <v>50</v>
      </c>
      <c r="CC7" s="273" t="s">
        <v>180</v>
      </c>
      <c r="CD7" s="274"/>
      <c r="CE7" s="275"/>
      <c r="CF7" s="117" t="s">
        <v>487</v>
      </c>
      <c r="CG7" s="16">
        <f>IF(OR(CF7="RPX",CF7="SS"),30,IF(OR(CF7="RPX-T",CF7="EUC"),50,0))</f>
        <v>30</v>
      </c>
      <c r="CH7" s="273" t="s">
        <v>180</v>
      </c>
      <c r="CI7" s="274"/>
      <c r="CJ7" s="275"/>
      <c r="CK7" s="117" t="s">
        <v>492</v>
      </c>
      <c r="CL7" s="16">
        <f>IF(OR(CK7="RPX",CK7="SS"),30,IF(OR(CK7="RPX-T",CK7="EUC"),50,0))</f>
        <v>50</v>
      </c>
      <c r="CM7" s="273" t="s">
        <v>180</v>
      </c>
      <c r="CN7" s="274"/>
      <c r="CO7" s="275"/>
      <c r="CP7" s="117" t="s">
        <v>492</v>
      </c>
      <c r="CQ7" s="16">
        <f>IF(OR(CP7="RPX",CP7="SS"),30,IF(OR(CP7="RPX-T",CP7="EUC"),50,0))</f>
        <v>50</v>
      </c>
      <c r="CR7" s="273" t="s">
        <v>180</v>
      </c>
      <c r="CS7" s="274"/>
      <c r="CT7" s="275"/>
      <c r="CU7" s="117" t="s">
        <v>492</v>
      </c>
      <c r="CV7" s="16">
        <f>IF(OR(CU7="RPX",CU7="SS"),30,IF(OR(CU7="RPX-T",CU7="EUC"),50,0))</f>
        <v>50</v>
      </c>
      <c r="CW7" s="273" t="s">
        <v>180</v>
      </c>
      <c r="CX7" s="274"/>
      <c r="CY7" s="275"/>
      <c r="CZ7" s="117" t="s">
        <v>492</v>
      </c>
      <c r="DA7" s="16">
        <f>IF(OR(CZ7="RPX",CZ7="SS"),30,IF(OR(CZ7="RPX-T",CZ7="EUC"),50,0))</f>
        <v>50</v>
      </c>
      <c r="DB7" s="273" t="s">
        <v>180</v>
      </c>
      <c r="DC7" s="274"/>
      <c r="DD7" s="275"/>
      <c r="DE7" s="117" t="s">
        <v>492</v>
      </c>
      <c r="DF7" s="16">
        <f>IF(OR(DE7="RPX",DE7="SS"),30,IF(OR(DE7="RPX-T",DE7="EUC"),50,0))</f>
        <v>50</v>
      </c>
      <c r="DG7" s="273" t="s">
        <v>180</v>
      </c>
      <c r="DH7" s="274"/>
      <c r="DI7" s="275"/>
      <c r="DJ7" s="117"/>
      <c r="DK7" s="16">
        <f>IF(OR(DJ7="RPX",DJ7="SS"),30,IF(OR(DJ7="RPX-T",DJ7="EUC"),50,0))</f>
        <v>0</v>
      </c>
      <c r="DL7" s="273" t="s">
        <v>180</v>
      </c>
      <c r="DM7" s="274"/>
      <c r="DN7" s="275"/>
      <c r="DO7" s="117"/>
      <c r="DP7" s="16">
        <f>IF(OR(DO7="RPX",DO7="SS"),30,IF(OR(DO7="RPX-T",DO7="EUC"),50,0))</f>
        <v>0</v>
      </c>
      <c r="DQ7" s="273" t="s">
        <v>180</v>
      </c>
      <c r="DR7" s="274"/>
      <c r="DS7" s="275"/>
      <c r="DT7" s="117"/>
      <c r="DU7" s="16">
        <f>IF(OR(DT7="RPX",DT7="SS"),30,IF(OR(DT7="RPX-T",DT7="EUC"),50,0))</f>
        <v>0</v>
      </c>
      <c r="DV7" s="273" t="s">
        <v>180</v>
      </c>
      <c r="DW7" s="274"/>
      <c r="DX7" s="275"/>
      <c r="DY7" s="117"/>
      <c r="DZ7" s="16">
        <f>IF(OR(DY7="RPX",DY7="SS"),30,IF(OR(DY7="RPX-T",DY7="EUC"),50,0))</f>
        <v>0</v>
      </c>
      <c r="EA7" s="273" t="s">
        <v>180</v>
      </c>
      <c r="EB7" s="274"/>
      <c r="EC7" s="275"/>
      <c r="ED7" s="117"/>
      <c r="EE7" s="16">
        <f>IF(OR(ED7="RPX",ED7="SS"),30,IF(OR(ED7="RPX-T",ED7="EUC"),50,0))</f>
        <v>0</v>
      </c>
      <c r="EF7" s="273" t="s">
        <v>180</v>
      </c>
      <c r="EG7" s="274"/>
      <c r="EH7" s="275"/>
      <c r="EI7" s="117"/>
      <c r="EJ7" s="16">
        <f>IF(OR(EI7="RPX",EI7="SS"),30,IF(OR(EI7="RPX-T",EI7="EUC"),50,0))</f>
        <v>0</v>
      </c>
      <c r="EK7" s="273" t="s">
        <v>180</v>
      </c>
      <c r="EL7" s="274"/>
      <c r="EM7" s="275"/>
      <c r="EN7" s="117"/>
      <c r="EO7" s="16">
        <f>IF(OR(EN7="RPX",EN7="SS"),30,IF(OR(EN7="RPX-T",EN7="EUC"),50,0))</f>
        <v>0</v>
      </c>
      <c r="EP7" s="273" t="s">
        <v>180</v>
      </c>
      <c r="EQ7" s="274"/>
      <c r="ER7" s="275"/>
      <c r="ES7" s="117"/>
      <c r="ET7" s="16">
        <f>IF(OR(ES7="RPX",ES7="SS"),30,IF(OR(ES7="RPX-T",ES7="EUC"),50,0))</f>
        <v>0</v>
      </c>
      <c r="EU7" s="273" t="s">
        <v>180</v>
      </c>
      <c r="EV7" s="274"/>
      <c r="EW7" s="275"/>
      <c r="EX7" s="117"/>
      <c r="EY7" s="16">
        <f>IF(OR(EX7="RPX",EX7="SS"),30,IF(OR(EX7="RPX-T",EX7="EUC"),50,0))</f>
        <v>0</v>
      </c>
      <c r="EZ7" s="273" t="s">
        <v>180</v>
      </c>
      <c r="FA7" s="274"/>
      <c r="FB7" s="275"/>
      <c r="FC7" s="117"/>
      <c r="FD7" s="16">
        <f>IF(OR(FC7="RPX",FC7="SS"),30,IF(OR(FC7="RPX-T",FC7="EUC"),50,0))</f>
        <v>0</v>
      </c>
      <c r="FE7" s="273" t="s">
        <v>180</v>
      </c>
      <c r="FF7" s="274"/>
      <c r="FG7" s="275"/>
      <c r="FH7" s="117"/>
      <c r="FI7" s="16">
        <f>IF(OR(FH7="RPX",FH7="SS"),30,IF(OR(FH7="RPX-T",FH7="EUC"),50,0))</f>
        <v>0</v>
      </c>
      <c r="FJ7" s="273" t="s">
        <v>180</v>
      </c>
      <c r="FK7" s="274"/>
      <c r="FL7" s="275"/>
      <c r="FM7" s="117"/>
      <c r="FN7" s="16">
        <f>IF(OR(FM7="RPX",FM7="SS"),30,IF(OR(FM7="RPX-T",FM7="EUC"),50,0))</f>
        <v>0</v>
      </c>
      <c r="FO7" s="273" t="s">
        <v>180</v>
      </c>
      <c r="FP7" s="274"/>
      <c r="FQ7" s="275"/>
      <c r="FR7" s="117"/>
      <c r="FS7" s="16">
        <f>IF(OR(FR7="RPX",FR7="SS"),30,IF(OR(FR7="RPX-T",FR7="EUC"),50,0))</f>
        <v>0</v>
      </c>
      <c r="FT7" s="273" t="s">
        <v>180</v>
      </c>
      <c r="FU7" s="274"/>
      <c r="FV7" s="275"/>
      <c r="FW7" s="117"/>
      <c r="FX7" s="16">
        <f>IF(OR(FW7="RPX",FW7="SS"),30,IF(OR(FW7="RPX-T",FW7="EUC"),50,0))</f>
        <v>0</v>
      </c>
      <c r="FY7" s="273" t="s">
        <v>180</v>
      </c>
      <c r="FZ7" s="274"/>
      <c r="GA7" s="275"/>
      <c r="GB7" s="117"/>
      <c r="GC7" s="16">
        <f>IF(OR(GB7="RPX",GB7="SS"),30,IF(OR(GB7="RPX-T",GB7="EUC"),50,0))</f>
        <v>0</v>
      </c>
      <c r="GD7" s="273" t="s">
        <v>180</v>
      </c>
      <c r="GE7" s="274"/>
      <c r="GF7" s="275"/>
      <c r="GG7" s="117"/>
      <c r="GH7" s="16">
        <f>IF(OR(GG7="RPX",GG7="SS"),30,IF(OR(GG7="RPX-T",GG7="EUC"),50,0))</f>
        <v>0</v>
      </c>
      <c r="GI7" s="273" t="s">
        <v>180</v>
      </c>
      <c r="GJ7" s="274"/>
      <c r="GK7" s="275"/>
      <c r="GL7" s="117"/>
      <c r="GM7" s="16">
        <f>IF(OR(GL7="RPX",GL7="SS"),30,IF(OR(GL7="RPX-T",GL7="EUC"),50,0))</f>
        <v>0</v>
      </c>
      <c r="GN7" s="273" t="s">
        <v>180</v>
      </c>
      <c r="GO7" s="274"/>
      <c r="GP7" s="275"/>
      <c r="GQ7" s="117"/>
      <c r="GR7" s="16">
        <f>IF(OR(GQ7="RPX",GQ7="SS"),30,IF(OR(GQ7="RPX-T",GQ7="EUC"),50,0))</f>
        <v>0</v>
      </c>
      <c r="GS7" s="273" t="s">
        <v>180</v>
      </c>
      <c r="GT7" s="274"/>
      <c r="GU7" s="275"/>
      <c r="GV7" s="117"/>
      <c r="GW7" s="16">
        <f>IF(OR(GV7="RPX",GV7="SS"),30,IF(OR(GV7="RPX-T",GV7="EUC"),50,0))</f>
        <v>0</v>
      </c>
      <c r="GX7" s="273" t="s">
        <v>180</v>
      </c>
      <c r="GY7" s="274"/>
      <c r="GZ7" s="275"/>
      <c r="HA7" s="117"/>
      <c r="HB7" s="16">
        <f>IF(OR(HA7="RPX",HA7="SS"),30,IF(OR(HA7="RPX-T",HA7="EUC"),50,0))</f>
        <v>0</v>
      </c>
      <c r="HC7" s="273" t="s">
        <v>180</v>
      </c>
      <c r="HD7" s="274"/>
      <c r="HE7" s="275"/>
      <c r="HF7" s="117"/>
      <c r="HG7" s="16">
        <f>IF(OR(HF7="RPX",HF7="SS"),30,IF(OR(HF7="RPX-T",HF7="EUC"),50,0))</f>
        <v>0</v>
      </c>
      <c r="HH7" s="273" t="s">
        <v>180</v>
      </c>
      <c r="HI7" s="274"/>
      <c r="HJ7" s="275"/>
      <c r="HK7" s="117"/>
      <c r="HL7" s="16">
        <f>IF(OR(HK7="RPX",HK7="SS"),30,IF(OR(HK7="RPX-T",HK7="EUC"),50,0))</f>
        <v>0</v>
      </c>
      <c r="HM7" s="273" t="s">
        <v>180</v>
      </c>
      <c r="HN7" s="274"/>
      <c r="HO7" s="275"/>
      <c r="HP7" s="117"/>
      <c r="HQ7" s="16">
        <f>IF(OR(HP7="RPX",HP7="SS"),30,IF(OR(HP7="RPX-T",HP7="EUC"),50,0))</f>
        <v>0</v>
      </c>
      <c r="HR7" s="273" t="s">
        <v>180</v>
      </c>
      <c r="HS7" s="274"/>
      <c r="HT7" s="275"/>
      <c r="HU7" s="117"/>
      <c r="HV7" s="16">
        <f>IF(OR(HU7="RPX",HU7="SS"),30,IF(OR(HU7="RPX-T",HU7="EUC"),50,0))</f>
        <v>0</v>
      </c>
      <c r="HW7" s="273" t="s">
        <v>180</v>
      </c>
      <c r="HX7" s="274"/>
      <c r="HY7" s="275"/>
      <c r="HZ7" s="117"/>
      <c r="IA7" s="16">
        <f>IF(OR(HZ7="RPX",HZ7="SS"),30,IF(OR(HZ7="RPX-T",HZ7="EUC"),50,0))</f>
        <v>0</v>
      </c>
      <c r="IB7" s="273" t="s">
        <v>180</v>
      </c>
      <c r="IC7" s="274"/>
      <c r="ID7" s="275"/>
      <c r="IE7" s="117"/>
      <c r="IF7" s="16">
        <f>IF(OR(IE7="RPX",IE7="SS"),30,IF(OR(IE7="RPX-T",IE7="EUC"),50,0))</f>
        <v>0</v>
      </c>
      <c r="IG7" s="273" t="s">
        <v>180</v>
      </c>
      <c r="IH7" s="274"/>
      <c r="II7" s="275"/>
      <c r="IJ7" s="117"/>
      <c r="IK7" s="16">
        <f>IF(OR(IJ7="RPX",IJ7="SS"),30,IF(OR(IJ7="RPX-T",IJ7="EUC"),50,0))</f>
        <v>0</v>
      </c>
      <c r="IL7" s="273" t="s">
        <v>180</v>
      </c>
      <c r="IM7" s="274"/>
      <c r="IN7" s="275"/>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c r="L9" s="90"/>
      <c r="M9" s="90">
        <v>0</v>
      </c>
      <c r="N9" s="116"/>
      <c r="O9" s="16">
        <f>IF(K9="",IF(M9="","",M9),K9)</f>
        <v>0</v>
      </c>
      <c r="P9" s="90"/>
      <c r="Q9" s="90"/>
      <c r="R9" s="90">
        <v>0</v>
      </c>
      <c r="S9" s="116"/>
      <c r="T9" s="16">
        <f>IF(P9="",IF(R9="","",R9),P9)</f>
        <v>0</v>
      </c>
      <c r="U9" s="90"/>
      <c r="V9" s="90"/>
      <c r="W9" s="90">
        <v>0</v>
      </c>
      <c r="X9" s="116"/>
      <c r="Y9" s="16">
        <f>IF(U9="",IF(W9="","",W9),U9)</f>
        <v>0</v>
      </c>
      <c r="Z9" s="90"/>
      <c r="AA9" s="90"/>
      <c r="AB9" s="90">
        <v>0</v>
      </c>
      <c r="AC9" s="116"/>
      <c r="AD9" s="16">
        <f>IF(Z9="",IF(AB9="","",AB9),Z9)</f>
        <v>0</v>
      </c>
      <c r="AE9" s="90"/>
      <c r="AF9" s="90"/>
      <c r="AG9" s="90">
        <v>0</v>
      </c>
      <c r="AH9" s="116"/>
      <c r="AI9" s="16">
        <f>IF(AE9="",IF(AG9="","",AG9),AE9)</f>
        <v>0</v>
      </c>
      <c r="AJ9" s="90">
        <v>0</v>
      </c>
      <c r="AK9" s="90"/>
      <c r="AL9" s="90"/>
      <c r="AM9" s="116"/>
      <c r="AN9" s="16">
        <f>IF(AJ9="",IF(AL9="","",AL9),AJ9)</f>
        <v>0</v>
      </c>
      <c r="AO9" s="90"/>
      <c r="AP9" s="90"/>
      <c r="AQ9" s="90">
        <v>0</v>
      </c>
      <c r="AR9" s="116"/>
      <c r="AS9" s="16">
        <f>IF(AO9="",IF(AQ9="","",AQ9),AO9)</f>
        <v>0</v>
      </c>
      <c r="AT9" s="90">
        <v>0</v>
      </c>
      <c r="AU9" s="90"/>
      <c r="AV9" s="90"/>
      <c r="AW9" s="116"/>
      <c r="AX9" s="16">
        <f>IF(AT9="",IF(AV9="","",AV9),AT9)</f>
        <v>0</v>
      </c>
      <c r="AY9" s="90">
        <v>0</v>
      </c>
      <c r="AZ9" s="90"/>
      <c r="BA9" s="90"/>
      <c r="BB9" s="116"/>
      <c r="BC9" s="16">
        <f>IF(AY9="",IF(BA9="","",BA9),AY9)</f>
        <v>0</v>
      </c>
      <c r="BD9" s="90"/>
      <c r="BE9" s="90"/>
      <c r="BF9" s="90">
        <v>0</v>
      </c>
      <c r="BG9" s="116"/>
      <c r="BH9" s="16">
        <f>IF(BD9="",IF(BF9="","",BF9),BD9)</f>
        <v>0</v>
      </c>
      <c r="BI9" s="90"/>
      <c r="BJ9" s="90"/>
      <c r="BK9" s="90">
        <v>0</v>
      </c>
      <c r="BL9" s="116"/>
      <c r="BM9" s="16">
        <f>IF(BI9="",IF(BK9="","",BK9),BI9)</f>
        <v>0</v>
      </c>
      <c r="BN9" s="90">
        <v>0</v>
      </c>
      <c r="BO9" s="90"/>
      <c r="BP9" s="90"/>
      <c r="BQ9" s="116"/>
      <c r="BR9" s="16">
        <f>IF(BN9="",IF(BP9="","",BP9),BN9)</f>
        <v>0</v>
      </c>
      <c r="BS9" s="90">
        <v>0</v>
      </c>
      <c r="BT9" s="90"/>
      <c r="BU9" s="90"/>
      <c r="BV9" s="116"/>
      <c r="BW9" s="16">
        <f>IF(BS9="",IF(BU9="","",BU9),BS9)</f>
        <v>0</v>
      </c>
      <c r="BX9" s="90"/>
      <c r="BY9" s="90"/>
      <c r="BZ9" s="90">
        <v>0</v>
      </c>
      <c r="CA9" s="116"/>
      <c r="CB9" s="16">
        <f>IF(BX9="",IF(BZ9="","",BZ9),BX9)</f>
        <v>0</v>
      </c>
      <c r="CC9" s="90"/>
      <c r="CD9" s="90"/>
      <c r="CE9" s="90">
        <v>0</v>
      </c>
      <c r="CF9" s="116"/>
      <c r="CG9" s="16">
        <f>IF(CC9="",IF(CE9="","",CE9),CC9)</f>
        <v>0</v>
      </c>
      <c r="CH9" s="90"/>
      <c r="CI9" s="90"/>
      <c r="CJ9" s="90">
        <v>0</v>
      </c>
      <c r="CK9" s="116"/>
      <c r="CL9" s="16">
        <f>IF(CH9="",IF(CJ9="","",CJ9),CH9)</f>
        <v>0</v>
      </c>
      <c r="CM9" s="90">
        <v>0</v>
      </c>
      <c r="CN9" s="90"/>
      <c r="CO9" s="90"/>
      <c r="CP9" s="116"/>
      <c r="CQ9" s="16">
        <f>IF(CM9="",IF(CO9="","",CO9),CM9)</f>
        <v>0</v>
      </c>
      <c r="CR9" s="90">
        <v>0</v>
      </c>
      <c r="CS9" s="90"/>
      <c r="CT9" s="90"/>
      <c r="CU9" s="116"/>
      <c r="CV9" s="16">
        <f>IF(CR9="",IF(CT9="","",CT9),CR9)</f>
        <v>0</v>
      </c>
      <c r="CW9" s="90"/>
      <c r="CX9" s="90"/>
      <c r="CY9" s="90">
        <v>0</v>
      </c>
      <c r="CZ9" s="116"/>
      <c r="DA9" s="16">
        <f>IF(CW9="",IF(CY9="","",CY9),CW9)</f>
        <v>0</v>
      </c>
      <c r="DB9" s="90">
        <v>0</v>
      </c>
      <c r="DC9" s="90"/>
      <c r="DD9" s="90"/>
      <c r="DE9" s="116"/>
      <c r="DF9" s="16">
        <f>IF(DB9="",IF(DD9="","",DD9),DB9)</f>
        <v>0</v>
      </c>
      <c r="DG9" s="90">
        <v>0</v>
      </c>
      <c r="DH9" s="90"/>
      <c r="DI9" s="90"/>
      <c r="DJ9" s="116"/>
      <c r="DK9" s="16">
        <f>IF(DG9="",IF(DI9="","",DI9),DG9)</f>
        <v>0</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c r="M10" s="90"/>
      <c r="N10" s="116">
        <v>50</v>
      </c>
      <c r="O10" s="16">
        <f>IF(K10="",M10,K10)</f>
        <v>0</v>
      </c>
      <c r="P10" s="90"/>
      <c r="Q10" s="90"/>
      <c r="R10" s="90"/>
      <c r="S10" s="116">
        <v>50</v>
      </c>
      <c r="T10" s="16">
        <f>IF(P10="",R10,P10)</f>
        <v>0</v>
      </c>
      <c r="U10" s="90"/>
      <c r="V10" s="90"/>
      <c r="W10" s="90"/>
      <c r="X10" s="116">
        <v>50</v>
      </c>
      <c r="Y10" s="16">
        <f>IF(U10="",W10,U10)</f>
        <v>0</v>
      </c>
      <c r="Z10" s="90"/>
      <c r="AA10" s="90"/>
      <c r="AB10" s="90"/>
      <c r="AC10" s="116">
        <v>50</v>
      </c>
      <c r="AD10" s="16">
        <f>IF(Z10="",AB10,Z10)</f>
        <v>0</v>
      </c>
      <c r="AE10" s="90"/>
      <c r="AF10" s="90"/>
      <c r="AG10" s="90"/>
      <c r="AH10" s="116">
        <v>50</v>
      </c>
      <c r="AI10" s="16">
        <f>IF(AE10="",AG10,AE10)</f>
        <v>0</v>
      </c>
      <c r="AJ10" s="90"/>
      <c r="AK10" s="90">
        <v>50</v>
      </c>
      <c r="AL10" s="90"/>
      <c r="AM10" s="116"/>
      <c r="AN10" s="16">
        <f>IF(AJ10="",AL10,AJ10)</f>
        <v>0</v>
      </c>
      <c r="AO10" s="90"/>
      <c r="AP10" s="90"/>
      <c r="AQ10" s="90"/>
      <c r="AR10" s="116">
        <v>50</v>
      </c>
      <c r="AS10" s="16">
        <f>IF(AO10="",AQ10,AO10)</f>
        <v>0</v>
      </c>
      <c r="AT10" s="90"/>
      <c r="AU10" s="90">
        <v>50</v>
      </c>
      <c r="AV10" s="90"/>
      <c r="AW10" s="116"/>
      <c r="AX10" s="16">
        <f>IF(AT10="",AV10,AT10)</f>
        <v>0</v>
      </c>
      <c r="AY10" s="90"/>
      <c r="AZ10" s="90">
        <v>50</v>
      </c>
      <c r="BA10" s="90"/>
      <c r="BB10" s="116"/>
      <c r="BC10" s="16">
        <f>IF(AY10="",BA10,AY10)</f>
        <v>0</v>
      </c>
      <c r="BD10" s="90"/>
      <c r="BE10" s="90"/>
      <c r="BF10" s="90"/>
      <c r="BG10" s="116">
        <v>50</v>
      </c>
      <c r="BH10" s="16">
        <f>IF(BD10="",BF10,BD10)</f>
        <v>0</v>
      </c>
      <c r="BI10" s="90"/>
      <c r="BJ10" s="90"/>
      <c r="BK10" s="90"/>
      <c r="BL10" s="116">
        <v>50</v>
      </c>
      <c r="BM10" s="16">
        <f>IF(BI10="",BK10,BI10)</f>
        <v>0</v>
      </c>
      <c r="BN10" s="90"/>
      <c r="BO10" s="90">
        <v>50</v>
      </c>
      <c r="BP10" s="90"/>
      <c r="BQ10" s="116"/>
      <c r="BR10" s="16">
        <f>IF(BN10="",BP10,BN10)</f>
        <v>0</v>
      </c>
      <c r="BS10" s="90"/>
      <c r="BT10" s="90">
        <v>50</v>
      </c>
      <c r="BU10" s="90"/>
      <c r="BV10" s="116"/>
      <c r="BW10" s="16">
        <f>IF(BS10="",BU10,BS10)</f>
        <v>0</v>
      </c>
      <c r="BX10" s="90"/>
      <c r="BY10" s="90"/>
      <c r="BZ10" s="90"/>
      <c r="CA10" s="116">
        <v>50</v>
      </c>
      <c r="CB10" s="16">
        <f>IF(BX10="",BZ10,BX10)</f>
        <v>0</v>
      </c>
      <c r="CC10" s="90"/>
      <c r="CD10" s="90"/>
      <c r="CE10" s="90"/>
      <c r="CF10" s="116">
        <v>50</v>
      </c>
      <c r="CG10" s="16">
        <f>IF(CC10="",CE10,CC10)</f>
        <v>0</v>
      </c>
      <c r="CH10" s="90"/>
      <c r="CI10" s="90"/>
      <c r="CJ10" s="90"/>
      <c r="CK10" s="116">
        <v>50</v>
      </c>
      <c r="CL10" s="16">
        <f>IF(CH10="",CJ10,CH10)</f>
        <v>0</v>
      </c>
      <c r="CM10" s="90"/>
      <c r="CN10" s="90">
        <v>100</v>
      </c>
      <c r="CO10" s="90"/>
      <c r="CP10" s="116"/>
      <c r="CQ10" s="16">
        <f>IF(CM10="",CO10,CM10)</f>
        <v>0</v>
      </c>
      <c r="CR10" s="90"/>
      <c r="CS10" s="90">
        <v>50</v>
      </c>
      <c r="CT10" s="90"/>
      <c r="CU10" s="116"/>
      <c r="CV10" s="16">
        <f>IF(CR10="",CT10,CR10)</f>
        <v>0</v>
      </c>
      <c r="CW10" s="90"/>
      <c r="CX10" s="90"/>
      <c r="CY10" s="90"/>
      <c r="CZ10" s="116">
        <v>50</v>
      </c>
      <c r="DA10" s="16">
        <f>IF(CW10="",CY10,CW10)</f>
        <v>0</v>
      </c>
      <c r="DB10" s="90"/>
      <c r="DC10" s="90">
        <v>50</v>
      </c>
      <c r="DD10" s="90"/>
      <c r="DE10" s="116"/>
      <c r="DF10" s="16">
        <f>IF(DB10="",DD10,DB10)</f>
        <v>0</v>
      </c>
      <c r="DG10" s="90"/>
      <c r="DH10" s="90">
        <v>50</v>
      </c>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17</v>
      </c>
      <c r="B11" s="90"/>
      <c r="C11" s="116"/>
      <c r="D11" s="116"/>
      <c r="E11" s="16">
        <f t="shared" ref="E11:E74" si="1">IF(A11="",C11,A11)</f>
        <v>17</v>
      </c>
      <c r="F11" s="90">
        <v>61</v>
      </c>
      <c r="G11" s="90"/>
      <c r="H11" s="90"/>
      <c r="I11" s="116"/>
      <c r="J11" s="16">
        <f t="shared" ref="J11:J74" si="2">IF(F11="",H11,F11)</f>
        <v>61</v>
      </c>
      <c r="K11" s="90"/>
      <c r="L11" s="90"/>
      <c r="M11" s="90">
        <v>122</v>
      </c>
      <c r="N11" s="116"/>
      <c r="O11" s="16">
        <f t="shared" ref="O11:O74" si="3">IF(K11="",M11,K11)</f>
        <v>122</v>
      </c>
      <c r="P11" s="90"/>
      <c r="Q11" s="90"/>
      <c r="R11" s="90">
        <v>148</v>
      </c>
      <c r="S11" s="116"/>
      <c r="T11" s="16">
        <f t="shared" ref="T11:T74" si="4">IF(P11="",R11,P11)</f>
        <v>148</v>
      </c>
      <c r="U11" s="90"/>
      <c r="V11" s="90"/>
      <c r="W11" s="90">
        <v>206</v>
      </c>
      <c r="X11" s="116"/>
      <c r="Y11" s="16">
        <f t="shared" ref="Y11:Y74" si="5">IF(U11="",W11,U11)</f>
        <v>206</v>
      </c>
      <c r="Z11" s="90"/>
      <c r="AA11" s="90"/>
      <c r="AB11" s="90">
        <v>75</v>
      </c>
      <c r="AC11" s="116"/>
      <c r="AD11" s="16">
        <f t="shared" ref="AD11:AD74" si="6">IF(Z11="",AB11,Z11)</f>
        <v>75</v>
      </c>
      <c r="AE11" s="90"/>
      <c r="AF11" s="90"/>
      <c r="AG11" s="90">
        <v>120</v>
      </c>
      <c r="AH11" s="116"/>
      <c r="AI11" s="16">
        <f t="shared" ref="AI11:AI74" si="7">IF(AE11="",AG11,AE11)</f>
        <v>120</v>
      </c>
      <c r="AJ11" s="90">
        <v>540</v>
      </c>
      <c r="AK11" s="90"/>
      <c r="AL11" s="90"/>
      <c r="AM11" s="116"/>
      <c r="AN11" s="16">
        <f t="shared" ref="AN11:AN74" si="8">IF(AJ11="",AL11,AJ11)</f>
        <v>540</v>
      </c>
      <c r="AO11" s="90"/>
      <c r="AP11" s="90"/>
      <c r="AQ11" s="90">
        <v>206</v>
      </c>
      <c r="AR11" s="116"/>
      <c r="AS11" s="16">
        <f t="shared" ref="AS11:AS74" si="9">IF(AO11="",AQ11,AO11)</f>
        <v>206</v>
      </c>
      <c r="AT11" s="90">
        <v>133</v>
      </c>
      <c r="AU11" s="90"/>
      <c r="AV11" s="90"/>
      <c r="AW11" s="116"/>
      <c r="AX11" s="16">
        <f t="shared" ref="AX11:AX74" si="10">IF(AT11="",AV11,AT11)</f>
        <v>133</v>
      </c>
      <c r="AY11" s="90">
        <v>277</v>
      </c>
      <c r="AZ11" s="90"/>
      <c r="BA11" s="90"/>
      <c r="BB11" s="116"/>
      <c r="BC11" s="16">
        <f t="shared" ref="BC11:BC74" si="11">IF(AY11="",BA11,AY11)</f>
        <v>277</v>
      </c>
      <c r="BD11" s="90"/>
      <c r="BE11" s="90"/>
      <c r="BF11" s="90">
        <v>124</v>
      </c>
      <c r="BG11" s="116"/>
      <c r="BH11" s="16">
        <f t="shared" ref="BH11:BH74" si="12">IF(BD11="",BF11,BD11)</f>
        <v>124</v>
      </c>
      <c r="BI11" s="90"/>
      <c r="BJ11" s="90">
        <v>20</v>
      </c>
      <c r="BK11" s="90"/>
      <c r="BL11" s="116"/>
      <c r="BM11" s="16">
        <f t="shared" ref="BM11:BM74" si="13">IF(BI11="",BK11,BI11)</f>
        <v>0</v>
      </c>
      <c r="BN11" s="90">
        <v>53</v>
      </c>
      <c r="BO11" s="90"/>
      <c r="BP11" s="90"/>
      <c r="BQ11" s="116"/>
      <c r="BR11" s="16">
        <f t="shared" ref="BR11:BR74" si="14">IF(BN11="",BP11,BN11)</f>
        <v>53</v>
      </c>
      <c r="BS11" s="90">
        <v>421</v>
      </c>
      <c r="BT11" s="90"/>
      <c r="BU11" s="90"/>
      <c r="BV11" s="116"/>
      <c r="BW11" s="16">
        <f t="shared" ref="BW11:BW74" si="15">IF(BS11="",BU11,BS11)</f>
        <v>421</v>
      </c>
      <c r="BX11" s="90"/>
      <c r="BY11" s="90">
        <v>22</v>
      </c>
      <c r="BZ11" s="90"/>
      <c r="CA11" s="116"/>
      <c r="CB11" s="16">
        <f t="shared" ref="CB11:CB74" si="16">IF(BX11="",BZ11,BX11)</f>
        <v>0</v>
      </c>
      <c r="CC11" s="90"/>
      <c r="CD11" s="90"/>
      <c r="CE11" s="90">
        <v>306</v>
      </c>
      <c r="CF11" s="116"/>
      <c r="CG11" s="16">
        <f t="shared" ref="CG11:CG74" si="17">IF(CC11="",CE11,CC11)</f>
        <v>306</v>
      </c>
      <c r="CH11" s="90"/>
      <c r="CI11" s="90"/>
      <c r="CJ11" s="90">
        <v>285</v>
      </c>
      <c r="CK11" s="116"/>
      <c r="CL11" s="16">
        <f t="shared" ref="CL11:CL74" si="18">IF(CH11="",CJ11,CH11)</f>
        <v>285</v>
      </c>
      <c r="CM11" s="90">
        <v>327</v>
      </c>
      <c r="CN11" s="90"/>
      <c r="CO11" s="90"/>
      <c r="CP11" s="116"/>
      <c r="CQ11" s="16">
        <f t="shared" ref="CQ11:CQ74" si="19">IF(CM11="",CO11,CM11)</f>
        <v>327</v>
      </c>
      <c r="CR11" s="90">
        <v>1635</v>
      </c>
      <c r="CS11" s="90"/>
      <c r="CT11" s="90"/>
      <c r="CU11" s="116"/>
      <c r="CV11" s="16">
        <f t="shared" ref="CV11:CV74" si="20">IF(CR11="",CT11,CR11)</f>
        <v>1635</v>
      </c>
      <c r="CW11" s="90"/>
      <c r="CX11" s="90"/>
      <c r="CY11" s="90">
        <v>297</v>
      </c>
      <c r="CZ11" s="116"/>
      <c r="DA11" s="16">
        <f t="shared" ref="DA11:DA74" si="21">IF(CW11="",CY11,CW11)</f>
        <v>297</v>
      </c>
      <c r="DB11" s="90">
        <v>295</v>
      </c>
      <c r="DC11" s="90"/>
      <c r="DD11" s="90"/>
      <c r="DE11" s="116"/>
      <c r="DF11" s="16">
        <f t="shared" ref="DF11:DF74" si="22">IF(DB11="",DD11,DB11)</f>
        <v>295</v>
      </c>
      <c r="DG11" s="90">
        <v>17</v>
      </c>
      <c r="DH11" s="90"/>
      <c r="DI11" s="90"/>
      <c r="DJ11" s="116"/>
      <c r="DK11" s="16">
        <f t="shared" ref="DK11:DK74" si="23">IF(DG11="",DI11,DG11)</f>
        <v>17</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v>264</v>
      </c>
      <c r="B12" s="90"/>
      <c r="C12" s="116"/>
      <c r="D12" s="116"/>
      <c r="E12" s="16">
        <f t="shared" si="1"/>
        <v>264</v>
      </c>
      <c r="F12" s="90"/>
      <c r="G12" s="90">
        <v>25</v>
      </c>
      <c r="H12" s="90"/>
      <c r="I12" s="116"/>
      <c r="J12" s="16">
        <f t="shared" si="2"/>
        <v>0</v>
      </c>
      <c r="K12" s="90"/>
      <c r="L12" s="90"/>
      <c r="M12" s="90">
        <v>171</v>
      </c>
      <c r="N12" s="116"/>
      <c r="O12" s="16">
        <f t="shared" si="3"/>
        <v>171</v>
      </c>
      <c r="P12" s="90"/>
      <c r="Q12" s="90"/>
      <c r="R12" s="90">
        <v>184</v>
      </c>
      <c r="S12" s="116"/>
      <c r="T12" s="16">
        <f t="shared" si="4"/>
        <v>184</v>
      </c>
      <c r="U12" s="90"/>
      <c r="V12" s="90"/>
      <c r="W12" s="90">
        <v>66</v>
      </c>
      <c r="X12" s="116"/>
      <c r="Y12" s="16">
        <f t="shared" si="5"/>
        <v>66</v>
      </c>
      <c r="Z12" s="90"/>
      <c r="AA12" s="90"/>
      <c r="AB12" s="90">
        <v>225</v>
      </c>
      <c r="AC12" s="116"/>
      <c r="AD12" s="16">
        <f t="shared" si="6"/>
        <v>225</v>
      </c>
      <c r="AE12" s="90"/>
      <c r="AF12" s="90"/>
      <c r="AG12" s="90">
        <v>178</v>
      </c>
      <c r="AH12" s="116"/>
      <c r="AI12" s="16">
        <f t="shared" si="7"/>
        <v>178</v>
      </c>
      <c r="AJ12" s="90"/>
      <c r="AK12" s="90">
        <v>20</v>
      </c>
      <c r="AL12" s="90"/>
      <c r="AM12" s="116"/>
      <c r="AN12" s="16">
        <f t="shared" si="8"/>
        <v>0</v>
      </c>
      <c r="AO12" s="90"/>
      <c r="AP12" s="90"/>
      <c r="AQ12" s="90">
        <v>286</v>
      </c>
      <c r="AR12" s="116"/>
      <c r="AS12" s="16">
        <f t="shared" si="9"/>
        <v>286</v>
      </c>
      <c r="AT12" s="90"/>
      <c r="AU12" s="90">
        <v>22</v>
      </c>
      <c r="AV12" s="90"/>
      <c r="AW12" s="116"/>
      <c r="AX12" s="16">
        <f t="shared" si="10"/>
        <v>0</v>
      </c>
      <c r="AY12" s="90"/>
      <c r="AZ12" s="90">
        <v>20</v>
      </c>
      <c r="BA12" s="90"/>
      <c r="BB12" s="116"/>
      <c r="BC12" s="16">
        <f t="shared" si="11"/>
        <v>0</v>
      </c>
      <c r="BD12" s="90"/>
      <c r="BE12" s="90"/>
      <c r="BF12" s="90">
        <v>130</v>
      </c>
      <c r="BG12" s="116"/>
      <c r="BH12" s="16">
        <f t="shared" si="12"/>
        <v>130</v>
      </c>
      <c r="BI12" s="90">
        <v>638</v>
      </c>
      <c r="BJ12" s="90"/>
      <c r="BK12" s="90"/>
      <c r="BL12" s="116"/>
      <c r="BM12" s="16">
        <f t="shared" si="13"/>
        <v>638</v>
      </c>
      <c r="BN12" s="90"/>
      <c r="BO12" s="90">
        <v>24</v>
      </c>
      <c r="BP12" s="90"/>
      <c r="BQ12" s="116"/>
      <c r="BR12" s="16">
        <f t="shared" si="14"/>
        <v>0</v>
      </c>
      <c r="BS12" s="90"/>
      <c r="BT12" s="90">
        <v>22</v>
      </c>
      <c r="BU12" s="90"/>
      <c r="BV12" s="116"/>
      <c r="BW12" s="16">
        <f t="shared" si="15"/>
        <v>0</v>
      </c>
      <c r="BX12" s="90">
        <v>480</v>
      </c>
      <c r="BY12" s="90"/>
      <c r="BZ12" s="90"/>
      <c r="CA12" s="116"/>
      <c r="CB12" s="16">
        <f t="shared" si="16"/>
        <v>480</v>
      </c>
      <c r="CC12" s="90"/>
      <c r="CD12" s="90"/>
      <c r="CE12" s="90"/>
      <c r="CF12" s="116">
        <v>50</v>
      </c>
      <c r="CG12" s="16">
        <f t="shared" si="17"/>
        <v>0</v>
      </c>
      <c r="CH12" s="90"/>
      <c r="CI12" s="90"/>
      <c r="CJ12" s="90">
        <v>165</v>
      </c>
      <c r="CK12" s="116"/>
      <c r="CL12" s="16">
        <f t="shared" si="18"/>
        <v>165</v>
      </c>
      <c r="CM12" s="90">
        <v>258</v>
      </c>
      <c r="CN12" s="90"/>
      <c r="CO12" s="90"/>
      <c r="CP12" s="116"/>
      <c r="CQ12" s="16">
        <f t="shared" si="19"/>
        <v>258</v>
      </c>
      <c r="CR12" s="90"/>
      <c r="CS12" s="90">
        <v>20</v>
      </c>
      <c r="CT12" s="90"/>
      <c r="CU12" s="116"/>
      <c r="CV12" s="16">
        <f t="shared" si="20"/>
        <v>0</v>
      </c>
      <c r="CW12" s="90"/>
      <c r="CX12" s="90"/>
      <c r="CY12" s="90">
        <v>276</v>
      </c>
      <c r="CZ12" s="116"/>
      <c r="DA12" s="16">
        <f t="shared" si="21"/>
        <v>276</v>
      </c>
      <c r="DB12" s="90"/>
      <c r="DC12" s="90">
        <v>25</v>
      </c>
      <c r="DD12" s="90"/>
      <c r="DE12" s="116"/>
      <c r="DF12" s="16">
        <f t="shared" si="22"/>
        <v>0</v>
      </c>
      <c r="DG12" s="90">
        <v>86</v>
      </c>
      <c r="DH12" s="90"/>
      <c r="DI12" s="90"/>
      <c r="DJ12" s="116"/>
      <c r="DK12" s="16">
        <f t="shared" si="23"/>
        <v>86</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v>24</v>
      </c>
      <c r="C13" s="116"/>
      <c r="D13" s="116"/>
      <c r="E13" s="16">
        <f t="shared" si="1"/>
        <v>0</v>
      </c>
      <c r="F13" s="90"/>
      <c r="G13" s="90">
        <v>50</v>
      </c>
      <c r="H13" s="90"/>
      <c r="I13" s="116"/>
      <c r="J13" s="16">
        <f t="shared" si="2"/>
        <v>0</v>
      </c>
      <c r="K13" s="90"/>
      <c r="L13" s="90"/>
      <c r="M13" s="90">
        <v>160</v>
      </c>
      <c r="N13" s="116"/>
      <c r="O13" s="16">
        <f t="shared" si="3"/>
        <v>160</v>
      </c>
      <c r="P13" s="90"/>
      <c r="Q13" s="90">
        <v>25</v>
      </c>
      <c r="R13" s="90"/>
      <c r="S13" s="116"/>
      <c r="T13" s="16">
        <f t="shared" si="4"/>
        <v>0</v>
      </c>
      <c r="U13" s="90"/>
      <c r="V13" s="90">
        <v>25</v>
      </c>
      <c r="W13" s="90"/>
      <c r="X13" s="116"/>
      <c r="Y13" s="16">
        <f t="shared" si="5"/>
        <v>0</v>
      </c>
      <c r="Z13" s="90"/>
      <c r="AA13" s="90"/>
      <c r="AB13" s="90">
        <v>130</v>
      </c>
      <c r="AC13" s="116"/>
      <c r="AD13" s="16">
        <f t="shared" si="6"/>
        <v>130</v>
      </c>
      <c r="AE13" s="90"/>
      <c r="AF13" s="90"/>
      <c r="AG13" s="90">
        <v>212</v>
      </c>
      <c r="AH13" s="116"/>
      <c r="AI13" s="16">
        <f t="shared" si="7"/>
        <v>212</v>
      </c>
      <c r="AJ13" s="90">
        <v>1156</v>
      </c>
      <c r="AK13" s="90"/>
      <c r="AL13" s="90"/>
      <c r="AM13" s="116"/>
      <c r="AN13" s="16">
        <f t="shared" si="8"/>
        <v>1156</v>
      </c>
      <c r="AO13" s="90"/>
      <c r="AP13" s="90"/>
      <c r="AQ13" s="90"/>
      <c r="AR13" s="116">
        <v>100</v>
      </c>
      <c r="AS13" s="16">
        <f t="shared" si="9"/>
        <v>0</v>
      </c>
      <c r="AT13" s="90"/>
      <c r="AU13" s="90"/>
      <c r="AV13" s="90">
        <v>50</v>
      </c>
      <c r="AW13" s="116"/>
      <c r="AX13" s="16">
        <f t="shared" si="10"/>
        <v>50</v>
      </c>
      <c r="AY13" s="90">
        <v>136</v>
      </c>
      <c r="AZ13" s="90"/>
      <c r="BA13" s="90"/>
      <c r="BB13" s="116"/>
      <c r="BC13" s="16">
        <f t="shared" si="11"/>
        <v>136</v>
      </c>
      <c r="BD13" s="90"/>
      <c r="BE13" s="90"/>
      <c r="BF13" s="90"/>
      <c r="BG13" s="116">
        <v>50</v>
      </c>
      <c r="BH13" s="16">
        <f t="shared" si="12"/>
        <v>0</v>
      </c>
      <c r="BI13" s="90"/>
      <c r="BJ13" s="90">
        <v>50</v>
      </c>
      <c r="BK13" s="90"/>
      <c r="BL13" s="116"/>
      <c r="BM13" s="16">
        <f t="shared" si="13"/>
        <v>0</v>
      </c>
      <c r="BN13" s="90"/>
      <c r="BO13" s="90"/>
      <c r="BP13" s="90">
        <v>355</v>
      </c>
      <c r="BQ13" s="116"/>
      <c r="BR13" s="16">
        <f t="shared" si="14"/>
        <v>355</v>
      </c>
      <c r="BS13" s="90"/>
      <c r="BT13" s="90"/>
      <c r="BU13" s="90"/>
      <c r="BV13" s="116">
        <v>20</v>
      </c>
      <c r="BW13" s="16">
        <f t="shared" si="15"/>
        <v>0</v>
      </c>
      <c r="BX13" s="90"/>
      <c r="BY13" s="90">
        <v>20</v>
      </c>
      <c r="BZ13" s="90"/>
      <c r="CA13" s="116"/>
      <c r="CB13" s="16">
        <f t="shared" si="16"/>
        <v>0</v>
      </c>
      <c r="CC13" s="90"/>
      <c r="CD13" s="90"/>
      <c r="CE13" s="90">
        <v>300</v>
      </c>
      <c r="CF13" s="116"/>
      <c r="CG13" s="16">
        <f t="shared" si="17"/>
        <v>300</v>
      </c>
      <c r="CH13" s="90"/>
      <c r="CI13" s="90"/>
      <c r="CJ13" s="90">
        <v>176</v>
      </c>
      <c r="CK13" s="116"/>
      <c r="CL13" s="16">
        <f t="shared" si="18"/>
        <v>176</v>
      </c>
      <c r="CM13" s="90"/>
      <c r="CN13" s="90"/>
      <c r="CO13" s="90"/>
      <c r="CP13" s="116"/>
      <c r="CQ13" s="16">
        <f t="shared" si="19"/>
        <v>0</v>
      </c>
      <c r="CR13" s="90">
        <v>672</v>
      </c>
      <c r="CS13" s="90"/>
      <c r="CT13" s="90"/>
      <c r="CU13" s="116"/>
      <c r="CV13" s="16">
        <f t="shared" si="20"/>
        <v>672</v>
      </c>
      <c r="CW13" s="90"/>
      <c r="CX13" s="90">
        <v>25</v>
      </c>
      <c r="CY13" s="90"/>
      <c r="CZ13" s="116"/>
      <c r="DA13" s="16">
        <f t="shared" si="21"/>
        <v>0</v>
      </c>
      <c r="DB13" s="90"/>
      <c r="DC13" s="90"/>
      <c r="DD13" s="90"/>
      <c r="DE13" s="116">
        <v>50</v>
      </c>
      <c r="DF13" s="16">
        <f t="shared" si="22"/>
        <v>0</v>
      </c>
      <c r="DG13" s="90">
        <v>122</v>
      </c>
      <c r="DH13" s="90"/>
      <c r="DI13" s="90"/>
      <c r="DJ13" s="116"/>
      <c r="DK13" s="16">
        <f t="shared" si="23"/>
        <v>122</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v>291</v>
      </c>
      <c r="D14" s="116"/>
      <c r="E14" s="16">
        <f t="shared" si="1"/>
        <v>291</v>
      </c>
      <c r="F14" s="90"/>
      <c r="G14" s="90"/>
      <c r="H14" s="90"/>
      <c r="I14" s="116"/>
      <c r="J14" s="16">
        <f t="shared" si="2"/>
        <v>0</v>
      </c>
      <c r="K14" s="90"/>
      <c r="L14" s="90"/>
      <c r="M14" s="90"/>
      <c r="N14" s="116">
        <v>50</v>
      </c>
      <c r="O14" s="16">
        <f t="shared" si="3"/>
        <v>0</v>
      </c>
      <c r="P14" s="90">
        <v>1720</v>
      </c>
      <c r="Q14" s="90"/>
      <c r="R14" s="90"/>
      <c r="S14" s="116"/>
      <c r="T14" s="16">
        <f t="shared" si="4"/>
        <v>1720</v>
      </c>
      <c r="U14" s="90">
        <v>250</v>
      </c>
      <c r="V14" s="90"/>
      <c r="W14" s="90"/>
      <c r="X14" s="116"/>
      <c r="Y14" s="16">
        <f t="shared" si="5"/>
        <v>250</v>
      </c>
      <c r="Z14" s="90"/>
      <c r="AA14" s="90"/>
      <c r="AB14" s="90">
        <v>149</v>
      </c>
      <c r="AC14" s="116"/>
      <c r="AD14" s="16">
        <f t="shared" si="6"/>
        <v>149</v>
      </c>
      <c r="AE14" s="90"/>
      <c r="AF14" s="90"/>
      <c r="AG14" s="90">
        <v>150</v>
      </c>
      <c r="AH14" s="116"/>
      <c r="AI14" s="16">
        <f t="shared" si="7"/>
        <v>150</v>
      </c>
      <c r="AJ14" s="90"/>
      <c r="AK14" s="90">
        <v>20</v>
      </c>
      <c r="AL14" s="90"/>
      <c r="AM14" s="116"/>
      <c r="AN14" s="16">
        <f t="shared" si="8"/>
        <v>0</v>
      </c>
      <c r="AO14" s="90"/>
      <c r="AP14" s="90"/>
      <c r="AQ14" s="90">
        <v>232</v>
      </c>
      <c r="AR14" s="116"/>
      <c r="AS14" s="16">
        <f t="shared" si="9"/>
        <v>232</v>
      </c>
      <c r="AT14" s="90"/>
      <c r="AU14" s="90"/>
      <c r="AV14" s="90">
        <v>302</v>
      </c>
      <c r="AW14" s="116"/>
      <c r="AX14" s="16">
        <f t="shared" si="10"/>
        <v>302</v>
      </c>
      <c r="AY14" s="90">
        <v>240</v>
      </c>
      <c r="AZ14" s="90"/>
      <c r="BA14" s="90"/>
      <c r="BB14" s="116"/>
      <c r="BC14" s="16">
        <f t="shared" si="11"/>
        <v>240</v>
      </c>
      <c r="BD14" s="90"/>
      <c r="BE14" s="90"/>
      <c r="BF14" s="90">
        <v>249</v>
      </c>
      <c r="BG14" s="116"/>
      <c r="BH14" s="16">
        <f t="shared" si="12"/>
        <v>249</v>
      </c>
      <c r="BI14" s="90"/>
      <c r="BJ14" s="90"/>
      <c r="BK14" s="90"/>
      <c r="BL14" s="116"/>
      <c r="BM14" s="16">
        <f t="shared" si="13"/>
        <v>0</v>
      </c>
      <c r="BN14" s="90"/>
      <c r="BO14" s="90"/>
      <c r="BP14" s="90"/>
      <c r="BQ14" s="116">
        <v>50</v>
      </c>
      <c r="BR14" s="16">
        <f t="shared" si="14"/>
        <v>0</v>
      </c>
      <c r="BS14" s="90"/>
      <c r="BT14" s="90"/>
      <c r="BU14" s="90">
        <v>230</v>
      </c>
      <c r="BV14" s="116"/>
      <c r="BW14" s="16">
        <f t="shared" si="15"/>
        <v>230</v>
      </c>
      <c r="BX14" s="90">
        <v>300</v>
      </c>
      <c r="BY14" s="90"/>
      <c r="BZ14" s="90"/>
      <c r="CA14" s="116"/>
      <c r="CB14" s="16">
        <f t="shared" si="16"/>
        <v>300</v>
      </c>
      <c r="CC14" s="90"/>
      <c r="CD14" s="90"/>
      <c r="CE14" s="90">
        <v>295</v>
      </c>
      <c r="CF14" s="116"/>
      <c r="CG14" s="16">
        <f t="shared" si="17"/>
        <v>295</v>
      </c>
      <c r="CH14" s="90"/>
      <c r="CI14" s="90"/>
      <c r="CJ14" s="90">
        <v>272</v>
      </c>
      <c r="CK14" s="116"/>
      <c r="CL14" s="16">
        <f t="shared" si="18"/>
        <v>272</v>
      </c>
      <c r="CM14" s="90"/>
      <c r="CN14" s="90"/>
      <c r="CO14" s="90"/>
      <c r="CP14" s="116"/>
      <c r="CQ14" s="16">
        <f t="shared" si="19"/>
        <v>0</v>
      </c>
      <c r="CR14" s="90"/>
      <c r="CS14" s="90">
        <v>20</v>
      </c>
      <c r="CT14" s="90"/>
      <c r="CU14" s="116"/>
      <c r="CV14" s="16">
        <f t="shared" si="20"/>
        <v>0</v>
      </c>
      <c r="CW14" s="90">
        <v>780</v>
      </c>
      <c r="CX14" s="90"/>
      <c r="CY14" s="90"/>
      <c r="CZ14" s="116"/>
      <c r="DA14" s="16">
        <f t="shared" si="21"/>
        <v>780</v>
      </c>
      <c r="DB14" s="90"/>
      <c r="DC14" s="90"/>
      <c r="DD14" s="90"/>
      <c r="DE14" s="116"/>
      <c r="DF14" s="16">
        <f t="shared" si="22"/>
        <v>0</v>
      </c>
      <c r="DG14" s="90"/>
      <c r="DH14" s="90">
        <v>50</v>
      </c>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v>278</v>
      </c>
      <c r="D15" s="116"/>
      <c r="E15" s="16">
        <f t="shared" si="1"/>
        <v>278</v>
      </c>
      <c r="F15" s="90"/>
      <c r="G15" s="90"/>
      <c r="H15" s="90"/>
      <c r="I15" s="116"/>
      <c r="J15" s="16">
        <f t="shared" si="2"/>
        <v>0</v>
      </c>
      <c r="K15" s="90"/>
      <c r="L15" s="90"/>
      <c r="M15" s="90">
        <v>213</v>
      </c>
      <c r="N15" s="116"/>
      <c r="O15" s="16">
        <f t="shared" si="3"/>
        <v>213</v>
      </c>
      <c r="P15" s="90"/>
      <c r="Q15" s="90">
        <v>20</v>
      </c>
      <c r="R15" s="90"/>
      <c r="S15" s="116"/>
      <c r="T15" s="16">
        <f t="shared" si="4"/>
        <v>0</v>
      </c>
      <c r="U15" s="90"/>
      <c r="V15" s="90"/>
      <c r="W15" s="90"/>
      <c r="X15" s="116"/>
      <c r="Y15" s="16">
        <f t="shared" si="5"/>
        <v>0</v>
      </c>
      <c r="Z15" s="90"/>
      <c r="AA15" s="90"/>
      <c r="AB15" s="90"/>
      <c r="AC15" s="116">
        <v>50</v>
      </c>
      <c r="AD15" s="16">
        <f t="shared" si="6"/>
        <v>0</v>
      </c>
      <c r="AE15" s="90"/>
      <c r="AF15" s="90"/>
      <c r="AG15" s="90"/>
      <c r="AH15" s="116">
        <v>50</v>
      </c>
      <c r="AI15" s="16">
        <f t="shared" si="7"/>
        <v>0</v>
      </c>
      <c r="AJ15" s="90">
        <v>530</v>
      </c>
      <c r="AK15" s="90"/>
      <c r="AL15" s="90"/>
      <c r="AM15" s="116"/>
      <c r="AN15" s="16">
        <f t="shared" si="8"/>
        <v>530</v>
      </c>
      <c r="AO15" s="90"/>
      <c r="AP15" s="90"/>
      <c r="AQ15" s="90"/>
      <c r="AR15" s="116">
        <v>50</v>
      </c>
      <c r="AS15" s="16">
        <f t="shared" si="9"/>
        <v>0</v>
      </c>
      <c r="AT15" s="90"/>
      <c r="AU15" s="90"/>
      <c r="AV15" s="90"/>
      <c r="AW15" s="116">
        <v>50</v>
      </c>
      <c r="AX15" s="16">
        <f t="shared" si="10"/>
        <v>0</v>
      </c>
      <c r="AY15" s="90"/>
      <c r="AZ15" s="90">
        <v>20</v>
      </c>
      <c r="BA15" s="90"/>
      <c r="BB15" s="116"/>
      <c r="BC15" s="16">
        <f t="shared" si="11"/>
        <v>0</v>
      </c>
      <c r="BD15" s="90"/>
      <c r="BE15" s="90"/>
      <c r="BF15" s="90">
        <v>122</v>
      </c>
      <c r="BG15" s="116"/>
      <c r="BH15" s="16">
        <f t="shared" si="12"/>
        <v>122</v>
      </c>
      <c r="BI15" s="90"/>
      <c r="BJ15" s="90"/>
      <c r="BK15" s="90"/>
      <c r="BL15" s="116"/>
      <c r="BM15" s="16">
        <f t="shared" si="13"/>
        <v>0</v>
      </c>
      <c r="BN15" s="90"/>
      <c r="BO15" s="90"/>
      <c r="BP15" s="90">
        <v>279</v>
      </c>
      <c r="BQ15" s="116"/>
      <c r="BR15" s="16">
        <f t="shared" si="14"/>
        <v>279</v>
      </c>
      <c r="BS15" s="90"/>
      <c r="BT15" s="90"/>
      <c r="BU15" s="90">
        <v>200</v>
      </c>
      <c r="BV15" s="116"/>
      <c r="BW15" s="16">
        <f t="shared" si="15"/>
        <v>200</v>
      </c>
      <c r="BX15" s="90">
        <v>330</v>
      </c>
      <c r="BY15" s="90"/>
      <c r="BZ15" s="90"/>
      <c r="CA15" s="116"/>
      <c r="CB15" s="16">
        <f t="shared" si="16"/>
        <v>330</v>
      </c>
      <c r="CC15" s="90"/>
      <c r="CD15" s="90"/>
      <c r="CE15" s="90"/>
      <c r="CF15" s="116">
        <v>50</v>
      </c>
      <c r="CG15" s="16">
        <f t="shared" si="17"/>
        <v>0</v>
      </c>
      <c r="CH15" s="90"/>
      <c r="CI15" s="90"/>
      <c r="CJ15" s="90"/>
      <c r="CK15" s="116">
        <v>50</v>
      </c>
      <c r="CL15" s="16">
        <f t="shared" si="18"/>
        <v>0</v>
      </c>
      <c r="CM15" s="90"/>
      <c r="CN15" s="90"/>
      <c r="CO15" s="90"/>
      <c r="CP15" s="116"/>
      <c r="CQ15" s="16">
        <f t="shared" si="19"/>
        <v>0</v>
      </c>
      <c r="CR15" s="90">
        <v>495</v>
      </c>
      <c r="CS15" s="90"/>
      <c r="CT15" s="90"/>
      <c r="CU15" s="116"/>
      <c r="CV15" s="16">
        <f t="shared" si="20"/>
        <v>495</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v>50</v>
      </c>
      <c r="E16" s="16">
        <f t="shared" si="1"/>
        <v>0</v>
      </c>
      <c r="F16" s="90"/>
      <c r="G16" s="90"/>
      <c r="H16" s="90"/>
      <c r="I16" s="116"/>
      <c r="J16" s="16">
        <f t="shared" si="2"/>
        <v>0</v>
      </c>
      <c r="K16" s="90"/>
      <c r="L16" s="90"/>
      <c r="M16" s="90">
        <v>188</v>
      </c>
      <c r="N16" s="116"/>
      <c r="O16" s="16">
        <f t="shared" si="3"/>
        <v>188</v>
      </c>
      <c r="P16" s="90">
        <v>374</v>
      </c>
      <c r="Q16" s="90"/>
      <c r="R16" s="90"/>
      <c r="S16" s="116"/>
      <c r="T16" s="16">
        <f t="shared" si="4"/>
        <v>374</v>
      </c>
      <c r="U16" s="90"/>
      <c r="V16" s="90"/>
      <c r="W16" s="90"/>
      <c r="X16" s="116"/>
      <c r="Y16" s="16">
        <f t="shared" si="5"/>
        <v>0</v>
      </c>
      <c r="Z16" s="90"/>
      <c r="AA16" s="90"/>
      <c r="AB16" s="90">
        <v>116</v>
      </c>
      <c r="AC16" s="116"/>
      <c r="AD16" s="16">
        <f t="shared" si="6"/>
        <v>116</v>
      </c>
      <c r="AE16" s="90"/>
      <c r="AF16" s="90"/>
      <c r="AG16" s="90">
        <v>202</v>
      </c>
      <c r="AH16" s="116"/>
      <c r="AI16" s="16">
        <f t="shared" si="7"/>
        <v>202</v>
      </c>
      <c r="AJ16" s="90">
        <v>56</v>
      </c>
      <c r="AK16" s="90"/>
      <c r="AL16" s="90"/>
      <c r="AM16" s="116"/>
      <c r="AN16" s="16">
        <f t="shared" si="8"/>
        <v>56</v>
      </c>
      <c r="AO16" s="90"/>
      <c r="AP16" s="90"/>
      <c r="AQ16" s="90">
        <v>169</v>
      </c>
      <c r="AR16" s="116"/>
      <c r="AS16" s="16">
        <f t="shared" si="9"/>
        <v>169</v>
      </c>
      <c r="AT16" s="90"/>
      <c r="AU16" s="90"/>
      <c r="AV16" s="90">
        <v>302</v>
      </c>
      <c r="AW16" s="116"/>
      <c r="AX16" s="16">
        <f t="shared" si="10"/>
        <v>302</v>
      </c>
      <c r="AY16" s="90">
        <v>816</v>
      </c>
      <c r="AZ16" s="90"/>
      <c r="BA16" s="90"/>
      <c r="BB16" s="116"/>
      <c r="BC16" s="16">
        <f t="shared" si="11"/>
        <v>816</v>
      </c>
      <c r="BD16" s="90"/>
      <c r="BE16" s="90"/>
      <c r="BF16" s="90">
        <v>132</v>
      </c>
      <c r="BG16" s="116"/>
      <c r="BH16" s="16">
        <f t="shared" si="12"/>
        <v>132</v>
      </c>
      <c r="BI16" s="90"/>
      <c r="BJ16" s="90"/>
      <c r="BK16" s="90"/>
      <c r="BL16" s="116"/>
      <c r="BM16" s="16">
        <f t="shared" si="13"/>
        <v>0</v>
      </c>
      <c r="BN16" s="90"/>
      <c r="BO16" s="90"/>
      <c r="BP16" s="90">
        <v>306</v>
      </c>
      <c r="BQ16" s="116"/>
      <c r="BR16" s="16">
        <f t="shared" si="14"/>
        <v>306</v>
      </c>
      <c r="BS16" s="90"/>
      <c r="BT16" s="90"/>
      <c r="BU16" s="90"/>
      <c r="BV16" s="116">
        <v>50</v>
      </c>
      <c r="BW16" s="16">
        <f t="shared" si="15"/>
        <v>0</v>
      </c>
      <c r="BX16" s="90"/>
      <c r="BY16" s="90">
        <v>20</v>
      </c>
      <c r="BZ16" s="90"/>
      <c r="CA16" s="116"/>
      <c r="CB16" s="16">
        <f t="shared" si="16"/>
        <v>0</v>
      </c>
      <c r="CC16" s="90"/>
      <c r="CD16" s="90"/>
      <c r="CE16" s="90">
        <v>128</v>
      </c>
      <c r="CF16" s="116"/>
      <c r="CG16" s="16">
        <f t="shared" si="17"/>
        <v>128</v>
      </c>
      <c r="CH16" s="90"/>
      <c r="CI16" s="90"/>
      <c r="CJ16" s="90">
        <v>715</v>
      </c>
      <c r="CK16" s="116"/>
      <c r="CL16" s="16">
        <f t="shared" si="18"/>
        <v>715</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v>216</v>
      </c>
      <c r="D17" s="116"/>
      <c r="E17" s="16">
        <f t="shared" si="1"/>
        <v>216</v>
      </c>
      <c r="F17" s="90"/>
      <c r="G17" s="90"/>
      <c r="H17" s="90"/>
      <c r="I17" s="116"/>
      <c r="J17" s="16">
        <f t="shared" si="2"/>
        <v>0</v>
      </c>
      <c r="K17" s="90"/>
      <c r="L17" s="90"/>
      <c r="M17" s="90"/>
      <c r="N17" s="116">
        <v>20</v>
      </c>
      <c r="O17" s="16">
        <f t="shared" si="3"/>
        <v>0</v>
      </c>
      <c r="P17" s="90"/>
      <c r="Q17" s="90">
        <v>20</v>
      </c>
      <c r="R17" s="90"/>
      <c r="S17" s="116"/>
      <c r="T17" s="16">
        <f t="shared" si="4"/>
        <v>0</v>
      </c>
      <c r="U17" s="90"/>
      <c r="V17" s="90"/>
      <c r="W17" s="90"/>
      <c r="X17" s="116"/>
      <c r="Y17" s="16">
        <f t="shared" si="5"/>
        <v>0</v>
      </c>
      <c r="Z17" s="90"/>
      <c r="AA17" s="90"/>
      <c r="AB17" s="90">
        <v>139</v>
      </c>
      <c r="AC17" s="116"/>
      <c r="AD17" s="16">
        <f t="shared" si="6"/>
        <v>139</v>
      </c>
      <c r="AE17" s="90"/>
      <c r="AF17" s="90"/>
      <c r="AG17" s="90">
        <v>200</v>
      </c>
      <c r="AH17" s="116"/>
      <c r="AI17" s="16">
        <f t="shared" si="7"/>
        <v>200</v>
      </c>
      <c r="AJ17" s="90"/>
      <c r="AK17" s="90">
        <v>50</v>
      </c>
      <c r="AL17" s="90"/>
      <c r="AM17" s="116"/>
      <c r="AN17" s="16">
        <f t="shared" si="8"/>
        <v>0</v>
      </c>
      <c r="AO17" s="90"/>
      <c r="AP17" s="90"/>
      <c r="AQ17" s="90">
        <v>334</v>
      </c>
      <c r="AR17" s="116"/>
      <c r="AS17" s="16">
        <f t="shared" si="9"/>
        <v>334</v>
      </c>
      <c r="AT17" s="90"/>
      <c r="AU17" s="90"/>
      <c r="AV17" s="90">
        <v>102</v>
      </c>
      <c r="AW17" s="116"/>
      <c r="AX17" s="16">
        <f t="shared" si="10"/>
        <v>102</v>
      </c>
      <c r="AY17" s="90"/>
      <c r="AZ17" s="90">
        <v>20</v>
      </c>
      <c r="BA17" s="90"/>
      <c r="BB17" s="116"/>
      <c r="BC17" s="16">
        <f t="shared" si="11"/>
        <v>0</v>
      </c>
      <c r="BD17" s="90"/>
      <c r="BE17" s="90"/>
      <c r="BF17" s="90"/>
      <c r="BG17" s="116">
        <v>50</v>
      </c>
      <c r="BH17" s="16">
        <f t="shared" si="12"/>
        <v>0</v>
      </c>
      <c r="BI17" s="90"/>
      <c r="BJ17" s="90"/>
      <c r="BK17" s="90"/>
      <c r="BL17" s="116"/>
      <c r="BM17" s="16">
        <f t="shared" si="13"/>
        <v>0</v>
      </c>
      <c r="BN17" s="90"/>
      <c r="BO17" s="90"/>
      <c r="BP17" s="90"/>
      <c r="BQ17" s="116"/>
      <c r="BR17" s="16">
        <f t="shared" si="14"/>
        <v>0</v>
      </c>
      <c r="BS17" s="90"/>
      <c r="BT17" s="90"/>
      <c r="BU17" s="90">
        <v>248</v>
      </c>
      <c r="BV17" s="116"/>
      <c r="BW17" s="16">
        <f t="shared" si="15"/>
        <v>248</v>
      </c>
      <c r="BX17" s="90">
        <v>892</v>
      </c>
      <c r="BY17" s="90"/>
      <c r="BZ17" s="90"/>
      <c r="CA17" s="116"/>
      <c r="CB17" s="16">
        <f t="shared" si="16"/>
        <v>892</v>
      </c>
      <c r="CC17" s="90"/>
      <c r="CD17" s="90"/>
      <c r="CE17" s="90">
        <v>150</v>
      </c>
      <c r="CF17" s="116"/>
      <c r="CG17" s="16">
        <f t="shared" si="17"/>
        <v>150</v>
      </c>
      <c r="CH17" s="90"/>
      <c r="CI17" s="90"/>
      <c r="CJ17" s="90"/>
      <c r="CK17" s="116">
        <v>20</v>
      </c>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v>299</v>
      </c>
      <c r="D18" s="116"/>
      <c r="E18" s="16">
        <f t="shared" si="1"/>
        <v>299</v>
      </c>
      <c r="F18" s="90"/>
      <c r="G18" s="90"/>
      <c r="H18" s="90"/>
      <c r="I18" s="116"/>
      <c r="J18" s="16">
        <f t="shared" si="2"/>
        <v>0</v>
      </c>
      <c r="K18" s="90"/>
      <c r="L18" s="90"/>
      <c r="M18" s="90">
        <v>185</v>
      </c>
      <c r="N18" s="116"/>
      <c r="O18" s="16">
        <f t="shared" si="3"/>
        <v>185</v>
      </c>
      <c r="P18" s="90">
        <v>234</v>
      </c>
      <c r="Q18" s="90"/>
      <c r="R18" s="90"/>
      <c r="S18" s="116"/>
      <c r="T18" s="16">
        <f t="shared" si="4"/>
        <v>234</v>
      </c>
      <c r="U18" s="90"/>
      <c r="V18" s="90"/>
      <c r="W18" s="90"/>
      <c r="X18" s="116"/>
      <c r="Y18" s="16">
        <f t="shared" si="5"/>
        <v>0</v>
      </c>
      <c r="Z18" s="90"/>
      <c r="AA18" s="90"/>
      <c r="AB18" s="90">
        <v>250</v>
      </c>
      <c r="AC18" s="116"/>
      <c r="AD18" s="16">
        <f t="shared" si="6"/>
        <v>250</v>
      </c>
      <c r="AE18" s="90"/>
      <c r="AF18" s="90"/>
      <c r="AG18" s="90">
        <v>252</v>
      </c>
      <c r="AH18" s="116"/>
      <c r="AI18" s="16">
        <f t="shared" si="7"/>
        <v>252</v>
      </c>
      <c r="AJ18" s="90"/>
      <c r="AK18" s="90"/>
      <c r="AL18" s="90"/>
      <c r="AM18" s="116"/>
      <c r="AN18" s="16">
        <f t="shared" si="8"/>
        <v>0</v>
      </c>
      <c r="AO18" s="90"/>
      <c r="AP18" s="90"/>
      <c r="AQ18" s="90">
        <v>140</v>
      </c>
      <c r="AR18" s="116"/>
      <c r="AS18" s="16">
        <f t="shared" si="9"/>
        <v>140</v>
      </c>
      <c r="AT18" s="90"/>
      <c r="AU18" s="90"/>
      <c r="AV18" s="90"/>
      <c r="AW18" s="116">
        <v>100</v>
      </c>
      <c r="AX18" s="16">
        <f t="shared" si="10"/>
        <v>0</v>
      </c>
      <c r="AY18" s="90">
        <v>142</v>
      </c>
      <c r="AZ18" s="90"/>
      <c r="BA18" s="90"/>
      <c r="BB18" s="116"/>
      <c r="BC18" s="16">
        <f t="shared" si="11"/>
        <v>142</v>
      </c>
      <c r="BD18" s="90"/>
      <c r="BE18" s="90"/>
      <c r="BF18" s="90">
        <v>238</v>
      </c>
      <c r="BG18" s="116"/>
      <c r="BH18" s="16">
        <f t="shared" si="12"/>
        <v>238</v>
      </c>
      <c r="BI18" s="90"/>
      <c r="BJ18" s="90"/>
      <c r="BK18" s="90"/>
      <c r="BL18" s="116"/>
      <c r="BM18" s="16">
        <f t="shared" si="13"/>
        <v>0</v>
      </c>
      <c r="BN18" s="90"/>
      <c r="BO18" s="90"/>
      <c r="BP18" s="90"/>
      <c r="BQ18" s="116"/>
      <c r="BR18" s="16">
        <f t="shared" si="14"/>
        <v>0</v>
      </c>
      <c r="BS18" s="90"/>
      <c r="BT18" s="90"/>
      <c r="BU18" s="90">
        <v>107</v>
      </c>
      <c r="BV18" s="116"/>
      <c r="BW18" s="16">
        <f t="shared" si="15"/>
        <v>107</v>
      </c>
      <c r="BX18" s="90"/>
      <c r="BY18" s="90"/>
      <c r="BZ18" s="90"/>
      <c r="CA18" s="116"/>
      <c r="CB18" s="16">
        <f t="shared" si="16"/>
        <v>0</v>
      </c>
      <c r="CC18" s="90"/>
      <c r="CD18" s="90"/>
      <c r="CE18" s="90"/>
      <c r="CF18" s="116">
        <v>100</v>
      </c>
      <c r="CG18" s="16">
        <f t="shared" si="17"/>
        <v>0</v>
      </c>
      <c r="CH18" s="90"/>
      <c r="CI18" s="90">
        <v>21</v>
      </c>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c r="M19" s="90">
        <v>94</v>
      </c>
      <c r="N19" s="116"/>
      <c r="O19" s="16">
        <f t="shared" si="3"/>
        <v>94</v>
      </c>
      <c r="P19" s="90">
        <v>244</v>
      </c>
      <c r="Q19" s="90"/>
      <c r="R19" s="90"/>
      <c r="S19" s="116"/>
      <c r="T19" s="16">
        <f t="shared" si="4"/>
        <v>244</v>
      </c>
      <c r="U19" s="90"/>
      <c r="V19" s="90"/>
      <c r="W19" s="90"/>
      <c r="X19" s="116"/>
      <c r="Y19" s="16">
        <f t="shared" si="5"/>
        <v>0</v>
      </c>
      <c r="Z19" s="90"/>
      <c r="AA19" s="90"/>
      <c r="AB19" s="90"/>
      <c r="AC19" s="116"/>
      <c r="AD19" s="16">
        <f t="shared" si="6"/>
        <v>0</v>
      </c>
      <c r="AE19" s="90"/>
      <c r="AF19" s="90"/>
      <c r="AG19" s="90"/>
      <c r="AH19" s="116">
        <v>100</v>
      </c>
      <c r="AI19" s="16">
        <f t="shared" si="7"/>
        <v>0</v>
      </c>
      <c r="AJ19" s="90"/>
      <c r="AK19" s="90"/>
      <c r="AL19" s="90"/>
      <c r="AM19" s="116"/>
      <c r="AN19" s="16">
        <f t="shared" si="8"/>
        <v>0</v>
      </c>
      <c r="AO19" s="90"/>
      <c r="AP19" s="90"/>
      <c r="AQ19" s="90"/>
      <c r="AR19" s="116">
        <v>50</v>
      </c>
      <c r="AS19" s="16">
        <f t="shared" si="9"/>
        <v>0</v>
      </c>
      <c r="AT19" s="90"/>
      <c r="AU19" s="90"/>
      <c r="AV19" s="90">
        <v>313</v>
      </c>
      <c r="AW19" s="116"/>
      <c r="AX19" s="16">
        <f t="shared" si="10"/>
        <v>313</v>
      </c>
      <c r="AY19" s="90">
        <v>351</v>
      </c>
      <c r="AZ19" s="90"/>
      <c r="BA19" s="90"/>
      <c r="BB19" s="116"/>
      <c r="BC19" s="16">
        <f t="shared" si="11"/>
        <v>351</v>
      </c>
      <c r="BD19" s="90"/>
      <c r="BE19" s="90"/>
      <c r="BF19" s="90">
        <v>262</v>
      </c>
      <c r="BG19" s="116"/>
      <c r="BH19" s="16">
        <f t="shared" si="12"/>
        <v>262</v>
      </c>
      <c r="BI19" s="90"/>
      <c r="BJ19" s="90"/>
      <c r="BK19" s="90"/>
      <c r="BL19" s="116"/>
      <c r="BM19" s="16">
        <f t="shared" si="13"/>
        <v>0</v>
      </c>
      <c r="BN19" s="90"/>
      <c r="BO19" s="90"/>
      <c r="BP19" s="90"/>
      <c r="BQ19" s="116"/>
      <c r="BR19" s="16">
        <f t="shared" si="14"/>
        <v>0</v>
      </c>
      <c r="BS19" s="90"/>
      <c r="BT19" s="90"/>
      <c r="BU19" s="90">
        <v>312</v>
      </c>
      <c r="BV19" s="116"/>
      <c r="BW19" s="16">
        <f t="shared" si="15"/>
        <v>312</v>
      </c>
      <c r="BX19" s="90"/>
      <c r="BY19" s="90"/>
      <c r="BZ19" s="90"/>
      <c r="CA19" s="116"/>
      <c r="CB19" s="16">
        <f t="shared" si="16"/>
        <v>0</v>
      </c>
      <c r="CC19" s="90"/>
      <c r="CD19" s="90"/>
      <c r="CE19" s="90">
        <v>310</v>
      </c>
      <c r="CF19" s="116"/>
      <c r="CG19" s="16">
        <f t="shared" si="17"/>
        <v>310</v>
      </c>
      <c r="CH19" s="90">
        <v>722</v>
      </c>
      <c r="CI19" s="90"/>
      <c r="CJ19" s="90"/>
      <c r="CK19" s="116"/>
      <c r="CL19" s="16">
        <f t="shared" si="18"/>
        <v>722</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c r="L20" s="90"/>
      <c r="M20" s="90"/>
      <c r="N20" s="116">
        <v>50</v>
      </c>
      <c r="O20" s="16">
        <f t="shared" si="3"/>
        <v>0</v>
      </c>
      <c r="P20" s="90"/>
      <c r="Q20" s="90">
        <v>50</v>
      </c>
      <c r="R20" s="90"/>
      <c r="S20" s="116"/>
      <c r="T20" s="16">
        <f t="shared" si="4"/>
        <v>0</v>
      </c>
      <c r="U20" s="90"/>
      <c r="V20" s="90"/>
      <c r="W20" s="90"/>
      <c r="X20" s="116"/>
      <c r="Y20" s="16">
        <f t="shared" si="5"/>
        <v>0</v>
      </c>
      <c r="Z20" s="90"/>
      <c r="AA20" s="90"/>
      <c r="AB20" s="90"/>
      <c r="AC20" s="116"/>
      <c r="AD20" s="16">
        <f t="shared" si="6"/>
        <v>0</v>
      </c>
      <c r="AE20" s="90"/>
      <c r="AF20" s="90"/>
      <c r="AG20" s="90">
        <v>253</v>
      </c>
      <c r="AH20" s="116"/>
      <c r="AI20" s="16">
        <f t="shared" si="7"/>
        <v>253</v>
      </c>
      <c r="AJ20" s="90"/>
      <c r="AK20" s="90"/>
      <c r="AL20" s="90"/>
      <c r="AM20" s="116"/>
      <c r="AN20" s="16">
        <f t="shared" si="8"/>
        <v>0</v>
      </c>
      <c r="AO20" s="90"/>
      <c r="AP20" s="90"/>
      <c r="AQ20" s="90">
        <v>310</v>
      </c>
      <c r="AR20" s="116"/>
      <c r="AS20" s="16">
        <f t="shared" si="9"/>
        <v>310</v>
      </c>
      <c r="AT20" s="90"/>
      <c r="AU20" s="90"/>
      <c r="AV20" s="90"/>
      <c r="AW20" s="116">
        <v>50</v>
      </c>
      <c r="AX20" s="16">
        <f t="shared" si="10"/>
        <v>0</v>
      </c>
      <c r="AY20" s="90"/>
      <c r="AZ20" s="90">
        <v>50</v>
      </c>
      <c r="BA20" s="90"/>
      <c r="BB20" s="116"/>
      <c r="BC20" s="16">
        <f t="shared" si="11"/>
        <v>0</v>
      </c>
      <c r="BD20" s="90"/>
      <c r="BE20" s="90"/>
      <c r="BF20" s="90">
        <v>110</v>
      </c>
      <c r="BG20" s="116"/>
      <c r="BH20" s="16">
        <f t="shared" si="12"/>
        <v>110</v>
      </c>
      <c r="BI20" s="90"/>
      <c r="BJ20" s="90"/>
      <c r="BK20" s="90"/>
      <c r="BL20" s="116"/>
      <c r="BM20" s="16">
        <f t="shared" si="13"/>
        <v>0</v>
      </c>
      <c r="BN20" s="90"/>
      <c r="BO20" s="90"/>
      <c r="BP20" s="90"/>
      <c r="BQ20" s="116"/>
      <c r="BR20" s="16">
        <f t="shared" si="14"/>
        <v>0</v>
      </c>
      <c r="BS20" s="90"/>
      <c r="BT20" s="90"/>
      <c r="BU20" s="90"/>
      <c r="BV20" s="116">
        <v>50</v>
      </c>
      <c r="BW20" s="16">
        <f t="shared" si="15"/>
        <v>0</v>
      </c>
      <c r="BX20" s="90"/>
      <c r="BY20" s="90"/>
      <c r="BZ20" s="90"/>
      <c r="CA20" s="116"/>
      <c r="CB20" s="16">
        <f t="shared" si="16"/>
        <v>0</v>
      </c>
      <c r="CC20" s="90"/>
      <c r="CD20" s="90"/>
      <c r="CE20" s="90"/>
      <c r="CF20" s="116">
        <v>50</v>
      </c>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v>50</v>
      </c>
      <c r="AI21" s="16">
        <f t="shared" si="7"/>
        <v>0</v>
      </c>
      <c r="AJ21" s="90"/>
      <c r="AK21" s="90"/>
      <c r="AL21" s="90"/>
      <c r="AM21" s="116"/>
      <c r="AN21" s="16">
        <f t="shared" si="8"/>
        <v>0</v>
      </c>
      <c r="AO21" s="90"/>
      <c r="AP21" s="90"/>
      <c r="AQ21" s="90">
        <v>270</v>
      </c>
      <c r="AR21" s="116"/>
      <c r="AS21" s="16">
        <f t="shared" si="9"/>
        <v>270</v>
      </c>
      <c r="AT21" s="90"/>
      <c r="AU21" s="90"/>
      <c r="AV21" s="90">
        <v>339</v>
      </c>
      <c r="AW21" s="116"/>
      <c r="AX21" s="16">
        <f t="shared" si="10"/>
        <v>339</v>
      </c>
      <c r="AY21" s="90"/>
      <c r="AZ21" s="90"/>
      <c r="BA21" s="90"/>
      <c r="BB21" s="116"/>
      <c r="BC21" s="16">
        <f t="shared" si="11"/>
        <v>0</v>
      </c>
      <c r="BD21" s="90"/>
      <c r="BE21" s="90"/>
      <c r="BF21" s="90"/>
      <c r="BG21" s="116">
        <v>50</v>
      </c>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v>304</v>
      </c>
      <c r="CF21" s="116"/>
      <c r="CG21" s="16">
        <f t="shared" si="17"/>
        <v>304</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v>409</v>
      </c>
      <c r="AH22" s="116"/>
      <c r="AI22" s="16">
        <f t="shared" si="7"/>
        <v>409</v>
      </c>
      <c r="AJ22" s="90"/>
      <c r="AK22" s="90"/>
      <c r="AL22" s="90"/>
      <c r="AM22" s="116"/>
      <c r="AN22" s="16">
        <f t="shared" si="8"/>
        <v>0</v>
      </c>
      <c r="AO22" s="90"/>
      <c r="AP22" s="90"/>
      <c r="AQ22" s="90">
        <v>176</v>
      </c>
      <c r="AR22" s="116"/>
      <c r="AS22" s="16">
        <f t="shared" si="9"/>
        <v>176</v>
      </c>
      <c r="AT22" s="90"/>
      <c r="AU22" s="90">
        <v>20</v>
      </c>
      <c r="AV22" s="90"/>
      <c r="AW22" s="116"/>
      <c r="AX22" s="16">
        <f t="shared" si="10"/>
        <v>0</v>
      </c>
      <c r="AY22" s="90"/>
      <c r="AZ22" s="90"/>
      <c r="BA22" s="90"/>
      <c r="BB22" s="116"/>
      <c r="BC22" s="16">
        <f t="shared" si="11"/>
        <v>0</v>
      </c>
      <c r="BD22" s="90"/>
      <c r="BE22" s="90"/>
      <c r="BF22" s="90">
        <v>297</v>
      </c>
      <c r="BG22" s="116"/>
      <c r="BH22" s="16">
        <f t="shared" si="12"/>
        <v>297</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v>335</v>
      </c>
      <c r="CF22" s="116"/>
      <c r="CG22" s="16">
        <f t="shared" si="17"/>
        <v>335</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v>50</v>
      </c>
      <c r="AI23" s="16">
        <f t="shared" si="7"/>
        <v>0</v>
      </c>
      <c r="AJ23" s="90"/>
      <c r="AK23" s="90"/>
      <c r="AL23" s="90"/>
      <c r="AM23" s="116"/>
      <c r="AN23" s="16">
        <f t="shared" si="8"/>
        <v>0</v>
      </c>
      <c r="AO23" s="90"/>
      <c r="AP23" s="90"/>
      <c r="AQ23" s="90"/>
      <c r="AR23" s="116">
        <v>50</v>
      </c>
      <c r="AS23" s="16">
        <f t="shared" si="9"/>
        <v>0</v>
      </c>
      <c r="AT23" s="90">
        <v>678</v>
      </c>
      <c r="AU23" s="90"/>
      <c r="AV23" s="90"/>
      <c r="AW23" s="116"/>
      <c r="AX23" s="16">
        <f t="shared" si="10"/>
        <v>678</v>
      </c>
      <c r="AY23" s="90"/>
      <c r="AZ23" s="90"/>
      <c r="BA23" s="90"/>
      <c r="BB23" s="116"/>
      <c r="BC23" s="16">
        <f t="shared" si="11"/>
        <v>0</v>
      </c>
      <c r="BD23" s="90"/>
      <c r="BE23" s="90"/>
      <c r="BF23" s="90">
        <v>458</v>
      </c>
      <c r="BG23" s="116"/>
      <c r="BH23" s="16">
        <f t="shared" si="12"/>
        <v>458</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v>50</v>
      </c>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v>233</v>
      </c>
      <c r="AH24" s="116"/>
      <c r="AI24" s="16">
        <f t="shared" si="7"/>
        <v>233</v>
      </c>
      <c r="AJ24" s="90"/>
      <c r="AK24" s="90"/>
      <c r="AL24" s="90"/>
      <c r="AM24" s="116"/>
      <c r="AN24" s="16">
        <f t="shared" si="8"/>
        <v>0</v>
      </c>
      <c r="AO24" s="90"/>
      <c r="AP24" s="90"/>
      <c r="AQ24" s="90"/>
      <c r="AR24" s="116"/>
      <c r="AS24" s="16">
        <f t="shared" si="9"/>
        <v>0</v>
      </c>
      <c r="AT24" s="90"/>
      <c r="AU24" s="90">
        <v>50</v>
      </c>
      <c r="AV24" s="90"/>
      <c r="AW24" s="116"/>
      <c r="AX24" s="16">
        <f t="shared" si="10"/>
        <v>0</v>
      </c>
      <c r="AY24" s="90"/>
      <c r="AZ24" s="90"/>
      <c r="BA24" s="90"/>
      <c r="BB24" s="116"/>
      <c r="BC24" s="16">
        <f t="shared" si="11"/>
        <v>0</v>
      </c>
      <c r="BD24" s="90"/>
      <c r="BE24" s="90"/>
      <c r="BF24" s="90"/>
      <c r="BG24" s="116">
        <v>50</v>
      </c>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v>200</v>
      </c>
      <c r="CF24" s="116"/>
      <c r="CG24" s="16">
        <f t="shared" si="17"/>
        <v>200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v>226</v>
      </c>
      <c r="AH25" s="116"/>
      <c r="AI25" s="16">
        <f t="shared" si="7"/>
        <v>226</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v>285</v>
      </c>
      <c r="CF25" s="116"/>
      <c r="CG25" s="16">
        <f t="shared" si="17"/>
        <v>285</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v>204</v>
      </c>
      <c r="AH26" s="116"/>
      <c r="AI26" s="16">
        <f t="shared" si="7"/>
        <v>204</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v>50</v>
      </c>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v>50</v>
      </c>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71" priority="192">
      <formula>IF(A25&gt;0,A25&lt;20)</formula>
    </cfRule>
  </conditionalFormatting>
  <conditionalFormatting sqref="F20:F208">
    <cfRule type="expression" dxfId="1570" priority="73">
      <formula>IF(F20&gt;0,F20&lt;20)</formula>
    </cfRule>
  </conditionalFormatting>
  <conditionalFormatting sqref="K22:K208">
    <cfRule type="expression" dxfId="1569" priority="72">
      <formula>IF(K22&gt;0,K22&lt;20)</formula>
    </cfRule>
  </conditionalFormatting>
  <conditionalFormatting sqref="P14:P208">
    <cfRule type="expression" dxfId="1568" priority="71">
      <formula>IF(P14&gt;0,P14&lt;20)</formula>
    </cfRule>
  </conditionalFormatting>
  <conditionalFormatting sqref="U22:U208">
    <cfRule type="expression" dxfId="1567" priority="70">
      <formula>IF(U22&gt;0,U22&lt;20)</formula>
    </cfRule>
  </conditionalFormatting>
  <conditionalFormatting sqref="Z17:Z208">
    <cfRule type="expression" dxfId="1566" priority="69">
      <formula>IF(Z17&gt;0,Z17&lt;20)</formula>
    </cfRule>
  </conditionalFormatting>
  <conditionalFormatting sqref="AE15:AE208">
    <cfRule type="expression" dxfId="1565" priority="68">
      <formula>IF(AE15&gt;0,AE15&lt;20)</formula>
    </cfRule>
  </conditionalFormatting>
  <conditionalFormatting sqref="AJ25:AJ208">
    <cfRule type="expression" dxfId="1564" priority="67">
      <formula>IF(AJ25&gt;0,AJ25&lt;20)</formula>
    </cfRule>
  </conditionalFormatting>
  <conditionalFormatting sqref="AO16:AO208">
    <cfRule type="expression" dxfId="1563" priority="66">
      <formula>IF(AO16&gt;0,AO16&lt;20)</formula>
    </cfRule>
  </conditionalFormatting>
  <conditionalFormatting sqref="AT14:AT208">
    <cfRule type="expression" dxfId="1562" priority="65">
      <formula>IF(AT14&gt;0,AT14&lt;20)</formula>
    </cfRule>
  </conditionalFormatting>
  <conditionalFormatting sqref="AY9:AY208">
    <cfRule type="expression" dxfId="1561" priority="64">
      <formula>IF(AY9&gt;0,AY9&lt;20)</formula>
    </cfRule>
  </conditionalFormatting>
  <conditionalFormatting sqref="BD9:BD208">
    <cfRule type="expression" dxfId="1560" priority="63">
      <formula>IF(BD9&gt;0,BD9&lt;20)</formula>
    </cfRule>
  </conditionalFormatting>
  <conditionalFormatting sqref="BI9:BI208">
    <cfRule type="expression" dxfId="1559" priority="62">
      <formula>IF(BI9&gt;0,BI9&lt;20)</formula>
    </cfRule>
  </conditionalFormatting>
  <conditionalFormatting sqref="BN9:BN208">
    <cfRule type="expression" dxfId="1558" priority="61">
      <formula>IF(BN9&gt;0,BN9&lt;20)</formula>
    </cfRule>
  </conditionalFormatting>
  <conditionalFormatting sqref="BS9:BS208">
    <cfRule type="expression" dxfId="1557" priority="60">
      <formula>IF(BS9&gt;0,BS9&lt;20)</formula>
    </cfRule>
  </conditionalFormatting>
  <conditionalFormatting sqref="BX9:BX208">
    <cfRule type="expression" dxfId="1556" priority="59">
      <formula>IF(BX9&gt;0,BX9&lt;20)</formula>
    </cfRule>
  </conditionalFormatting>
  <conditionalFormatting sqref="CC9:CC208">
    <cfRule type="expression" dxfId="1555" priority="58">
      <formula>IF(CC9&gt;0,CC9&lt;20)</formula>
    </cfRule>
  </conditionalFormatting>
  <conditionalFormatting sqref="CH9:CH208">
    <cfRule type="expression" dxfId="1554" priority="57">
      <formula>IF(CH9&gt;0,CH9&lt;20)</formula>
    </cfRule>
  </conditionalFormatting>
  <conditionalFormatting sqref="CM9:CM208">
    <cfRule type="expression" dxfId="1553" priority="56">
      <formula>IF(CM9&gt;0,CM9&lt;20)</formula>
    </cfRule>
  </conditionalFormatting>
  <conditionalFormatting sqref="CR9:CR208">
    <cfRule type="expression" dxfId="1552" priority="55">
      <formula>IF(CR9&gt;0,CR9&lt;20)</formula>
    </cfRule>
  </conditionalFormatting>
  <conditionalFormatting sqref="CW9:CW208">
    <cfRule type="expression" dxfId="1551" priority="54">
      <formula>IF(CW9&gt;0,CW9&lt;20)</formula>
    </cfRule>
  </conditionalFormatting>
  <conditionalFormatting sqref="DB9:DB208">
    <cfRule type="expression" dxfId="1550" priority="53">
      <formula>IF(DB9&gt;0,DB9&lt;20)</formula>
    </cfRule>
  </conditionalFormatting>
  <conditionalFormatting sqref="DG9:DG208">
    <cfRule type="expression" dxfId="1549" priority="52">
      <formula>IF(DG9&gt;0,DG9&lt;20)</formula>
    </cfRule>
  </conditionalFormatting>
  <conditionalFormatting sqref="DL9:DL208">
    <cfRule type="expression" dxfId="1548" priority="51">
      <formula>IF(DL9&gt;0,DL9&lt;20)</formula>
    </cfRule>
  </conditionalFormatting>
  <conditionalFormatting sqref="DQ9:DQ208">
    <cfRule type="expression" dxfId="1547" priority="50">
      <formula>IF(DQ9&gt;0,DQ9&lt;20)</formula>
    </cfRule>
  </conditionalFormatting>
  <conditionalFormatting sqref="DV9:DV208">
    <cfRule type="expression" dxfId="1546" priority="49">
      <formula>IF(DV9&gt;0,DV9&lt;20)</formula>
    </cfRule>
  </conditionalFormatting>
  <conditionalFormatting sqref="EA9:EA208">
    <cfRule type="expression" dxfId="1545" priority="48">
      <formula>IF(EA9&gt;0,EA9&lt;20)</formula>
    </cfRule>
  </conditionalFormatting>
  <conditionalFormatting sqref="EF9:EF208">
    <cfRule type="expression" dxfId="1544" priority="47">
      <formula>IF(EF9&gt;0,EF9&lt;20)</formula>
    </cfRule>
  </conditionalFormatting>
  <conditionalFormatting sqref="EK9:EK208">
    <cfRule type="expression" dxfId="1543" priority="46">
      <formula>IF(EK9&gt;0,EK9&lt;20)</formula>
    </cfRule>
  </conditionalFormatting>
  <conditionalFormatting sqref="EP9:EP208">
    <cfRule type="expression" dxfId="1542" priority="45">
      <formula>IF(EP9&gt;0,EP9&lt;20)</formula>
    </cfRule>
  </conditionalFormatting>
  <conditionalFormatting sqref="EU9:EU208">
    <cfRule type="expression" dxfId="1541" priority="44">
      <formula>IF(EU9&gt;0,EU9&lt;20)</formula>
    </cfRule>
  </conditionalFormatting>
  <conditionalFormatting sqref="EZ9:EZ208">
    <cfRule type="expression" dxfId="1540" priority="43">
      <formula>IF(EZ9&gt;0,EZ9&lt;20)</formula>
    </cfRule>
  </conditionalFormatting>
  <conditionalFormatting sqref="FE9:FE208">
    <cfRule type="expression" dxfId="1539" priority="42">
      <formula>IF(FE9&gt;0,FE9&lt;20)</formula>
    </cfRule>
  </conditionalFormatting>
  <conditionalFormatting sqref="IL9:IL208">
    <cfRule type="expression" dxfId="1538" priority="25">
      <formula>IF(IL9&gt;0,IL9&lt;20)</formula>
    </cfRule>
  </conditionalFormatting>
  <conditionalFormatting sqref="FJ9:FJ208">
    <cfRule type="expression" dxfId="1537" priority="41">
      <formula>IF(FJ9&gt;0,FJ9&lt;20)</formula>
    </cfRule>
  </conditionalFormatting>
  <conditionalFormatting sqref="FO9:FO208">
    <cfRule type="expression" dxfId="1536" priority="40">
      <formula>IF(FO9&gt;0,FO9&lt;20)</formula>
    </cfRule>
  </conditionalFormatting>
  <conditionalFormatting sqref="FT9:FT208">
    <cfRule type="expression" dxfId="1535" priority="39">
      <formula>IF(FT9&gt;0,FT9&lt;20)</formula>
    </cfRule>
  </conditionalFormatting>
  <conditionalFormatting sqref="FY9:FY208">
    <cfRule type="expression" dxfId="1534" priority="38">
      <formula>IF(FY9&gt;0,FY9&lt;20)</formula>
    </cfRule>
  </conditionalFormatting>
  <conditionalFormatting sqref="GD9:GD208">
    <cfRule type="expression" dxfId="1533" priority="37">
      <formula>IF(GD9&gt;0,GD9&lt;20)</formula>
    </cfRule>
  </conditionalFormatting>
  <conditionalFormatting sqref="GI9:GI208">
    <cfRule type="expression" dxfId="1532" priority="36">
      <formula>IF(GI9&gt;0,GI9&lt;20)</formula>
    </cfRule>
  </conditionalFormatting>
  <conditionalFormatting sqref="GN9:GN208">
    <cfRule type="expression" dxfId="1531" priority="35">
      <formula>IF(GN9&gt;0,GN9&lt;20)</formula>
    </cfRule>
  </conditionalFormatting>
  <conditionalFormatting sqref="GS9:GS208">
    <cfRule type="expression" dxfId="1530" priority="34">
      <formula>IF(GS9&gt;0,GS9&lt;20)</formula>
    </cfRule>
  </conditionalFormatting>
  <conditionalFormatting sqref="GX9:GX208">
    <cfRule type="expression" dxfId="1529" priority="33">
      <formula>IF(GX9&gt;0,GX9&lt;20)</formula>
    </cfRule>
  </conditionalFormatting>
  <conditionalFormatting sqref="HC9:HC208">
    <cfRule type="expression" dxfId="1528" priority="32">
      <formula>IF(HC9&gt;0,HC9&lt;20)</formula>
    </cfRule>
  </conditionalFormatting>
  <conditionalFormatting sqref="HH9:HH208">
    <cfRule type="expression" dxfId="1527" priority="31">
      <formula>IF(HH9&gt;0,HH9&lt;20)</formula>
    </cfRule>
  </conditionalFormatting>
  <conditionalFormatting sqref="HM9:HM208">
    <cfRule type="expression" dxfId="1526" priority="30">
      <formula>IF(HM9&gt;0,HM9&lt;20)</formula>
    </cfRule>
  </conditionalFormatting>
  <conditionalFormatting sqref="HR9:HR208">
    <cfRule type="expression" dxfId="1525" priority="29">
      <formula>IF(HR9&gt;0,HR9&lt;20)</formula>
    </cfRule>
  </conditionalFormatting>
  <conditionalFormatting sqref="HW9:HW208">
    <cfRule type="expression" dxfId="1524" priority="28">
      <formula>IF(HW9&gt;0,HW9&lt;20)</formula>
    </cfRule>
  </conditionalFormatting>
  <conditionalFormatting sqref="IB9:IB208">
    <cfRule type="expression" dxfId="1523" priority="27">
      <formula>IF(IB9&gt;0,IB9&lt;20)</formula>
    </cfRule>
  </conditionalFormatting>
  <conditionalFormatting sqref="IG9:IG208">
    <cfRule type="expression" dxfId="1522" priority="26">
      <formula>IF(IG9&gt;0,IG9&lt;20)</formula>
    </cfRule>
  </conditionalFormatting>
  <conditionalFormatting sqref="A19:A24">
    <cfRule type="expression" dxfId="1521" priority="23">
      <formula>IF(A19&gt;0,A19&lt;20)</formula>
    </cfRule>
  </conditionalFormatting>
  <conditionalFormatting sqref="F12:F19">
    <cfRule type="expression" dxfId="1520" priority="22">
      <formula>IF(F12&gt;0,F12&lt;20)</formula>
    </cfRule>
  </conditionalFormatting>
  <conditionalFormatting sqref="K14:K21">
    <cfRule type="expression" dxfId="1519" priority="21">
      <formula>IF(K14&gt;0,K14&lt;20)</formula>
    </cfRule>
  </conditionalFormatting>
  <conditionalFormatting sqref="P12:P13">
    <cfRule type="expression" dxfId="1518" priority="19">
      <formula>IF(P12&gt;0,P12&lt;20)</formula>
    </cfRule>
  </conditionalFormatting>
  <conditionalFormatting sqref="U16:U21">
    <cfRule type="expression" dxfId="1517" priority="18">
      <formula>IF(U16&gt;0,U16&lt;20)</formula>
    </cfRule>
  </conditionalFormatting>
  <conditionalFormatting sqref="AJ11:AJ24">
    <cfRule type="expression" dxfId="1516" priority="15">
      <formula>IF(AJ11&gt;0,AJ11&lt;20)</formula>
    </cfRule>
  </conditionalFormatting>
  <conditionalFormatting sqref="F9:F11">
    <cfRule type="expression" dxfId="1515" priority="14">
      <formula>IF(F9&gt;0,F9&lt;20)</formula>
    </cfRule>
  </conditionalFormatting>
  <conditionalFormatting sqref="K13">
    <cfRule type="expression" dxfId="1514" priority="13">
      <formula>IF(K13&gt;0,K13&lt;20)</formula>
    </cfRule>
  </conditionalFormatting>
  <conditionalFormatting sqref="K9:K12">
    <cfRule type="expression" dxfId="1513" priority="12">
      <formula>IF(K9&gt;0,K9&lt;20)</formula>
    </cfRule>
  </conditionalFormatting>
  <conditionalFormatting sqref="P9:P11">
    <cfRule type="expression" dxfId="1512" priority="11">
      <formula>IF(P9&gt;0,P9&lt;20)</formula>
    </cfRule>
  </conditionalFormatting>
  <conditionalFormatting sqref="Z9:Z16">
    <cfRule type="expression" dxfId="1511" priority="9">
      <formula>IF(Z9&gt;0,Z9&lt;20)</formula>
    </cfRule>
  </conditionalFormatting>
  <conditionalFormatting sqref="AE13:AE14">
    <cfRule type="expression" dxfId="1510" priority="8">
      <formula>IF(AE13&gt;0,AE13&lt;20)</formula>
    </cfRule>
  </conditionalFormatting>
  <conditionalFormatting sqref="AE9:AE12">
    <cfRule type="expression" dxfId="1509" priority="7">
      <formula>IF(AE9&gt;0,AE9&lt;20)</formula>
    </cfRule>
  </conditionalFormatting>
  <conditionalFormatting sqref="AJ9:AJ10">
    <cfRule type="expression" dxfId="1508" priority="6">
      <formula>IF(AJ9&gt;0,AJ9&lt;20)</formula>
    </cfRule>
  </conditionalFormatting>
  <conditionalFormatting sqref="AO9:AO15">
    <cfRule type="expression" dxfId="1507" priority="5">
      <formula>IF(AO9&gt;0,AO9&lt;20)</formula>
    </cfRule>
  </conditionalFormatting>
  <conditionalFormatting sqref="AT9:AT13">
    <cfRule type="expression" dxfId="1506" priority="4">
      <formula>IF(AT9&gt;0,AT9&lt;20)</formula>
    </cfRule>
  </conditionalFormatting>
  <conditionalFormatting sqref="A9">
    <cfRule type="expression" dxfId="1505" priority="3">
      <formula>AND(A$9&lt;&gt;"",A$9&lt;20)</formula>
    </cfRule>
  </conditionalFormatting>
  <conditionalFormatting sqref="A10:A18">
    <cfRule type="expression" dxfId="1504" priority="2">
      <formula>AND(A10&lt;&gt;"",A10&lt;20)</formula>
    </cfRule>
  </conditionalFormatting>
  <conditionalFormatting sqref="U9:U15">
    <cfRule type="expression" dxfId="1503" priority="1">
      <formula>IF(U9&gt;0,U9&lt;20)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B907" zoomScaleNormal="100" workbookViewId="0">
      <selection activeCell="D924" sqref="D924"/>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731</v>
      </c>
      <c r="D1" s="329"/>
      <c r="E1" s="88"/>
      <c r="F1" s="88"/>
      <c r="G1" s="89" t="s">
        <v>186</v>
      </c>
      <c r="H1" s="326" t="s">
        <v>733</v>
      </c>
      <c r="I1" s="327"/>
      <c r="J1" s="114"/>
      <c r="K1" s="196"/>
      <c r="L1" s="196"/>
      <c r="M1" s="196"/>
      <c r="N1" s="196"/>
      <c r="O1" s="196"/>
      <c r="P1" s="196"/>
      <c r="Q1" s="196"/>
      <c r="R1" s="196"/>
      <c r="S1" s="196"/>
      <c r="T1" s="196"/>
      <c r="U1" s="196"/>
      <c r="V1" s="196"/>
      <c r="W1" s="196"/>
      <c r="X1" s="196"/>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29" t="s">
        <v>205</v>
      </c>
    </row>
    <row r="2" spans="1:53" ht="16.5" thickBot="1" x14ac:dyDescent="0.3">
      <c r="A2" s="88"/>
      <c r="B2" s="89" t="s">
        <v>206</v>
      </c>
      <c r="C2" s="328" t="s">
        <v>732</v>
      </c>
      <c r="D2" s="329"/>
      <c r="E2" s="88"/>
      <c r="F2" s="88"/>
      <c r="G2" s="89" t="s">
        <v>207</v>
      </c>
      <c r="H2" s="326" t="s">
        <v>734</v>
      </c>
      <c r="I2" s="327"/>
      <c r="J2" s="114"/>
      <c r="K2" s="196"/>
      <c r="L2" s="196"/>
      <c r="M2" s="196"/>
      <c r="N2" s="196"/>
      <c r="O2" s="196"/>
      <c r="P2" s="196"/>
      <c r="Q2" s="196"/>
      <c r="R2" s="196"/>
      <c r="S2" s="196"/>
      <c r="T2" s="196"/>
      <c r="U2" s="196"/>
      <c r="V2" s="196"/>
      <c r="W2" s="196"/>
      <c r="X2" s="196"/>
      <c r="Y2" s="88"/>
      <c r="Z2" s="88"/>
      <c r="AA2" s="88"/>
      <c r="AB2" s="88"/>
      <c r="AC2" s="88"/>
      <c r="AD2" s="88"/>
      <c r="BA2" s="229" t="s">
        <v>208</v>
      </c>
    </row>
    <row r="3" spans="1:53" ht="15.75" x14ac:dyDescent="0.25">
      <c r="A3" s="88"/>
      <c r="B3" s="88"/>
      <c r="C3" s="88"/>
      <c r="D3" s="88"/>
      <c r="E3" s="88"/>
      <c r="F3" s="88"/>
      <c r="G3" s="115"/>
      <c r="H3" s="230"/>
      <c r="I3" s="230"/>
      <c r="J3" s="88"/>
      <c r="K3" s="196"/>
      <c r="L3" s="196"/>
      <c r="M3" s="196"/>
      <c r="N3" s="196"/>
      <c r="O3" s="196"/>
      <c r="P3" s="196"/>
      <c r="Q3" s="196"/>
      <c r="R3" s="196"/>
      <c r="S3" s="196"/>
      <c r="T3" s="196"/>
      <c r="U3" s="196"/>
      <c r="V3" s="196"/>
      <c r="W3" s="196"/>
      <c r="X3" s="196"/>
      <c r="Y3" s="88"/>
      <c r="Z3" s="88"/>
      <c r="AA3" s="88"/>
      <c r="AB3" s="88"/>
      <c r="AC3" s="88"/>
      <c r="AD3" s="88"/>
      <c r="BA3" s="229" t="str">
        <f>CONCATENATE("FA_IMPORT_"&amp;C1)</f>
        <v>FA_IMPORT_A02QVZ2</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5" t="s">
        <v>210</v>
      </c>
      <c r="N5" s="195" t="s">
        <v>211</v>
      </c>
      <c r="O5" s="195" t="s">
        <v>212</v>
      </c>
      <c r="P5" s="195" t="s">
        <v>213</v>
      </c>
      <c r="Q5" s="195" t="s">
        <v>214</v>
      </c>
      <c r="R5" s="195" t="s">
        <v>215</v>
      </c>
      <c r="S5" s="195" t="s">
        <v>216</v>
      </c>
      <c r="T5" s="195" t="s">
        <v>217</v>
      </c>
      <c r="U5" s="195" t="s">
        <v>218</v>
      </c>
      <c r="V5" s="195" t="s">
        <v>219</v>
      </c>
      <c r="W5" s="113" t="s">
        <v>220</v>
      </c>
      <c r="X5" s="195" t="s">
        <v>221</v>
      </c>
      <c r="Y5" s="25"/>
      <c r="Z5" s="25"/>
      <c r="AA5" s="25"/>
      <c r="AB5" s="25"/>
      <c r="AC5" s="25"/>
      <c r="AD5" s="25"/>
    </row>
    <row r="6" spans="1:53" ht="16.5" thickTop="1" thickBot="1" x14ac:dyDescent="0.3">
      <c r="A6" s="88"/>
      <c r="B6" s="312" t="s">
        <v>222</v>
      </c>
      <c r="C6" s="313"/>
      <c r="D6" s="314" t="s">
        <v>223</v>
      </c>
      <c r="E6" s="305"/>
      <c r="F6" s="88"/>
      <c r="G6" s="315" t="s">
        <v>224</v>
      </c>
      <c r="H6" s="316"/>
      <c r="I6" s="28">
        <f>SUM(E17:E41)</f>
        <v>24</v>
      </c>
      <c r="J6" s="317" t="s">
        <v>225</v>
      </c>
      <c r="K6" s="318"/>
      <c r="L6" s="305"/>
      <c r="M6" s="195">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5" t="s">
        <v>226</v>
      </c>
      <c r="AA6" s="296"/>
      <c r="AB6" s="297"/>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4" t="s">
        <v>230</v>
      </c>
      <c r="H7" s="305"/>
      <c r="I7" s="33">
        <f>E8-I6</f>
        <v>0</v>
      </c>
      <c r="J7" s="289" t="s">
        <v>231</v>
      </c>
      <c r="K7" s="290"/>
      <c r="L7" s="34">
        <f>I11</f>
        <v>841</v>
      </c>
      <c r="M7" s="195">
        <v>4</v>
      </c>
      <c r="N7" s="35">
        <f>SUM(AI7,AI18)</f>
        <v>0</v>
      </c>
      <c r="O7" s="35">
        <v>0</v>
      </c>
      <c r="P7" s="35">
        <f>SUM(AJ7,AJ18)</f>
        <v>0</v>
      </c>
      <c r="Q7" s="35">
        <v>0</v>
      </c>
      <c r="R7" s="35">
        <f>COUNTIFS($E17:$E41,"4",$F17:$F41,"Pole",$C17:$C41,"FST")</f>
        <v>3</v>
      </c>
      <c r="S7" s="35">
        <f>SUM(AL7,AK18)</f>
        <v>0</v>
      </c>
      <c r="T7" s="35">
        <v>0</v>
      </c>
      <c r="U7" s="35">
        <f>SUM(AK7,AL18)</f>
        <v>4</v>
      </c>
      <c r="V7" s="35">
        <v>0</v>
      </c>
      <c r="W7" s="34">
        <f>COUNTIFS($E17:$E41,"4",$F17:$F41,"HH",$C17:$C41,"FST")</f>
        <v>1</v>
      </c>
      <c r="X7" s="35">
        <f>COUNTIFS($E17:$E41,"4",$F17:$F41,"Ped",$C17:$C41,"FST")</f>
        <v>0</v>
      </c>
      <c r="Y7" s="25"/>
      <c r="Z7" s="298" t="s">
        <v>232</v>
      </c>
      <c r="AA7" s="300" t="s">
        <v>233</v>
      </c>
      <c r="AB7" s="301"/>
      <c r="AC7" s="25"/>
      <c r="AD7" s="25"/>
      <c r="AH7" s="109">
        <v>4</v>
      </c>
      <c r="AI7" s="109" t="str">
        <f>IF($E7="SS",COUNTIFS($C17:$C41,"FST",$E17:$E41,"4"),"0")</f>
        <v>0</v>
      </c>
      <c r="AJ7" s="109" t="str">
        <f>IF($E7="RPX",COUNTIFS($C17:$C41,"FST",$E17:$E41,"4"),"0")</f>
        <v>0</v>
      </c>
      <c r="AK7" s="109">
        <f>IF($E7="EUC",COUNTIFS($C17:$C41,"FST",$E17:$E41,"4"),"0")</f>
        <v>4</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24</v>
      </c>
      <c r="F8" s="88"/>
      <c r="G8" s="291" t="s">
        <v>237</v>
      </c>
      <c r="H8" s="292"/>
      <c r="I8" s="35">
        <f>IF(E8=0,0,12-(MOD(I6,12)))</f>
        <v>12</v>
      </c>
      <c r="J8" s="289" t="s">
        <v>238</v>
      </c>
      <c r="K8" s="290"/>
      <c r="L8" s="39">
        <f>I12-I6</f>
        <v>840</v>
      </c>
      <c r="M8" s="195">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299"/>
      <c r="AA8" s="302"/>
      <c r="AB8" s="303"/>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0</v>
      </c>
      <c r="F9" s="88"/>
      <c r="G9" s="321" t="s">
        <v>242</v>
      </c>
      <c r="H9" s="43" t="s">
        <v>243</v>
      </c>
      <c r="I9" s="35">
        <f>IF(E9&lt;&gt;0,1,0)</f>
        <v>0</v>
      </c>
      <c r="J9" s="291" t="s">
        <v>244</v>
      </c>
      <c r="K9" s="292"/>
      <c r="L9" s="44">
        <f>'Cable Calculator'!D3</f>
        <v>1514</v>
      </c>
      <c r="M9" s="195">
        <v>8</v>
      </c>
      <c r="N9" s="35">
        <f>SUM(AI9,AI20)</f>
        <v>0</v>
      </c>
      <c r="O9" s="35">
        <v>0</v>
      </c>
      <c r="P9" s="35">
        <f>SUM(AJ9,AJ20)</f>
        <v>0</v>
      </c>
      <c r="Q9" s="35">
        <v>0</v>
      </c>
      <c r="R9" s="35">
        <f>COUNTIFS($E17:$E41,"8",$F17:$F41,"Pole",$C17:$C41,"FST")</f>
        <v>1</v>
      </c>
      <c r="S9" s="35">
        <f>SUM(AL9,AK20)</f>
        <v>0</v>
      </c>
      <c r="T9" s="35">
        <v>0</v>
      </c>
      <c r="U9" s="35">
        <f>SUM(AK9,AL20)</f>
        <v>1</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1</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841</v>
      </c>
      <c r="F10" s="88"/>
      <c r="G10" s="322"/>
      <c r="H10" s="47" t="s">
        <v>248</v>
      </c>
      <c r="I10" s="35">
        <f>IF(E9&lt;&gt;0,E9,0)</f>
        <v>0</v>
      </c>
      <c r="J10" s="193"/>
      <c r="K10" s="194"/>
      <c r="L10" s="48"/>
      <c r="M10" s="195">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0</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2</v>
      </c>
      <c r="F11" s="88"/>
      <c r="G11" s="321" t="s">
        <v>251</v>
      </c>
      <c r="H11" s="51" t="s">
        <v>252</v>
      </c>
      <c r="I11" s="112">
        <f>E10</f>
        <v>841</v>
      </c>
      <c r="J11" s="323" t="s">
        <v>253</v>
      </c>
      <c r="K11" s="324"/>
      <c r="L11" s="325"/>
      <c r="M11" s="52" t="s">
        <v>254</v>
      </c>
      <c r="N11" s="106"/>
      <c r="O11" s="106"/>
      <c r="P11" s="191"/>
      <c r="Q11" s="191"/>
      <c r="R11" s="191"/>
      <c r="S11" s="191"/>
      <c r="T11" s="191"/>
      <c r="U11" s="191"/>
      <c r="V11" s="191"/>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2"/>
      <c r="H12" s="47" t="s">
        <v>257</v>
      </c>
      <c r="I12" s="35">
        <f>IF(E10="","0",IF(AND(E7="EUC",E8=432), I11+(203-E9),IF(E10=0,0,(E10+(E8-E9)-1))))</f>
        <v>864</v>
      </c>
      <c r="J12" s="286" t="str">
        <f>IFERROR(IF(OR(E7="EUC",E7="SS"),"---",IF(OR(P6,S6),"NO 2F Tethers for RPX!",IF(OR(P8,S8),"NO 6F Tethers for RPX!","---"))),"---")</f>
        <v>---</v>
      </c>
      <c r="K12" s="287"/>
      <c r="L12" s="288"/>
      <c r="M12" s="286" t="str">
        <f>IF(E9&gt;60,"Dead Count &gt;60: Consider Downsize","---")</f>
        <v>---</v>
      </c>
      <c r="N12" s="287"/>
      <c r="O12" s="287"/>
      <c r="P12" s="287"/>
      <c r="Q12" s="287"/>
      <c r="R12" s="287"/>
      <c r="S12" s="287"/>
      <c r="T12" s="287"/>
      <c r="U12" s="288"/>
      <c r="V12" s="100"/>
      <c r="W12" s="54">
        <f>SUM(P12:U12)</f>
        <v>0</v>
      </c>
      <c r="X12" s="54"/>
      <c r="Y12" s="25"/>
      <c r="Z12" s="45">
        <v>4</v>
      </c>
      <c r="AA12" s="46">
        <v>37</v>
      </c>
      <c r="AB12" s="46">
        <v>48</v>
      </c>
      <c r="AC12" s="25"/>
      <c r="AD12" s="25"/>
    </row>
    <row r="13" spans="1:53" ht="16.5" thickTop="1" thickBot="1" x14ac:dyDescent="0.3">
      <c r="A13" s="88"/>
      <c r="B13" s="55" t="s">
        <v>258</v>
      </c>
      <c r="C13" s="56">
        <f>SUM(C7:C12)+I6</f>
        <v>24</v>
      </c>
      <c r="D13" s="31" t="s">
        <v>259</v>
      </c>
      <c r="E13" s="101" t="str">
        <f>IF(AS7="Y","DBL",IF(AS8="Y","TRPL",IF(AS9="Y","QUAD","")))</f>
        <v/>
      </c>
      <c r="F13" s="88"/>
      <c r="G13" s="191"/>
      <c r="H13" s="57"/>
      <c r="I13" s="191"/>
      <c r="J13" s="286"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7"/>
      <c r="L13" s="288"/>
      <c r="M13" s="286" t="str">
        <f>IF(AND(OR(E7="SS",E7="RPX",E7="EUC",E7="RPX-T"),(OR(C17="",C17="Field SPL"))),"Cannot have FlexNap cables without tethers","---")</f>
        <v>---</v>
      </c>
      <c r="N13" s="287"/>
      <c r="O13" s="287"/>
      <c r="P13" s="287"/>
      <c r="Q13" s="287"/>
      <c r="R13" s="287"/>
      <c r="S13" s="287"/>
      <c r="T13" s="287"/>
      <c r="U13" s="288"/>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6" t="str">
        <f>IF(AND(OR(E7="RPX", E7="RPX-T", E7="SS"),E8=216),"NO 216 For RPX, RPX-T, OR SS CABLE","---")</f>
        <v>---</v>
      </c>
      <c r="K14" s="287"/>
      <c r="L14" s="288"/>
      <c r="M14" s="286" t="str" cm="1">
        <f t="array" ref="M14">IF(AND(E7="",OR(C17:C41="FST",C17:C41="REV T",C17:C41="DBL REV",C17:C41="TPL REV", C17:C41="QD REV")),"Non-FlexNap cables cannot have tethers","---")</f>
        <v>---</v>
      </c>
      <c r="N14" s="287"/>
      <c r="O14" s="287"/>
      <c r="P14" s="287"/>
      <c r="Q14" s="287"/>
      <c r="R14" s="287"/>
      <c r="S14" s="287"/>
      <c r="T14" s="287"/>
      <c r="U14" s="288"/>
      <c r="V14" s="25"/>
      <c r="W14" s="58"/>
      <c r="X14" s="58"/>
      <c r="Y14" s="25"/>
      <c r="Z14" s="45">
        <v>6</v>
      </c>
      <c r="AA14" s="65">
        <v>61</v>
      </c>
      <c r="AB14" s="65">
        <v>72</v>
      </c>
      <c r="AC14" s="25"/>
      <c r="AD14" s="25"/>
    </row>
    <row r="15" spans="1:53" ht="15.75" customHeight="1" thickBot="1" x14ac:dyDescent="0.3">
      <c r="A15" s="88"/>
      <c r="B15" s="321" t="s">
        <v>260</v>
      </c>
      <c r="C15" s="293" t="s">
        <v>261</v>
      </c>
      <c r="D15" s="293" t="s">
        <v>262</v>
      </c>
      <c r="E15" s="306" t="s">
        <v>263</v>
      </c>
      <c r="F15" s="293" t="s">
        <v>264</v>
      </c>
      <c r="G15" s="308" t="s">
        <v>265</v>
      </c>
      <c r="H15" s="308" t="s">
        <v>266</v>
      </c>
      <c r="I15" s="308" t="s">
        <v>267</v>
      </c>
      <c r="J15" s="310" t="s">
        <v>268</v>
      </c>
      <c r="K15" s="293" t="s">
        <v>269</v>
      </c>
      <c r="L15" s="280" t="s">
        <v>270</v>
      </c>
      <c r="M15" s="282" t="s">
        <v>271</v>
      </c>
      <c r="N15" s="282"/>
      <c r="O15" s="282"/>
      <c r="P15" s="282"/>
      <c r="Q15" s="282"/>
      <c r="R15" s="282"/>
      <c r="S15" s="282"/>
      <c r="T15" s="282"/>
      <c r="U15" s="283"/>
      <c r="V15" s="107"/>
      <c r="W15" s="72"/>
      <c r="X15" s="72"/>
      <c r="Y15" s="72"/>
      <c r="Z15" s="45">
        <v>7</v>
      </c>
      <c r="AA15" s="65">
        <v>73</v>
      </c>
      <c r="AB15" s="65">
        <v>84</v>
      </c>
      <c r="AC15" s="25"/>
      <c r="AD15" s="25"/>
    </row>
    <row r="16" spans="1:53" ht="15.75" thickBot="1" x14ac:dyDescent="0.3">
      <c r="A16" s="88"/>
      <c r="B16" s="322"/>
      <c r="C16" s="294"/>
      <c r="D16" s="294"/>
      <c r="E16" s="307"/>
      <c r="F16" s="294"/>
      <c r="G16" s="309"/>
      <c r="H16" s="309"/>
      <c r="I16" s="309"/>
      <c r="J16" s="311"/>
      <c r="K16" s="294"/>
      <c r="L16" s="281"/>
      <c r="M16" s="284"/>
      <c r="N16" s="284"/>
      <c r="O16" s="284"/>
      <c r="P16" s="284"/>
      <c r="Q16" s="284"/>
      <c r="R16" s="284"/>
      <c r="S16" s="284"/>
      <c r="T16" s="284"/>
      <c r="U16" s="285"/>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736</v>
      </c>
      <c r="E17" s="32">
        <v>4</v>
      </c>
      <c r="F17" s="32" t="s">
        <v>488</v>
      </c>
      <c r="G17" s="68" t="s">
        <v>277</v>
      </c>
      <c r="H17" s="69">
        <f>IF(I17=0,0,I17-(E17-1))</f>
        <v>861</v>
      </c>
      <c r="I17" s="70">
        <f>IF(E17=0,0,I12)</f>
        <v>864</v>
      </c>
      <c r="J17" s="71" t="s">
        <v>278</v>
      </c>
      <c r="K17" s="32"/>
      <c r="L17" s="232"/>
      <c r="M17" s="278"/>
      <c r="N17" s="278"/>
      <c r="O17" s="278"/>
      <c r="P17" s="278"/>
      <c r="Q17" s="278"/>
      <c r="R17" s="278"/>
      <c r="S17" s="278"/>
      <c r="T17" s="278"/>
      <c r="U17" s="279"/>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861-864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8">
        <f>MOD(E17,12)</f>
        <v>4</v>
      </c>
    </row>
    <row r="18" spans="1:53" ht="15.75" thickBot="1" x14ac:dyDescent="0.3">
      <c r="A18" s="88"/>
      <c r="B18" s="66" t="s">
        <v>279</v>
      </c>
      <c r="C18" s="67" t="s">
        <v>484</v>
      </c>
      <c r="D18" s="102" t="s">
        <v>737</v>
      </c>
      <c r="E18" s="32">
        <v>4</v>
      </c>
      <c r="F18" s="32" t="s">
        <v>483</v>
      </c>
      <c r="G18" s="68" t="s">
        <v>277</v>
      </c>
      <c r="H18" s="69">
        <f t="shared" ref="H18:H41" si="9">IF(E18=0,0,I18-(E18-1))</f>
        <v>857</v>
      </c>
      <c r="I18" s="70">
        <f t="shared" ref="I18:I41" si="10">IF(E18=0,0,H17-1)</f>
        <v>860</v>
      </c>
      <c r="J18" s="73" t="str">
        <f>IF(C18="","--",IF(AND(C18&lt;&gt;"FST",C18&lt;&gt;"TCF",BA17&lt;&gt;0),BA17,"--"))</f>
        <v>--</v>
      </c>
      <c r="K18" s="32"/>
      <c r="L18" s="232"/>
      <c r="M18" s="278"/>
      <c r="N18" s="278"/>
      <c r="O18" s="278"/>
      <c r="P18" s="278"/>
      <c r="Q18" s="278"/>
      <c r="R18" s="278"/>
      <c r="S18" s="278"/>
      <c r="T18" s="278"/>
      <c r="U18" s="279"/>
      <c r="V18" s="103"/>
      <c r="W18" s="72"/>
      <c r="X18" s="72"/>
      <c r="Y18" s="72"/>
      <c r="Z18" s="45">
        <v>10</v>
      </c>
      <c r="AA18" s="46">
        <v>109</v>
      </c>
      <c r="AB18" s="46">
        <v>120</v>
      </c>
      <c r="AC18" s="72">
        <f t="shared" si="0"/>
        <v>1</v>
      </c>
      <c r="AD18" s="72">
        <f t="shared" si="1"/>
        <v>0</v>
      </c>
      <c r="AE18" s="109" t="str">
        <f t="shared" si="2"/>
        <v>857-860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8">
        <f>MOD(SUM(E17:E18),12)</f>
        <v>8</v>
      </c>
    </row>
    <row r="19" spans="1:53" ht="15.75" thickBot="1" x14ac:dyDescent="0.3">
      <c r="A19" s="88"/>
      <c r="B19" s="74" t="s">
        <v>280</v>
      </c>
      <c r="C19" s="67" t="s">
        <v>484</v>
      </c>
      <c r="D19" s="102" t="s">
        <v>738</v>
      </c>
      <c r="E19" s="32">
        <v>4</v>
      </c>
      <c r="F19" s="32" t="s">
        <v>483</v>
      </c>
      <c r="G19" s="75" t="s">
        <v>277</v>
      </c>
      <c r="H19" s="69">
        <f t="shared" si="9"/>
        <v>853</v>
      </c>
      <c r="I19" s="70">
        <f t="shared" si="10"/>
        <v>856</v>
      </c>
      <c r="J19" s="73" t="str">
        <f t="shared" ref="J19:J41" si="11">IF(C19="","--",IF(AND(C19&lt;&gt;"FST",C19&lt;&gt;"TCF",BA18&lt;&gt;0),BA18,"--"))</f>
        <v>--</v>
      </c>
      <c r="K19" s="32"/>
      <c r="L19" s="232"/>
      <c r="M19" s="278"/>
      <c r="N19" s="278"/>
      <c r="O19" s="278"/>
      <c r="P19" s="278"/>
      <c r="Q19" s="278"/>
      <c r="R19" s="278"/>
      <c r="S19" s="278"/>
      <c r="T19" s="278"/>
      <c r="U19" s="279"/>
      <c r="V19" s="103"/>
      <c r="W19" s="72"/>
      <c r="X19" s="72"/>
      <c r="Y19" s="72"/>
      <c r="Z19" s="45">
        <v>11</v>
      </c>
      <c r="AA19" s="46">
        <v>121</v>
      </c>
      <c r="AB19" s="46">
        <v>132</v>
      </c>
      <c r="AC19" s="72">
        <f t="shared" si="0"/>
        <v>1</v>
      </c>
      <c r="AD19" s="72">
        <f t="shared" si="1"/>
        <v>0</v>
      </c>
      <c r="AE19" s="109" t="str">
        <f t="shared" si="2"/>
        <v>853-856</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8">
        <f>MOD(SUM(E17:E20),12)</f>
        <v>4</v>
      </c>
    </row>
    <row r="20" spans="1:53" ht="15.75" thickBot="1" x14ac:dyDescent="0.3">
      <c r="A20" s="88"/>
      <c r="B20" s="66" t="s">
        <v>281</v>
      </c>
      <c r="C20" s="67" t="s">
        <v>484</v>
      </c>
      <c r="D20" s="102" t="s">
        <v>739</v>
      </c>
      <c r="E20" s="32">
        <v>4</v>
      </c>
      <c r="F20" s="32" t="s">
        <v>483</v>
      </c>
      <c r="G20" s="68" t="s">
        <v>277</v>
      </c>
      <c r="H20" s="69">
        <f t="shared" si="9"/>
        <v>849</v>
      </c>
      <c r="I20" s="70">
        <f t="shared" si="10"/>
        <v>852</v>
      </c>
      <c r="J20" s="73" t="str">
        <f t="shared" si="11"/>
        <v>--</v>
      </c>
      <c r="K20" s="32"/>
      <c r="L20" s="232"/>
      <c r="M20" s="278"/>
      <c r="N20" s="278"/>
      <c r="O20" s="278"/>
      <c r="P20" s="278"/>
      <c r="Q20" s="278"/>
      <c r="R20" s="278"/>
      <c r="S20" s="278"/>
      <c r="T20" s="278"/>
      <c r="U20" s="279"/>
      <c r="V20" s="103"/>
      <c r="W20" s="72"/>
      <c r="X20" s="72"/>
      <c r="Y20" s="72"/>
      <c r="Z20" s="45">
        <v>12</v>
      </c>
      <c r="AA20" s="76">
        <v>133</v>
      </c>
      <c r="AB20" s="76">
        <v>144</v>
      </c>
      <c r="AC20" s="72">
        <f t="shared" si="0"/>
        <v>1</v>
      </c>
      <c r="AD20" s="72">
        <f t="shared" si="1"/>
        <v>0</v>
      </c>
      <c r="AE20" s="109" t="str">
        <f t="shared" si="2"/>
        <v>849-852</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8">
        <f>MOD(SUM(E17:E21),12)</f>
        <v>0</v>
      </c>
    </row>
    <row r="21" spans="1:53" ht="15.75" thickBot="1" x14ac:dyDescent="0.3">
      <c r="A21" s="88"/>
      <c r="B21" s="66" t="s">
        <v>282</v>
      </c>
      <c r="C21" s="67" t="s">
        <v>484</v>
      </c>
      <c r="D21" s="102" t="s">
        <v>740</v>
      </c>
      <c r="E21" s="32">
        <v>8</v>
      </c>
      <c r="F21" s="32" t="s">
        <v>483</v>
      </c>
      <c r="G21" s="68" t="s">
        <v>277</v>
      </c>
      <c r="H21" s="69">
        <f t="shared" si="9"/>
        <v>841</v>
      </c>
      <c r="I21" s="70">
        <f t="shared" si="10"/>
        <v>848</v>
      </c>
      <c r="J21" s="73" t="str">
        <f t="shared" si="11"/>
        <v>--</v>
      </c>
      <c r="K21" s="32"/>
      <c r="L21" s="232"/>
      <c r="M21" s="278"/>
      <c r="N21" s="278"/>
      <c r="O21" s="278"/>
      <c r="P21" s="278"/>
      <c r="Q21" s="278"/>
      <c r="R21" s="278"/>
      <c r="S21" s="278"/>
      <c r="T21" s="278"/>
      <c r="U21" s="279"/>
      <c r="V21" s="103"/>
      <c r="W21" s="72"/>
      <c r="X21" s="72"/>
      <c r="Y21" s="72"/>
      <c r="Z21" s="45">
        <v>13</v>
      </c>
      <c r="AA21" s="77">
        <f t="shared" ref="AA21:AA26" si="12">AB20+1</f>
        <v>145</v>
      </c>
      <c r="AB21" s="77">
        <f t="shared" ref="AB21:AB26" si="13">AB20+12</f>
        <v>156</v>
      </c>
      <c r="AC21" s="72">
        <f t="shared" si="0"/>
        <v>1</v>
      </c>
      <c r="AD21" s="72">
        <f t="shared" si="1"/>
        <v>0</v>
      </c>
      <c r="AE21" s="109" t="str">
        <f t="shared" si="2"/>
        <v>841-848</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8">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2"/>
      <c r="M22" s="278"/>
      <c r="N22" s="278"/>
      <c r="O22" s="278"/>
      <c r="P22" s="278"/>
      <c r="Q22" s="278"/>
      <c r="R22" s="278"/>
      <c r="S22" s="278"/>
      <c r="T22" s="278"/>
      <c r="U22" s="279"/>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8">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2"/>
      <c r="M23" s="278"/>
      <c r="N23" s="278"/>
      <c r="O23" s="278"/>
      <c r="P23" s="278"/>
      <c r="Q23" s="278"/>
      <c r="R23" s="278"/>
      <c r="S23" s="278"/>
      <c r="T23" s="278"/>
      <c r="U23" s="279"/>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8">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2"/>
      <c r="M24" s="278"/>
      <c r="N24" s="278"/>
      <c r="O24" s="278"/>
      <c r="P24" s="278"/>
      <c r="Q24" s="278"/>
      <c r="R24" s="278"/>
      <c r="S24" s="278"/>
      <c r="T24" s="278"/>
      <c r="U24" s="279"/>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8">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2"/>
      <c r="M25" s="278"/>
      <c r="N25" s="278"/>
      <c r="O25" s="278"/>
      <c r="P25" s="278"/>
      <c r="Q25" s="278"/>
      <c r="R25" s="278"/>
      <c r="S25" s="278"/>
      <c r="T25" s="278"/>
      <c r="U25" s="279"/>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8">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2"/>
      <c r="M26" s="278"/>
      <c r="N26" s="278"/>
      <c r="O26" s="278"/>
      <c r="P26" s="278"/>
      <c r="Q26" s="278"/>
      <c r="R26" s="278"/>
      <c r="S26" s="278"/>
      <c r="T26" s="278"/>
      <c r="U26" s="279"/>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8">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2"/>
      <c r="M27" s="278"/>
      <c r="N27" s="278"/>
      <c r="O27" s="278"/>
      <c r="P27" s="278"/>
      <c r="Q27" s="278"/>
      <c r="R27" s="278"/>
      <c r="S27" s="278"/>
      <c r="T27" s="278"/>
      <c r="U27" s="279"/>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8">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2"/>
      <c r="M28" s="278"/>
      <c r="N28" s="278"/>
      <c r="O28" s="278"/>
      <c r="P28" s="278"/>
      <c r="Q28" s="278"/>
      <c r="R28" s="278"/>
      <c r="S28" s="278"/>
      <c r="T28" s="278"/>
      <c r="U28" s="279"/>
      <c r="V28" s="103"/>
      <c r="W28" s="84">
        <f>Y28+1</f>
        <v>25</v>
      </c>
      <c r="X28" s="84"/>
      <c r="Y28" s="78">
        <f>SUM(E17:E28)</f>
        <v>24</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8">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2"/>
      <c r="M29" s="278"/>
      <c r="N29" s="278"/>
      <c r="O29" s="278"/>
      <c r="P29" s="278"/>
      <c r="Q29" s="278"/>
      <c r="R29" s="278"/>
      <c r="S29" s="278"/>
      <c r="T29" s="278"/>
      <c r="U29" s="279"/>
      <c r="V29" s="103"/>
      <c r="W29" s="84">
        <f>Y29+1</f>
        <v>25</v>
      </c>
      <c r="X29" s="84"/>
      <c r="Y29" s="78">
        <f>SUM(E17:E29)</f>
        <v>24</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8">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2"/>
      <c r="M30" s="278"/>
      <c r="N30" s="278"/>
      <c r="O30" s="278"/>
      <c r="P30" s="278"/>
      <c r="Q30" s="278"/>
      <c r="R30" s="278"/>
      <c r="S30" s="278"/>
      <c r="T30" s="278"/>
      <c r="U30" s="279"/>
      <c r="V30" s="103"/>
      <c r="W30" s="84">
        <f>Y30+1</f>
        <v>25</v>
      </c>
      <c r="X30" s="84"/>
      <c r="Y30" s="78">
        <f>SUM(E17:E30)</f>
        <v>24</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8">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2"/>
      <c r="M31" s="278"/>
      <c r="N31" s="278"/>
      <c r="O31" s="278"/>
      <c r="P31" s="278"/>
      <c r="Q31" s="278"/>
      <c r="R31" s="278"/>
      <c r="S31" s="278"/>
      <c r="T31" s="278"/>
      <c r="U31" s="279"/>
      <c r="V31" s="103"/>
      <c r="W31" s="84">
        <f>Y31+1</f>
        <v>25</v>
      </c>
      <c r="X31" s="84"/>
      <c r="Y31" s="78">
        <f>SUM(E17:E31)</f>
        <v>24</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8">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2"/>
      <c r="M32" s="278"/>
      <c r="N32" s="278"/>
      <c r="O32" s="278"/>
      <c r="P32" s="278"/>
      <c r="Q32" s="278"/>
      <c r="R32" s="278"/>
      <c r="S32" s="278"/>
      <c r="T32" s="278"/>
      <c r="U32" s="279"/>
      <c r="V32" s="103"/>
      <c r="W32" s="84">
        <f t="shared" ref="W32:W40" si="16">Y32+1</f>
        <v>25</v>
      </c>
      <c r="X32" s="84"/>
      <c r="Y32" s="78">
        <f>SUM(E17:E32)</f>
        <v>24</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8">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2"/>
      <c r="M33" s="278"/>
      <c r="N33" s="278"/>
      <c r="O33" s="278"/>
      <c r="P33" s="278"/>
      <c r="Q33" s="278"/>
      <c r="R33" s="278"/>
      <c r="S33" s="278"/>
      <c r="T33" s="278"/>
      <c r="U33" s="279"/>
      <c r="V33" s="103"/>
      <c r="W33" s="84">
        <f t="shared" si="16"/>
        <v>25</v>
      </c>
      <c r="X33" s="84"/>
      <c r="Y33" s="78">
        <f>SUM(E17:E33)</f>
        <v>24</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8">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2"/>
      <c r="M34" s="278"/>
      <c r="N34" s="278"/>
      <c r="O34" s="278"/>
      <c r="P34" s="278"/>
      <c r="Q34" s="278"/>
      <c r="R34" s="278"/>
      <c r="S34" s="278"/>
      <c r="T34" s="278"/>
      <c r="U34" s="279"/>
      <c r="V34" s="103"/>
      <c r="W34" s="84">
        <f t="shared" si="16"/>
        <v>25</v>
      </c>
      <c r="X34" s="84"/>
      <c r="Y34" s="78">
        <f>SUM(E17:E34)</f>
        <v>24</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8">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2"/>
      <c r="M35" s="278"/>
      <c r="N35" s="278"/>
      <c r="O35" s="278"/>
      <c r="P35" s="278"/>
      <c r="Q35" s="278"/>
      <c r="R35" s="278"/>
      <c r="S35" s="278"/>
      <c r="T35" s="278"/>
      <c r="U35" s="279"/>
      <c r="V35" s="103"/>
      <c r="W35" s="84">
        <f t="shared" si="16"/>
        <v>25</v>
      </c>
      <c r="X35" s="84"/>
      <c r="Y35" s="78">
        <f>SUM(E17:E35)</f>
        <v>24</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8">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2"/>
      <c r="M36" s="278"/>
      <c r="N36" s="278"/>
      <c r="O36" s="278"/>
      <c r="P36" s="278"/>
      <c r="Q36" s="278"/>
      <c r="R36" s="278"/>
      <c r="S36" s="278"/>
      <c r="T36" s="278"/>
      <c r="U36" s="279"/>
      <c r="V36" s="103"/>
      <c r="W36" s="84">
        <f t="shared" si="16"/>
        <v>25</v>
      </c>
      <c r="X36" s="84"/>
      <c r="Y36" s="78">
        <f>SUM(E17:E36)</f>
        <v>24</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8">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2"/>
      <c r="M37" s="278"/>
      <c r="N37" s="278"/>
      <c r="O37" s="278"/>
      <c r="P37" s="278"/>
      <c r="Q37" s="278"/>
      <c r="R37" s="278"/>
      <c r="S37" s="278"/>
      <c r="T37" s="278"/>
      <c r="U37" s="279"/>
      <c r="V37" s="103"/>
      <c r="W37" s="84">
        <f t="shared" si="16"/>
        <v>25</v>
      </c>
      <c r="X37" s="84"/>
      <c r="Y37" s="78">
        <f>SUM(E17:E37)</f>
        <v>24</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8">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2"/>
      <c r="M38" s="278"/>
      <c r="N38" s="278"/>
      <c r="O38" s="278"/>
      <c r="P38" s="278"/>
      <c r="Q38" s="278"/>
      <c r="R38" s="278"/>
      <c r="S38" s="278"/>
      <c r="T38" s="278"/>
      <c r="U38" s="279"/>
      <c r="V38" s="103"/>
      <c r="W38" s="84">
        <f t="shared" si="16"/>
        <v>25</v>
      </c>
      <c r="X38" s="84"/>
      <c r="Y38" s="78">
        <f>SUM(E17:E38)</f>
        <v>24</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8">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2"/>
      <c r="M39" s="278"/>
      <c r="N39" s="278"/>
      <c r="O39" s="278"/>
      <c r="P39" s="278"/>
      <c r="Q39" s="278"/>
      <c r="R39" s="278"/>
      <c r="S39" s="278"/>
      <c r="T39" s="278"/>
      <c r="U39" s="279"/>
      <c r="V39" s="103"/>
      <c r="W39" s="84">
        <f t="shared" si="16"/>
        <v>25</v>
      </c>
      <c r="X39" s="84"/>
      <c r="Y39" s="78">
        <f>SUM(E17:E39)</f>
        <v>24</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8">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2"/>
      <c r="M40" s="278"/>
      <c r="N40" s="278"/>
      <c r="O40" s="278"/>
      <c r="P40" s="278"/>
      <c r="Q40" s="278"/>
      <c r="R40" s="278"/>
      <c r="S40" s="278"/>
      <c r="T40" s="278"/>
      <c r="U40" s="279"/>
      <c r="V40" s="103"/>
      <c r="W40" s="84">
        <f t="shared" si="16"/>
        <v>25</v>
      </c>
      <c r="X40" s="84"/>
      <c r="Y40" s="78">
        <f>SUM(E17:E40)</f>
        <v>24</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8">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3"/>
      <c r="M41" s="278"/>
      <c r="N41" s="278"/>
      <c r="O41" s="278"/>
      <c r="P41" s="278"/>
      <c r="Q41" s="278"/>
      <c r="R41" s="278"/>
      <c r="S41" s="278"/>
      <c r="T41" s="278"/>
      <c r="U41" s="279"/>
      <c r="V41" s="103"/>
      <c r="W41" s="72"/>
      <c r="X41" s="72"/>
      <c r="Y41" s="78">
        <f>SUM(E17:E41)</f>
        <v>24</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7"/>
    </row>
    <row r="42" spans="1:53" ht="16.5" thickBot="1" x14ac:dyDescent="0.3">
      <c r="A42" s="88"/>
      <c r="B42" s="319" t="s">
        <v>303</v>
      </c>
      <c r="C42" s="320"/>
      <c r="D42" s="79"/>
      <c r="E42" s="80"/>
      <c r="F42" s="80"/>
      <c r="G42" s="81"/>
      <c r="H42" s="191"/>
      <c r="I42" s="191"/>
      <c r="J42" s="191"/>
      <c r="K42" s="82"/>
      <c r="L42" s="197" t="s">
        <v>254</v>
      </c>
      <c r="M42" s="197"/>
      <c r="N42" s="197"/>
      <c r="O42" s="197"/>
      <c r="P42" s="197"/>
      <c r="Q42" s="197"/>
      <c r="R42" s="197"/>
      <c r="S42" s="197"/>
      <c r="T42" s="197"/>
      <c r="U42" s="197"/>
      <c r="V42" s="105"/>
      <c r="W42" s="72"/>
      <c r="X42" s="72"/>
      <c r="Y42" s="72"/>
      <c r="Z42" s="72"/>
      <c r="AA42" s="72" t="str">
        <f t="shared" si="15"/>
        <v/>
      </c>
      <c r="AB42" s="72"/>
      <c r="AC42" s="72">
        <f>SUM(AC17:AC41)</f>
        <v>25</v>
      </c>
      <c r="AD42" s="72">
        <f>SUM(AD17:AD41)</f>
        <v>20</v>
      </c>
      <c r="AM42" s="109">
        <f>SUM(AM17:AM41)</f>
        <v>0</v>
      </c>
      <c r="AN42" s="109">
        <f>SUM(AN17:AN41)</f>
        <v>0</v>
      </c>
      <c r="AO42" s="109">
        <f>((COUNTIF(AO17:AO41,"Y")/3)*2)</f>
        <v>0</v>
      </c>
      <c r="AP42" s="109">
        <f>(COUNTIF(AO17:AO41,"Y")/3)</f>
        <v>0</v>
      </c>
      <c r="AQ42" s="109">
        <f>(COUNTIF(AQ17:AQ41,"Y")/2)</f>
        <v>0</v>
      </c>
      <c r="AR42" s="109">
        <f>(COUNTIF(AQ17:AQ41,"Y")/2)</f>
        <v>0</v>
      </c>
      <c r="BA42" s="227"/>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5"/>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5" t="s">
        <v>210</v>
      </c>
      <c r="N46" s="195" t="s">
        <v>211</v>
      </c>
      <c r="O46" s="195" t="s">
        <v>212</v>
      </c>
      <c r="P46" s="195" t="s">
        <v>213</v>
      </c>
      <c r="Q46" s="195" t="s">
        <v>214</v>
      </c>
      <c r="R46" s="195" t="s">
        <v>215</v>
      </c>
      <c r="S46" s="195" t="s">
        <v>216</v>
      </c>
      <c r="T46" s="195" t="s">
        <v>217</v>
      </c>
      <c r="U46" s="195" t="s">
        <v>218</v>
      </c>
      <c r="V46" s="195" t="s">
        <v>219</v>
      </c>
      <c r="W46" s="113" t="s">
        <v>220</v>
      </c>
      <c r="X46" s="195" t="s">
        <v>221</v>
      </c>
      <c r="Y46" s="25"/>
      <c r="Z46" s="25"/>
      <c r="AA46" s="25"/>
      <c r="AB46" s="25"/>
      <c r="AC46" s="25"/>
      <c r="AD46" s="25"/>
      <c r="BA46" s="225"/>
    </row>
    <row r="47" spans="1:53" ht="16.5" thickTop="1" thickBot="1" x14ac:dyDescent="0.3">
      <c r="A47" s="88"/>
      <c r="B47" s="312" t="s">
        <v>222</v>
      </c>
      <c r="C47" s="313"/>
      <c r="D47" s="314" t="s">
        <v>223</v>
      </c>
      <c r="E47" s="305"/>
      <c r="F47" s="88"/>
      <c r="G47" s="315" t="s">
        <v>224</v>
      </c>
      <c r="H47" s="316"/>
      <c r="I47" s="28">
        <f>SUM(E58:E82)</f>
        <v>432</v>
      </c>
      <c r="J47" s="317" t="s">
        <v>225</v>
      </c>
      <c r="K47" s="318"/>
      <c r="L47" s="305"/>
      <c r="M47" s="195">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5" t="s">
        <v>226</v>
      </c>
      <c r="AA47" s="296"/>
      <c r="AB47" s="297"/>
      <c r="AC47" s="25"/>
      <c r="AD47" s="25"/>
      <c r="AH47" s="109">
        <v>2</v>
      </c>
      <c r="AI47" s="109" t="str">
        <f>IF($E48="SS",COUNTIFS($C58:$C82,"FST",$E58:$E82,"2"),"0")</f>
        <v>0</v>
      </c>
      <c r="AJ47" s="109" t="str">
        <f>IF($E48="RPX",COUNTIFS($C58:$C82,"FST",$E58:$E82,"2"),"0")</f>
        <v>0</v>
      </c>
      <c r="AK47" s="109" t="str">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5"/>
    </row>
    <row r="48" spans="1:53" ht="16.5" customHeight="1" thickTop="1" thickBot="1" x14ac:dyDescent="0.3">
      <c r="A48" s="88"/>
      <c r="B48" s="29" t="s">
        <v>228</v>
      </c>
      <c r="C48" s="30">
        <v>0</v>
      </c>
      <c r="D48" s="31" t="s">
        <v>229</v>
      </c>
      <c r="E48" s="66" t="str">
        <f>TEXT(IF('Cable Calculator'!I7="","",'Cable Calculator'!I7),)</f>
        <v/>
      </c>
      <c r="F48" s="88"/>
      <c r="G48" s="304" t="s">
        <v>230</v>
      </c>
      <c r="H48" s="305"/>
      <c r="I48" s="33">
        <f>E49-I47</f>
        <v>0</v>
      </c>
      <c r="J48" s="289" t="s">
        <v>231</v>
      </c>
      <c r="K48" s="290"/>
      <c r="L48" s="34">
        <f>I52</f>
        <v>409</v>
      </c>
      <c r="M48" s="195">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298" t="s">
        <v>232</v>
      </c>
      <c r="AA48" s="300" t="s">
        <v>233</v>
      </c>
      <c r="AB48" s="301"/>
      <c r="AC48" s="25"/>
      <c r="AD48" s="25"/>
      <c r="AH48" s="109">
        <v>4</v>
      </c>
      <c r="AI48" s="109" t="str">
        <f>IF($E48="SS",COUNTIFS($C58:$C82,"FST",$E58:$E82,"4"),"0")</f>
        <v>0</v>
      </c>
      <c r="AJ48" s="109" t="str">
        <f>IF($E48="RPX",COUNTIFS($C58:$C82,"FST",$E58:$E82,"4"),"0")</f>
        <v>0</v>
      </c>
      <c r="AK48" s="109" t="str">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6"/>
    </row>
    <row r="49" spans="1:53" ht="16.5" thickTop="1" thickBot="1" x14ac:dyDescent="0.3">
      <c r="A49" s="88"/>
      <c r="B49" s="36" t="s">
        <v>235</v>
      </c>
      <c r="C49" s="37">
        <v>0</v>
      </c>
      <c r="D49" s="38" t="s">
        <v>236</v>
      </c>
      <c r="E49" s="32">
        <v>432</v>
      </c>
      <c r="F49" s="88"/>
      <c r="G49" s="291" t="s">
        <v>237</v>
      </c>
      <c r="H49" s="292"/>
      <c r="I49" s="35">
        <f>IF(E49=0,0,12-(MOD(I47,12)))</f>
        <v>12</v>
      </c>
      <c r="J49" s="289" t="s">
        <v>238</v>
      </c>
      <c r="K49" s="290"/>
      <c r="L49" s="39">
        <f>I53-I47</f>
        <v>408</v>
      </c>
      <c r="M49" s="195">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299"/>
      <c r="AA49" s="302"/>
      <c r="AB49" s="303"/>
      <c r="AC49" s="25"/>
      <c r="AD49" s="25"/>
      <c r="AH49" s="109">
        <v>6</v>
      </c>
      <c r="AI49" s="109" t="str">
        <f>IF($E48="SS",COUNTIFS($C58:$C82,"FST",$E58:$E82,"6"),"0")</f>
        <v>0</v>
      </c>
      <c r="AJ49" s="109" t="str">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6"/>
    </row>
    <row r="50" spans="1:53" ht="16.5" customHeight="1" thickTop="1" thickBot="1" x14ac:dyDescent="0.3">
      <c r="A50" s="88"/>
      <c r="B50" s="40" t="s">
        <v>240</v>
      </c>
      <c r="C50" s="30">
        <v>0</v>
      </c>
      <c r="D50" s="41" t="s">
        <v>241</v>
      </c>
      <c r="E50" s="42">
        <v>0</v>
      </c>
      <c r="F50" s="88"/>
      <c r="G50" s="321" t="s">
        <v>242</v>
      </c>
      <c r="H50" s="43" t="s">
        <v>243</v>
      </c>
      <c r="I50" s="35">
        <f>IF(E50&lt;&gt;0,1,0)</f>
        <v>0</v>
      </c>
      <c r="J50" s="291" t="s">
        <v>244</v>
      </c>
      <c r="K50" s="292"/>
      <c r="L50" s="44">
        <f>'Cable Calculator'!I3</f>
        <v>186</v>
      </c>
      <c r="M50" s="195">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6"/>
    </row>
    <row r="51" spans="1:53" ht="16.5" thickTop="1" thickBot="1" x14ac:dyDescent="0.3">
      <c r="A51" s="88"/>
      <c r="B51" s="29" t="s">
        <v>246</v>
      </c>
      <c r="C51" s="37">
        <v>0</v>
      </c>
      <c r="D51" s="41" t="s">
        <v>247</v>
      </c>
      <c r="E51" s="42">
        <v>409</v>
      </c>
      <c r="F51" s="88"/>
      <c r="G51" s="322"/>
      <c r="H51" s="47" t="s">
        <v>248</v>
      </c>
      <c r="I51" s="35">
        <f>IF(E50&lt;&gt;0,E50,0)</f>
        <v>0</v>
      </c>
      <c r="J51" s="193"/>
      <c r="K51" s="194"/>
      <c r="L51" s="48"/>
      <c r="M51" s="195">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t="str">
        <f>IF($E48="EUC",COUNTIFS($C58:$C82,"FST",$E58:$E82,"12"),"0")</f>
        <v>0</v>
      </c>
      <c r="AL51" s="109" t="str">
        <f>IF($E48="RPX-T",COUNTIFS($C58:$C82,"FST",$E58:$E82,"12"),"0")</f>
        <v>0</v>
      </c>
      <c r="BA51" s="226"/>
    </row>
    <row r="52" spans="1:53" ht="16.5" customHeight="1" thickTop="1" thickBot="1" x14ac:dyDescent="0.3">
      <c r="A52" s="88"/>
      <c r="B52" s="36" t="s">
        <v>249</v>
      </c>
      <c r="C52" s="30">
        <v>0</v>
      </c>
      <c r="D52" s="49" t="s">
        <v>250</v>
      </c>
      <c r="E52" s="50">
        <f>E49/12</f>
        <v>36</v>
      </c>
      <c r="F52" s="88"/>
      <c r="G52" s="321" t="s">
        <v>251</v>
      </c>
      <c r="H52" s="51" t="s">
        <v>252</v>
      </c>
      <c r="I52" s="112">
        <f>E51</f>
        <v>409</v>
      </c>
      <c r="J52" s="323" t="s">
        <v>253</v>
      </c>
      <c r="K52" s="324"/>
      <c r="L52" s="325"/>
      <c r="M52" s="52" t="s">
        <v>254</v>
      </c>
      <c r="N52" s="106"/>
      <c r="O52" s="106"/>
      <c r="P52" s="191"/>
      <c r="Q52" s="191"/>
      <c r="R52" s="191"/>
      <c r="S52" s="191"/>
      <c r="T52" s="191"/>
      <c r="U52" s="191"/>
      <c r="V52" s="191"/>
      <c r="W52" s="53">
        <f>SUM(P52:U52)</f>
        <v>0</v>
      </c>
      <c r="X52" s="54"/>
      <c r="Y52" s="25"/>
      <c r="Z52" s="45">
        <v>3</v>
      </c>
      <c r="AA52" s="46">
        <v>25</v>
      </c>
      <c r="AB52" s="46">
        <v>36</v>
      </c>
      <c r="AC52" s="25"/>
      <c r="AD52" s="25"/>
      <c r="BA52" s="226"/>
    </row>
    <row r="53" spans="1:53" ht="16.5" thickTop="1" thickBot="1" x14ac:dyDescent="0.3">
      <c r="A53" s="88"/>
      <c r="B53" s="36" t="s">
        <v>255</v>
      </c>
      <c r="C53" s="30">
        <v>0</v>
      </c>
      <c r="D53" s="31" t="s">
        <v>256</v>
      </c>
      <c r="E53" s="101" t="str">
        <f>IF('Cable Calculator'!I5="","",'Cable Calculator'!I5)</f>
        <v>N</v>
      </c>
      <c r="F53" s="88"/>
      <c r="G53" s="322"/>
      <c r="H53" s="47" t="s">
        <v>257</v>
      </c>
      <c r="I53" s="35">
        <f>IF(E51="","0",IF(AND(E48="EUC",E49=432), I52+(203-E50),IF(E51=0,0,(E51+(E49-E50)-1))))</f>
        <v>840</v>
      </c>
      <c r="J53" s="286" t="str">
        <f>IFERROR(IF(OR(E48="EUC",E48="SS"),"---",IF(OR(P47,S47),"NO 2F Tethers for RPX!",IF(OR(P49,S49),"NO 6F Tethers for RPX!","---"))),"---")</f>
        <v>---</v>
      </c>
      <c r="K53" s="287"/>
      <c r="L53" s="288"/>
      <c r="M53" s="286" t="str">
        <f>IF(E50&gt;60,"Dead Count &gt;60: Consider Downsize","---")</f>
        <v>---</v>
      </c>
      <c r="N53" s="287"/>
      <c r="O53" s="287"/>
      <c r="P53" s="287"/>
      <c r="Q53" s="287"/>
      <c r="R53" s="287"/>
      <c r="S53" s="287"/>
      <c r="T53" s="287"/>
      <c r="U53" s="288"/>
      <c r="V53" s="100"/>
      <c r="W53" s="54">
        <f>SUM(P53:U53)</f>
        <v>0</v>
      </c>
      <c r="X53" s="54"/>
      <c r="Y53" s="25"/>
      <c r="Z53" s="45">
        <v>4</v>
      </c>
      <c r="AA53" s="46">
        <v>37</v>
      </c>
      <c r="AB53" s="46">
        <v>48</v>
      </c>
      <c r="AC53" s="25"/>
      <c r="AD53" s="25"/>
      <c r="BA53" s="226"/>
    </row>
    <row r="54" spans="1:53" ht="16.5" thickTop="1" thickBot="1" x14ac:dyDescent="0.3">
      <c r="A54" s="88"/>
      <c r="B54" s="55" t="s">
        <v>258</v>
      </c>
      <c r="C54" s="56">
        <f>SUM(C48:C53)+I47</f>
        <v>432</v>
      </c>
      <c r="D54" s="31" t="s">
        <v>259</v>
      </c>
      <c r="E54" s="101" t="str">
        <f>IF(AS48="Y","DBL",IF(AS49="Y","TRPL",IF(AS50="Y","QUAD","")))</f>
        <v/>
      </c>
      <c r="F54" s="88"/>
      <c r="G54" s="191"/>
      <c r="H54" s="57"/>
      <c r="I54" s="191"/>
      <c r="J54" s="286"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7"/>
      <c r="L54" s="288"/>
      <c r="M54" s="286" t="str">
        <f>IF(AND(OR(E48="SS",E48="RPX",E48="EUC",E48="RPX-T"),(OR(C58="",C58="Field SPL"))),"Cannot have FlexNap cables without tethers","---")</f>
        <v>---</v>
      </c>
      <c r="N54" s="287"/>
      <c r="O54" s="287"/>
      <c r="P54" s="287"/>
      <c r="Q54" s="287"/>
      <c r="R54" s="287"/>
      <c r="S54" s="287"/>
      <c r="T54" s="287"/>
      <c r="U54" s="288"/>
      <c r="V54" s="25"/>
      <c r="W54" s="58"/>
      <c r="X54" s="58"/>
      <c r="Y54" s="25"/>
      <c r="Z54" s="45">
        <v>5</v>
      </c>
      <c r="AA54" s="46">
        <v>49</v>
      </c>
      <c r="AB54" s="46">
        <v>60</v>
      </c>
      <c r="AC54" s="25"/>
      <c r="AD54" s="25"/>
      <c r="BA54" s="226"/>
    </row>
    <row r="55" spans="1:53" ht="16.5" thickTop="1" thickBot="1" x14ac:dyDescent="0.3">
      <c r="A55" s="88"/>
      <c r="B55" s="59"/>
      <c r="C55" s="60"/>
      <c r="D55" s="61"/>
      <c r="E55" s="62"/>
      <c r="F55" s="88"/>
      <c r="G55" s="63"/>
      <c r="H55" s="64"/>
      <c r="I55" s="63"/>
      <c r="J55" s="286" t="str">
        <f>IF(AND(OR(E48="RPX", E48="RPX-T", E48="SS"),E49=216),"NO 216 For RPX, RPX-T, OR SS CABLE","---")</f>
        <v>---</v>
      </c>
      <c r="K55" s="287"/>
      <c r="L55" s="288"/>
      <c r="M55" s="286" t="str" cm="1">
        <f t="array" ref="M55">IF(AND(E48="",OR(C58:C82="FST",C58:C82="REV T",C58:C82="DBL REV",C58:C82="TPL REV", C58:C82="QD REV")),"Non-FlexNap cables cannot have tethers","---")</f>
        <v>---</v>
      </c>
      <c r="N55" s="287"/>
      <c r="O55" s="287"/>
      <c r="P55" s="287"/>
      <c r="Q55" s="287"/>
      <c r="R55" s="287"/>
      <c r="S55" s="287"/>
      <c r="T55" s="287"/>
      <c r="U55" s="288"/>
      <c r="V55" s="25"/>
      <c r="W55" s="58"/>
      <c r="X55" s="58"/>
      <c r="Y55" s="25"/>
      <c r="Z55" s="45">
        <v>6</v>
      </c>
      <c r="AA55" s="65">
        <v>61</v>
      </c>
      <c r="AB55" s="65">
        <v>72</v>
      </c>
      <c r="AC55" s="25"/>
      <c r="AD55" s="25"/>
      <c r="BA55" s="225"/>
    </row>
    <row r="56" spans="1:53" ht="15.75" customHeight="1" thickBot="1" x14ac:dyDescent="0.3">
      <c r="A56" s="88"/>
      <c r="B56" s="321" t="s">
        <v>260</v>
      </c>
      <c r="C56" s="293" t="s">
        <v>261</v>
      </c>
      <c r="D56" s="293" t="s">
        <v>262</v>
      </c>
      <c r="E56" s="306" t="s">
        <v>263</v>
      </c>
      <c r="F56" s="293" t="s">
        <v>264</v>
      </c>
      <c r="G56" s="308" t="s">
        <v>265</v>
      </c>
      <c r="H56" s="308" t="s">
        <v>266</v>
      </c>
      <c r="I56" s="308" t="s">
        <v>267</v>
      </c>
      <c r="J56" s="310" t="s">
        <v>268</v>
      </c>
      <c r="K56" s="293" t="s">
        <v>269</v>
      </c>
      <c r="L56" s="280" t="s">
        <v>270</v>
      </c>
      <c r="M56" s="282" t="s">
        <v>271</v>
      </c>
      <c r="N56" s="282"/>
      <c r="O56" s="282"/>
      <c r="P56" s="282"/>
      <c r="Q56" s="282"/>
      <c r="R56" s="282"/>
      <c r="S56" s="282"/>
      <c r="T56" s="282"/>
      <c r="U56" s="283"/>
      <c r="V56" s="107"/>
      <c r="W56" s="72"/>
      <c r="X56" s="72"/>
      <c r="Y56" s="72"/>
      <c r="Z56" s="45">
        <v>7</v>
      </c>
      <c r="AA56" s="65">
        <v>73</v>
      </c>
      <c r="AB56" s="65">
        <v>84</v>
      </c>
      <c r="AC56" s="25"/>
      <c r="AD56" s="25"/>
      <c r="BA56" s="227"/>
    </row>
    <row r="57" spans="1:53" ht="15.75" thickBot="1" x14ac:dyDescent="0.3">
      <c r="A57" s="88"/>
      <c r="B57" s="322"/>
      <c r="C57" s="294"/>
      <c r="D57" s="294"/>
      <c r="E57" s="307"/>
      <c r="F57" s="294"/>
      <c r="G57" s="309"/>
      <c r="H57" s="309"/>
      <c r="I57" s="309"/>
      <c r="J57" s="311"/>
      <c r="K57" s="294"/>
      <c r="L57" s="281"/>
      <c r="M57" s="284"/>
      <c r="N57" s="284"/>
      <c r="O57" s="284"/>
      <c r="P57" s="284"/>
      <c r="Q57" s="284"/>
      <c r="R57" s="284"/>
      <c r="S57" s="284"/>
      <c r="T57" s="284"/>
      <c r="U57" s="285"/>
      <c r="V57" s="107"/>
      <c r="W57" s="72"/>
      <c r="X57" s="72"/>
      <c r="Y57" s="72"/>
      <c r="Z57" s="45">
        <v>8</v>
      </c>
      <c r="AA57" s="46">
        <v>85</v>
      </c>
      <c r="AB57" s="46">
        <v>96</v>
      </c>
      <c r="AC57" s="25"/>
      <c r="AD57" s="25"/>
      <c r="AI57" s="109" t="s">
        <v>272</v>
      </c>
      <c r="AJ57" s="109" t="s">
        <v>273</v>
      </c>
      <c r="AK57" s="109" t="s">
        <v>274</v>
      </c>
      <c r="AL57" s="109" t="s">
        <v>275</v>
      </c>
      <c r="BA57" s="227"/>
    </row>
    <row r="58" spans="1:53" ht="15.75" thickBot="1" x14ac:dyDescent="0.3">
      <c r="A58" s="88"/>
      <c r="B58" s="66" t="s">
        <v>276</v>
      </c>
      <c r="C58" s="67" t="s">
        <v>502</v>
      </c>
      <c r="D58" s="102"/>
      <c r="E58" s="32">
        <v>144</v>
      </c>
      <c r="F58" s="32"/>
      <c r="G58" s="68" t="s">
        <v>277</v>
      </c>
      <c r="H58" s="69">
        <f>IF(I58=0,0,I58-(E58-1))</f>
        <v>697</v>
      </c>
      <c r="I58" s="70">
        <f>IF(E58=0,0,I53)</f>
        <v>840</v>
      </c>
      <c r="J58" s="71" t="s">
        <v>278</v>
      </c>
      <c r="K58" s="32"/>
      <c r="L58" s="232"/>
      <c r="M58" s="278" t="s">
        <v>405</v>
      </c>
      <c r="N58" s="278"/>
      <c r="O58" s="278"/>
      <c r="P58" s="278"/>
      <c r="Q58" s="278"/>
      <c r="R58" s="278"/>
      <c r="S58" s="278"/>
      <c r="T58" s="278"/>
      <c r="U58" s="279"/>
      <c r="V58" s="103"/>
      <c r="W58" s="72"/>
      <c r="X58" s="72"/>
      <c r="Y58" s="72"/>
      <c r="Z58" s="45">
        <v>9</v>
      </c>
      <c r="AA58" s="46">
        <v>97</v>
      </c>
      <c r="AB58" s="46">
        <v>108</v>
      </c>
      <c r="AC58" s="72">
        <f t="shared" ref="AC58:AC82" si="17">IF(B58&lt;&gt;"FST",1,0)</f>
        <v>1</v>
      </c>
      <c r="AD58" s="72">
        <f t="shared" ref="AD58:AD82" si="18">IF(C58&lt;&gt;"FST",1,0)</f>
        <v>1</v>
      </c>
      <c r="AE58" s="109" t="str">
        <f t="shared" ref="AE58:AE82" si="19">CONCATENATE(H58,"-",I58)</f>
        <v>697-840</v>
      </c>
      <c r="AF58" s="109" t="str">
        <f t="shared" ref="AF58:AF82" si="20">IF(C58="Field SPL","N","Y")</f>
        <v>N</v>
      </c>
      <c r="AG58" s="109" t="str">
        <f t="shared" ref="AG58:AG82" si="21">IF(OR(E$48="RPX",E$48="SS"),"A","B")</f>
        <v>B</v>
      </c>
      <c r="AH58" s="109">
        <v>2</v>
      </c>
      <c r="AI58" s="109" t="str">
        <f>IF(E48="SS",COUNTIFS(C58:C82,"TCF",E58:E82,"2"),"")</f>
        <v/>
      </c>
      <c r="AJ58" s="109" t="str">
        <f>IF(E48="RPX",COUNTIFS(C58:C82,"TCF",E58:E82,"2"),"")</f>
        <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8">
        <f>MOD(E58,12)</f>
        <v>0</v>
      </c>
    </row>
    <row r="59" spans="1:53" ht="15.75" thickBot="1" x14ac:dyDescent="0.3">
      <c r="A59" s="88"/>
      <c r="B59" s="66" t="s">
        <v>279</v>
      </c>
      <c r="C59" s="67" t="s">
        <v>502</v>
      </c>
      <c r="D59" s="102"/>
      <c r="E59" s="32">
        <v>216</v>
      </c>
      <c r="F59" s="32"/>
      <c r="G59" s="68" t="s">
        <v>277</v>
      </c>
      <c r="H59" s="69">
        <f t="shared" ref="H59:H82" si="26">IF(E59=0,0,I59-(E59-1))</f>
        <v>481</v>
      </c>
      <c r="I59" s="70">
        <f t="shared" ref="I59:I82" si="27">IF(E59=0,0,H58-1)</f>
        <v>696</v>
      </c>
      <c r="J59" s="73" t="str">
        <f>IF(C59="","--",IF(AND(C59&lt;&gt;"FST",C59&lt;&gt;"TCF",BA58&lt;&gt;0),BA58,"--"))</f>
        <v>--</v>
      </c>
      <c r="K59" s="32"/>
      <c r="L59" s="232"/>
      <c r="M59" s="278" t="s">
        <v>406</v>
      </c>
      <c r="N59" s="278"/>
      <c r="O59" s="278"/>
      <c r="P59" s="278"/>
      <c r="Q59" s="278"/>
      <c r="R59" s="278"/>
      <c r="S59" s="278"/>
      <c r="T59" s="278"/>
      <c r="U59" s="279"/>
      <c r="V59" s="103"/>
      <c r="W59" s="72"/>
      <c r="X59" s="72"/>
      <c r="Y59" s="72"/>
      <c r="Z59" s="45">
        <v>10</v>
      </c>
      <c r="AA59" s="46">
        <v>109</v>
      </c>
      <c r="AB59" s="46">
        <v>120</v>
      </c>
      <c r="AC59" s="72">
        <f t="shared" si="17"/>
        <v>1</v>
      </c>
      <c r="AD59" s="72">
        <f t="shared" si="18"/>
        <v>1</v>
      </c>
      <c r="AE59" s="109" t="str">
        <f t="shared" si="19"/>
        <v>481-696</v>
      </c>
      <c r="AF59" s="109" t="str">
        <f t="shared" si="20"/>
        <v>N</v>
      </c>
      <c r="AG59" s="109" t="str">
        <f t="shared" si="21"/>
        <v>B</v>
      </c>
      <c r="AH59" s="109">
        <v>4</v>
      </c>
      <c r="AI59" s="109" t="str">
        <f>IF(E48="SS",COUNTIFS(C58:C82,"TCF",E58:E82,"4"),"")</f>
        <v/>
      </c>
      <c r="AJ59" s="109" t="str">
        <f>IF(E48="RPX",COUNTIFS(C58:C82,"TCF",E58:E82,"4"),"")</f>
        <v/>
      </c>
      <c r="AK59" s="109" t="str">
        <f>IF(E48="RPX-T",COUNTIFS(C58:C82,"TCF",E58:E82,"4"),"")</f>
        <v/>
      </c>
      <c r="AL59" s="109" t="str">
        <f>IF(E48="EUC",COUNTIFS(C58:C82,"TCF",E58:E82,"4"),"")</f>
        <v/>
      </c>
      <c r="AM59" s="109">
        <f t="shared" si="22"/>
        <v>0</v>
      </c>
      <c r="AN59" s="109">
        <f t="shared" si="23"/>
        <v>0</v>
      </c>
      <c r="AO59" s="109" t="str">
        <f t="shared" si="24"/>
        <v/>
      </c>
      <c r="AQ59" s="109" t="str">
        <f t="shared" si="25"/>
        <v/>
      </c>
      <c r="BA59" s="228">
        <f>MOD(SUM(E58:E59),12)</f>
        <v>0</v>
      </c>
    </row>
    <row r="60" spans="1:53" ht="15.75" thickBot="1" x14ac:dyDescent="0.3">
      <c r="A60" s="88"/>
      <c r="B60" s="74" t="s">
        <v>280</v>
      </c>
      <c r="C60" s="67" t="s">
        <v>502</v>
      </c>
      <c r="D60" s="102"/>
      <c r="E60" s="32">
        <v>60</v>
      </c>
      <c r="F60" s="32"/>
      <c r="G60" s="75" t="s">
        <v>277</v>
      </c>
      <c r="H60" s="69">
        <f t="shared" si="26"/>
        <v>421</v>
      </c>
      <c r="I60" s="70">
        <f t="shared" si="27"/>
        <v>480</v>
      </c>
      <c r="J60" s="73" t="str">
        <f t="shared" ref="J60:J82" si="28">IF(C60="","--",IF(AND(C60&lt;&gt;"FST",C60&lt;&gt;"TCF",BA59&lt;&gt;0),BA59,"--"))</f>
        <v>--</v>
      </c>
      <c r="K60" s="32"/>
      <c r="L60" s="232"/>
      <c r="M60" s="278" t="s">
        <v>406</v>
      </c>
      <c r="N60" s="278"/>
      <c r="O60" s="278"/>
      <c r="P60" s="278"/>
      <c r="Q60" s="278"/>
      <c r="R60" s="278"/>
      <c r="S60" s="278"/>
      <c r="T60" s="278"/>
      <c r="U60" s="279"/>
      <c r="V60" s="103"/>
      <c r="W60" s="72"/>
      <c r="X60" s="72"/>
      <c r="Y60" s="72"/>
      <c r="Z60" s="45">
        <v>11</v>
      </c>
      <c r="AA60" s="46">
        <v>121</v>
      </c>
      <c r="AB60" s="46">
        <v>132</v>
      </c>
      <c r="AC60" s="72">
        <f t="shared" si="17"/>
        <v>1</v>
      </c>
      <c r="AD60" s="72">
        <f t="shared" si="18"/>
        <v>1</v>
      </c>
      <c r="AE60" s="109" t="str">
        <f t="shared" si="19"/>
        <v>421-480</v>
      </c>
      <c r="AF60" s="109" t="str">
        <f t="shared" si="20"/>
        <v>N</v>
      </c>
      <c r="AG60" s="109" t="str">
        <f t="shared" si="21"/>
        <v>B</v>
      </c>
      <c r="AH60" s="109">
        <v>6</v>
      </c>
      <c r="AI60" s="109" t="str">
        <f>IF(E48="SS",COUNTIFS(C58:C82,"TCF",E58:E82,"6"),"")</f>
        <v/>
      </c>
      <c r="AJ60" s="109" t="str">
        <f>IF(E48="RPX",COUNTIFS(C58:C82,"TCF",E58:E82,"6"),"")</f>
        <v/>
      </c>
      <c r="AK60" s="109" t="str">
        <f>IF(E48="RPX-T",COUNTIFS(C58:C82,"TCF",E58:E82,"6"),"")</f>
        <v/>
      </c>
      <c r="AL60" s="109" t="str">
        <f>IF(E48="EUC",COUNTIFS(C58:C82,"TCF",E58:E82,"6"),"")</f>
        <v/>
      </c>
      <c r="AM60" s="109">
        <f t="shared" si="22"/>
        <v>0</v>
      </c>
      <c r="AN60" s="109">
        <f t="shared" si="23"/>
        <v>0</v>
      </c>
      <c r="AO60" s="109" t="str">
        <f t="shared" si="24"/>
        <v/>
      </c>
      <c r="AQ60" s="109" t="str">
        <f t="shared" si="25"/>
        <v/>
      </c>
      <c r="BA60" s="228">
        <f>MOD(SUM(E58:E61),12)</f>
        <v>0</v>
      </c>
    </row>
    <row r="61" spans="1:53" ht="15.75" thickBot="1" x14ac:dyDescent="0.3">
      <c r="A61" s="88"/>
      <c r="B61" s="66" t="s">
        <v>281</v>
      </c>
      <c r="C61" s="67" t="s">
        <v>502</v>
      </c>
      <c r="D61" s="102" t="s">
        <v>797</v>
      </c>
      <c r="E61" s="32">
        <v>12</v>
      </c>
      <c r="F61" s="32"/>
      <c r="G61" s="68" t="s">
        <v>277</v>
      </c>
      <c r="H61" s="69">
        <f t="shared" si="26"/>
        <v>409</v>
      </c>
      <c r="I61" s="70">
        <f t="shared" si="27"/>
        <v>420</v>
      </c>
      <c r="J61" s="73" t="str">
        <f t="shared" si="28"/>
        <v>--</v>
      </c>
      <c r="K61" s="32"/>
      <c r="L61" s="232"/>
      <c r="M61" s="278" t="s">
        <v>783</v>
      </c>
      <c r="N61" s="278"/>
      <c r="O61" s="278"/>
      <c r="P61" s="278"/>
      <c r="Q61" s="278"/>
      <c r="R61" s="278"/>
      <c r="S61" s="278"/>
      <c r="T61" s="278"/>
      <c r="U61" s="279"/>
      <c r="V61" s="103"/>
      <c r="W61" s="72"/>
      <c r="X61" s="72"/>
      <c r="Y61" s="72"/>
      <c r="Z61" s="45">
        <v>12</v>
      </c>
      <c r="AA61" s="76">
        <v>133</v>
      </c>
      <c r="AB61" s="76">
        <v>144</v>
      </c>
      <c r="AC61" s="72">
        <f t="shared" si="17"/>
        <v>1</v>
      </c>
      <c r="AD61" s="72">
        <f t="shared" si="18"/>
        <v>1</v>
      </c>
      <c r="AE61" s="109" t="str">
        <f t="shared" si="19"/>
        <v>409-420</v>
      </c>
      <c r="AF61" s="109" t="str">
        <f t="shared" si="20"/>
        <v>N</v>
      </c>
      <c r="AG61" s="109" t="str">
        <f t="shared" si="21"/>
        <v>B</v>
      </c>
      <c r="AH61" s="109">
        <v>8</v>
      </c>
      <c r="AI61" s="109" t="str">
        <f>IF(E48="SS",COUNTIFS(C58:C82,"TCF",E58:E82,"8"),"")</f>
        <v/>
      </c>
      <c r="AJ61" s="109" t="str">
        <f>IF(E48="RPX",COUNTIFS(C58:C82,"TCF",E58:E82,"8"),"")</f>
        <v/>
      </c>
      <c r="AK61" s="109" t="str">
        <f>IF(E48="RPX-T",COUNTIFS(C58:C82,"TCF",E58:E82,"8"),"")</f>
        <v/>
      </c>
      <c r="AL61" s="109" t="str">
        <f>IF(E48="EUC",COUNTIFS(C58:C82,"TCF",E58:E82,"8"),"")</f>
        <v/>
      </c>
      <c r="AM61" s="109">
        <f t="shared" si="22"/>
        <v>0</v>
      </c>
      <c r="AN61" s="109">
        <f t="shared" si="23"/>
        <v>0</v>
      </c>
      <c r="AO61" s="109" t="str">
        <f t="shared" si="24"/>
        <v/>
      </c>
      <c r="AQ61" s="109" t="str">
        <f t="shared" si="25"/>
        <v/>
      </c>
      <c r="BA61" s="228">
        <f>MOD(SUM(E58:E62),12)</f>
        <v>0</v>
      </c>
    </row>
    <row r="62" spans="1:53" ht="15.75" thickBot="1" x14ac:dyDescent="0.3">
      <c r="A62" s="88"/>
      <c r="B62" s="66" t="s">
        <v>282</v>
      </c>
      <c r="C62" s="67"/>
      <c r="D62" s="102"/>
      <c r="E62" s="32"/>
      <c r="F62" s="32"/>
      <c r="G62" s="68" t="s">
        <v>277</v>
      </c>
      <c r="H62" s="69">
        <f t="shared" si="26"/>
        <v>0</v>
      </c>
      <c r="I62" s="70">
        <f t="shared" si="27"/>
        <v>0</v>
      </c>
      <c r="J62" s="73" t="str">
        <f t="shared" si="28"/>
        <v>--</v>
      </c>
      <c r="K62" s="32"/>
      <c r="L62" s="232"/>
      <c r="M62" s="278"/>
      <c r="N62" s="278"/>
      <c r="O62" s="278"/>
      <c r="P62" s="278"/>
      <c r="Q62" s="278"/>
      <c r="R62" s="278"/>
      <c r="S62" s="278"/>
      <c r="T62" s="278"/>
      <c r="U62" s="279"/>
      <c r="V62" s="103"/>
      <c r="W62" s="72"/>
      <c r="X62" s="72"/>
      <c r="Y62" s="72"/>
      <c r="Z62" s="45">
        <v>13</v>
      </c>
      <c r="AA62" s="77">
        <f t="shared" ref="AA62:AA67" si="29">AB61+1</f>
        <v>145</v>
      </c>
      <c r="AB62" s="77">
        <f t="shared" ref="AB62:AB67" si="30">AB61+12</f>
        <v>156</v>
      </c>
      <c r="AC62" s="72">
        <f t="shared" si="17"/>
        <v>1</v>
      </c>
      <c r="AD62" s="72">
        <f t="shared" si="18"/>
        <v>1</v>
      </c>
      <c r="AE62" s="109" t="str">
        <f t="shared" si="19"/>
        <v>0-0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t="str">
        <f>IF(E48="EUC",COUNTIFS(C58:C82,"TCF",E58:E82,"12"),"")</f>
        <v/>
      </c>
      <c r="AM62" s="109">
        <f t="shared" si="22"/>
        <v>0</v>
      </c>
      <c r="AN62" s="109">
        <f t="shared" si="23"/>
        <v>0</v>
      </c>
      <c r="AO62" s="109" t="str">
        <f t="shared" si="24"/>
        <v/>
      </c>
      <c r="AQ62" s="109" t="str">
        <f t="shared" si="25"/>
        <v/>
      </c>
      <c r="BA62" s="228">
        <f>MOD(SUM(E58:E63),12)</f>
        <v>0</v>
      </c>
    </row>
    <row r="63" spans="1:53" ht="15.75" thickBot="1" x14ac:dyDescent="0.3">
      <c r="A63" s="88"/>
      <c r="B63" s="66" t="s">
        <v>283</v>
      </c>
      <c r="C63" s="67"/>
      <c r="D63" s="254"/>
      <c r="E63" s="32"/>
      <c r="F63" s="32"/>
      <c r="G63" s="68" t="s">
        <v>277</v>
      </c>
      <c r="H63" s="69">
        <f t="shared" si="26"/>
        <v>0</v>
      </c>
      <c r="I63" s="70">
        <f t="shared" si="27"/>
        <v>0</v>
      </c>
      <c r="J63" s="73" t="str">
        <f t="shared" si="28"/>
        <v>--</v>
      </c>
      <c r="K63" s="32"/>
      <c r="L63" s="232"/>
      <c r="M63" s="278"/>
      <c r="N63" s="278"/>
      <c r="O63" s="278"/>
      <c r="P63" s="278"/>
      <c r="Q63" s="278"/>
      <c r="R63" s="278"/>
      <c r="S63" s="278"/>
      <c r="T63" s="278"/>
      <c r="U63" s="279"/>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8">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2"/>
      <c r="M64" s="278"/>
      <c r="N64" s="278"/>
      <c r="O64" s="278"/>
      <c r="P64" s="278"/>
      <c r="Q64" s="278"/>
      <c r="R64" s="278"/>
      <c r="S64" s="278"/>
      <c r="T64" s="278"/>
      <c r="U64" s="279"/>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8">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2"/>
      <c r="M65" s="278"/>
      <c r="N65" s="278"/>
      <c r="O65" s="278"/>
      <c r="P65" s="278"/>
      <c r="Q65" s="278"/>
      <c r="R65" s="278"/>
      <c r="S65" s="278"/>
      <c r="T65" s="278"/>
      <c r="U65" s="279"/>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8">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2"/>
      <c r="M66" s="278"/>
      <c r="N66" s="278"/>
      <c r="O66" s="278"/>
      <c r="P66" s="278"/>
      <c r="Q66" s="278"/>
      <c r="R66" s="278"/>
      <c r="S66" s="278"/>
      <c r="T66" s="278"/>
      <c r="U66" s="279"/>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8">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2"/>
      <c r="M67" s="278"/>
      <c r="N67" s="278"/>
      <c r="O67" s="278"/>
      <c r="P67" s="278"/>
      <c r="Q67" s="278"/>
      <c r="R67" s="278"/>
      <c r="S67" s="278"/>
      <c r="T67" s="278"/>
      <c r="U67" s="279"/>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8">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2"/>
      <c r="M68" s="278"/>
      <c r="N68" s="278"/>
      <c r="O68" s="278"/>
      <c r="P68" s="278"/>
      <c r="Q68" s="278"/>
      <c r="R68" s="278"/>
      <c r="S68" s="278"/>
      <c r="T68" s="278"/>
      <c r="U68" s="279"/>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8">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2"/>
      <c r="M69" s="278"/>
      <c r="N69" s="278"/>
      <c r="O69" s="278"/>
      <c r="P69" s="278"/>
      <c r="Q69" s="278"/>
      <c r="R69" s="278"/>
      <c r="S69" s="278"/>
      <c r="T69" s="278"/>
      <c r="U69" s="279"/>
      <c r="V69" s="103"/>
      <c r="W69" s="84">
        <f>Y69+1</f>
        <v>433</v>
      </c>
      <c r="X69" s="84"/>
      <c r="Y69" s="78">
        <f>SUM(E58:E69)</f>
        <v>432</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8">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2"/>
      <c r="M70" s="278"/>
      <c r="N70" s="278"/>
      <c r="O70" s="278"/>
      <c r="P70" s="278"/>
      <c r="Q70" s="278"/>
      <c r="R70" s="278"/>
      <c r="S70" s="278"/>
      <c r="T70" s="278"/>
      <c r="U70" s="279"/>
      <c r="V70" s="103"/>
      <c r="W70" s="84">
        <f>Y70+1</f>
        <v>433</v>
      </c>
      <c r="X70" s="84"/>
      <c r="Y70" s="78">
        <f>SUM(E58:E70)</f>
        <v>432</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8">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2"/>
      <c r="M71" s="278"/>
      <c r="N71" s="278"/>
      <c r="O71" s="278"/>
      <c r="P71" s="278"/>
      <c r="Q71" s="278"/>
      <c r="R71" s="278"/>
      <c r="S71" s="278"/>
      <c r="T71" s="278"/>
      <c r="U71" s="279"/>
      <c r="V71" s="103"/>
      <c r="W71" s="84">
        <f>Y71+1</f>
        <v>433</v>
      </c>
      <c r="X71" s="84"/>
      <c r="Y71" s="78">
        <f>SUM(E58:E71)</f>
        <v>432</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8">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2"/>
      <c r="M72" s="278"/>
      <c r="N72" s="278"/>
      <c r="O72" s="278"/>
      <c r="P72" s="278"/>
      <c r="Q72" s="278"/>
      <c r="R72" s="278"/>
      <c r="S72" s="278"/>
      <c r="T72" s="278"/>
      <c r="U72" s="279"/>
      <c r="V72" s="103"/>
      <c r="W72" s="84">
        <f>Y72+1</f>
        <v>433</v>
      </c>
      <c r="X72" s="84"/>
      <c r="Y72" s="78">
        <f>SUM(E58:E72)</f>
        <v>432</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8">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2"/>
      <c r="M73" s="278"/>
      <c r="N73" s="278"/>
      <c r="O73" s="278"/>
      <c r="P73" s="278"/>
      <c r="Q73" s="278"/>
      <c r="R73" s="278"/>
      <c r="S73" s="278"/>
      <c r="T73" s="278"/>
      <c r="U73" s="279"/>
      <c r="V73" s="103"/>
      <c r="W73" s="84">
        <f t="shared" ref="W73:W81" si="33">Y73+1</f>
        <v>433</v>
      </c>
      <c r="X73" s="84"/>
      <c r="Y73" s="78">
        <f>SUM(E58:E73)</f>
        <v>432</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8">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2"/>
      <c r="M74" s="278"/>
      <c r="N74" s="278"/>
      <c r="O74" s="278"/>
      <c r="P74" s="278"/>
      <c r="Q74" s="278"/>
      <c r="R74" s="278"/>
      <c r="S74" s="278"/>
      <c r="T74" s="278"/>
      <c r="U74" s="279"/>
      <c r="V74" s="103"/>
      <c r="W74" s="84">
        <f t="shared" si="33"/>
        <v>433</v>
      </c>
      <c r="X74" s="84"/>
      <c r="Y74" s="78">
        <f>SUM(E58:E74)</f>
        <v>432</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8">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2"/>
      <c r="M75" s="278"/>
      <c r="N75" s="278"/>
      <c r="O75" s="278"/>
      <c r="P75" s="278"/>
      <c r="Q75" s="278"/>
      <c r="R75" s="278"/>
      <c r="S75" s="278"/>
      <c r="T75" s="278"/>
      <c r="U75" s="279"/>
      <c r="V75" s="103"/>
      <c r="W75" s="84">
        <f t="shared" si="33"/>
        <v>433</v>
      </c>
      <c r="X75" s="84"/>
      <c r="Y75" s="78">
        <f>SUM(E58:E75)</f>
        <v>432</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8">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2"/>
      <c r="M76" s="278"/>
      <c r="N76" s="278"/>
      <c r="O76" s="278"/>
      <c r="P76" s="278"/>
      <c r="Q76" s="278"/>
      <c r="R76" s="278"/>
      <c r="S76" s="278"/>
      <c r="T76" s="278"/>
      <c r="U76" s="279"/>
      <c r="V76" s="103"/>
      <c r="W76" s="84">
        <f t="shared" si="33"/>
        <v>433</v>
      </c>
      <c r="X76" s="84"/>
      <c r="Y76" s="78">
        <f>SUM(E58:E76)</f>
        <v>432</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8">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2"/>
      <c r="M77" s="278"/>
      <c r="N77" s="278"/>
      <c r="O77" s="278"/>
      <c r="P77" s="278"/>
      <c r="Q77" s="278"/>
      <c r="R77" s="278"/>
      <c r="S77" s="278"/>
      <c r="T77" s="278"/>
      <c r="U77" s="279"/>
      <c r="V77" s="103"/>
      <c r="W77" s="84">
        <f t="shared" si="33"/>
        <v>433</v>
      </c>
      <c r="X77" s="84"/>
      <c r="Y77" s="78">
        <f>SUM(E58:E77)</f>
        <v>432</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8">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2"/>
      <c r="M78" s="278"/>
      <c r="N78" s="278"/>
      <c r="O78" s="278"/>
      <c r="P78" s="278"/>
      <c r="Q78" s="278"/>
      <c r="R78" s="278"/>
      <c r="S78" s="278"/>
      <c r="T78" s="278"/>
      <c r="U78" s="279"/>
      <c r="V78" s="103"/>
      <c r="W78" s="84">
        <f t="shared" si="33"/>
        <v>433</v>
      </c>
      <c r="X78" s="84"/>
      <c r="Y78" s="78">
        <f>SUM(E58:E78)</f>
        <v>432</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8">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2"/>
      <c r="M79" s="278"/>
      <c r="N79" s="278"/>
      <c r="O79" s="278"/>
      <c r="P79" s="278"/>
      <c r="Q79" s="278"/>
      <c r="R79" s="278"/>
      <c r="S79" s="278"/>
      <c r="T79" s="278"/>
      <c r="U79" s="279"/>
      <c r="V79" s="103"/>
      <c r="W79" s="84">
        <f t="shared" si="33"/>
        <v>433</v>
      </c>
      <c r="X79" s="84"/>
      <c r="Y79" s="78">
        <f>SUM(E58:E79)</f>
        <v>432</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8">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2"/>
      <c r="M80" s="278"/>
      <c r="N80" s="278"/>
      <c r="O80" s="278"/>
      <c r="P80" s="278"/>
      <c r="Q80" s="278"/>
      <c r="R80" s="278"/>
      <c r="S80" s="278"/>
      <c r="T80" s="278"/>
      <c r="U80" s="279"/>
      <c r="V80" s="103"/>
      <c r="W80" s="84">
        <f t="shared" si="33"/>
        <v>433</v>
      </c>
      <c r="X80" s="84"/>
      <c r="Y80" s="78">
        <f>SUM(E58:E80)</f>
        <v>432</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8">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2"/>
      <c r="M81" s="278"/>
      <c r="N81" s="278"/>
      <c r="O81" s="278"/>
      <c r="P81" s="278"/>
      <c r="Q81" s="278"/>
      <c r="R81" s="278"/>
      <c r="S81" s="278"/>
      <c r="T81" s="278"/>
      <c r="U81" s="279"/>
      <c r="V81" s="103"/>
      <c r="W81" s="84">
        <f t="shared" si="33"/>
        <v>433</v>
      </c>
      <c r="X81" s="84"/>
      <c r="Y81" s="78">
        <f>SUM(E58:E81)</f>
        <v>432</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8">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3"/>
      <c r="M82" s="278"/>
      <c r="N82" s="278"/>
      <c r="O82" s="278"/>
      <c r="P82" s="278"/>
      <c r="Q82" s="278"/>
      <c r="R82" s="278"/>
      <c r="S82" s="278"/>
      <c r="T82" s="278"/>
      <c r="U82" s="279"/>
      <c r="V82" s="103"/>
      <c r="W82" s="72"/>
      <c r="X82" s="72"/>
      <c r="Y82" s="78">
        <f>SUM(E58:E82)</f>
        <v>432</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7"/>
    </row>
    <row r="83" spans="1:53" ht="16.5" thickBot="1" x14ac:dyDescent="0.3">
      <c r="A83" s="88"/>
      <c r="B83" s="319" t="s">
        <v>305</v>
      </c>
      <c r="C83" s="320"/>
      <c r="D83" s="79"/>
      <c r="E83" s="80"/>
      <c r="F83" s="80"/>
      <c r="G83" s="81"/>
      <c r="H83" s="191"/>
      <c r="I83" s="191"/>
      <c r="J83" s="191"/>
      <c r="K83" s="82"/>
      <c r="L83" s="319" t="s">
        <v>306</v>
      </c>
      <c r="M83" s="330"/>
      <c r="N83" s="330"/>
      <c r="O83" s="330"/>
      <c r="P83" s="330"/>
      <c r="Q83" s="330"/>
      <c r="R83" s="330"/>
      <c r="S83" s="330"/>
      <c r="T83" s="330"/>
      <c r="U83" s="320"/>
      <c r="V83" s="104"/>
      <c r="W83" s="72"/>
      <c r="X83" s="72"/>
      <c r="Y83" s="72"/>
      <c r="Z83" s="72"/>
      <c r="AA83" s="72" t="str">
        <f t="shared" si="32"/>
        <v/>
      </c>
      <c r="AB83" s="72"/>
      <c r="AC83" s="72">
        <f>SUM(AC58:AC82)</f>
        <v>25</v>
      </c>
      <c r="AD83" s="72">
        <f>SUM(AD58:AD82)</f>
        <v>25</v>
      </c>
      <c r="AM83" s="109">
        <f>SUM(AM58:AM82)</f>
        <v>0</v>
      </c>
      <c r="AN83" s="109">
        <f>SUM(AN58:AN82)</f>
        <v>0</v>
      </c>
      <c r="AO83" s="109">
        <f>((COUNTIF(AO58:AO82,"Y")/3)*2)</f>
        <v>0</v>
      </c>
      <c r="AP83" s="109">
        <f>(COUNTIF(AO58:AO82,"Y")/3)</f>
        <v>0</v>
      </c>
      <c r="AQ83" s="109">
        <f>(COUNTIF(AQ58:AQ82,"Y")/2)</f>
        <v>0</v>
      </c>
      <c r="AR83" s="109">
        <f>(COUNTIF(AQ58:AQ82,"Y")/2)</f>
        <v>0</v>
      </c>
      <c r="BA83" s="227"/>
    </row>
    <row r="84" spans="1:53" ht="16.5" thickBot="1" x14ac:dyDescent="0.3">
      <c r="A84" s="88"/>
      <c r="B84" s="319" t="s">
        <v>307</v>
      </c>
      <c r="C84" s="320"/>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5"/>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5" t="s">
        <v>210</v>
      </c>
      <c r="N87" s="195" t="s">
        <v>211</v>
      </c>
      <c r="O87" s="195" t="s">
        <v>212</v>
      </c>
      <c r="P87" s="195" t="s">
        <v>213</v>
      </c>
      <c r="Q87" s="195" t="s">
        <v>214</v>
      </c>
      <c r="R87" s="195" t="s">
        <v>215</v>
      </c>
      <c r="S87" s="195" t="s">
        <v>216</v>
      </c>
      <c r="T87" s="195" t="s">
        <v>217</v>
      </c>
      <c r="U87" s="195" t="s">
        <v>218</v>
      </c>
      <c r="V87" s="195" t="s">
        <v>219</v>
      </c>
      <c r="W87" s="113" t="s">
        <v>220</v>
      </c>
      <c r="X87" s="195" t="s">
        <v>221</v>
      </c>
      <c r="Y87" s="25"/>
      <c r="Z87" s="25"/>
      <c r="AA87" s="25"/>
      <c r="AB87" s="25"/>
      <c r="AC87" s="25"/>
      <c r="AD87" s="25"/>
      <c r="BA87" s="225"/>
    </row>
    <row r="88" spans="1:53" ht="16.5" thickTop="1" thickBot="1" x14ac:dyDescent="0.3">
      <c r="A88" s="88"/>
      <c r="B88" s="312" t="s">
        <v>222</v>
      </c>
      <c r="C88" s="313"/>
      <c r="D88" s="314" t="s">
        <v>223</v>
      </c>
      <c r="E88" s="305"/>
      <c r="F88" s="88"/>
      <c r="G88" s="315" t="s">
        <v>224</v>
      </c>
      <c r="H88" s="316"/>
      <c r="I88" s="28">
        <f>SUM(E99:E123)</f>
        <v>144</v>
      </c>
      <c r="J88" s="317" t="s">
        <v>225</v>
      </c>
      <c r="K88" s="318"/>
      <c r="L88" s="305"/>
      <c r="M88" s="195">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5" t="s">
        <v>226</v>
      </c>
      <c r="AA88" s="296"/>
      <c r="AB88" s="297"/>
      <c r="AC88" s="25"/>
      <c r="AD88" s="25"/>
      <c r="AH88" s="109">
        <v>2</v>
      </c>
      <c r="AI88" s="109" t="str">
        <f>IF($E89="SS",COUNTIFS($C99:$C123,"FST",$E99:$E123,"2"),"0")</f>
        <v>0</v>
      </c>
      <c r="AJ88" s="109">
        <f>IF($E89="RPX",COUNTIFS($C99:$C123,"FST",$E99:$E123,"2"),"0")</f>
        <v>0</v>
      </c>
      <c r="AK88" s="109" t="str">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5"/>
    </row>
    <row r="89" spans="1:53" ht="16.5" customHeight="1" thickTop="1" thickBot="1" x14ac:dyDescent="0.3">
      <c r="A89" s="88"/>
      <c r="B89" s="29" t="s">
        <v>228</v>
      </c>
      <c r="C89" s="30">
        <v>0</v>
      </c>
      <c r="D89" s="31" t="s">
        <v>229</v>
      </c>
      <c r="E89" s="66" t="str">
        <f>TEXT(IF('Cable Calculator'!N7="","",'Cable Calculator'!N7),)</f>
        <v>RPX</v>
      </c>
      <c r="F89" s="88"/>
      <c r="G89" s="304" t="s">
        <v>230</v>
      </c>
      <c r="H89" s="305"/>
      <c r="I89" s="33">
        <f>E90-I88</f>
        <v>0</v>
      </c>
      <c r="J89" s="289" t="s">
        <v>231</v>
      </c>
      <c r="K89" s="290"/>
      <c r="L89" s="34">
        <f>I93</f>
        <v>697</v>
      </c>
      <c r="M89" s="195">
        <v>4</v>
      </c>
      <c r="N89" s="35">
        <f>SUM(AI89,AI100)</f>
        <v>0</v>
      </c>
      <c r="O89" s="35">
        <v>0</v>
      </c>
      <c r="P89" s="35">
        <f>SUM(AJ89,AJ100)</f>
        <v>1</v>
      </c>
      <c r="Q89" s="35">
        <v>0</v>
      </c>
      <c r="R89" s="35">
        <f>COUNTIFS($E99:$E123,"4",$F99:$F123,"Pole",$C99:$C123,"FST")</f>
        <v>1</v>
      </c>
      <c r="S89" s="35">
        <f>SUM(AL89,AK100)</f>
        <v>0</v>
      </c>
      <c r="T89" s="35">
        <v>0</v>
      </c>
      <c r="U89" s="35">
        <f>SUM(AK89,AL100)</f>
        <v>0</v>
      </c>
      <c r="V89" s="35">
        <v>0</v>
      </c>
      <c r="W89" s="34">
        <f>COUNTIFS($E99:$E123,"4",$F99:$F123,"HH",$C99:$C123,"FST")</f>
        <v>0</v>
      </c>
      <c r="X89" s="35">
        <f>COUNTIFS($E99:$E123,"4",$F99:$F123,"Ped",$C99:$C123,"FST")</f>
        <v>0</v>
      </c>
      <c r="Y89" s="25"/>
      <c r="Z89" s="298" t="s">
        <v>232</v>
      </c>
      <c r="AA89" s="300" t="s">
        <v>233</v>
      </c>
      <c r="AB89" s="301"/>
      <c r="AC89" s="25"/>
      <c r="AD89" s="25"/>
      <c r="AH89" s="109">
        <v>4</v>
      </c>
      <c r="AI89" s="109" t="str">
        <f>IF($E89="SS",COUNTIFS($C99:$C123,"FST",$E99:$E123,"4"),"0")</f>
        <v>0</v>
      </c>
      <c r="AJ89" s="109">
        <f>IF($E89="RPX",COUNTIFS($C99:$C123,"FST",$E99:$E123,"4"),"0")</f>
        <v>1</v>
      </c>
      <c r="AK89" s="109" t="str">
        <f>IF($E89="EUC",COUNTIFS($C99:$C123,"FST",$E99:$E123,"4"),"0")</f>
        <v>0</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6"/>
    </row>
    <row r="90" spans="1:53" ht="16.5" thickTop="1" thickBot="1" x14ac:dyDescent="0.3">
      <c r="A90" s="88"/>
      <c r="B90" s="36" t="s">
        <v>235</v>
      </c>
      <c r="C90" s="37">
        <v>0</v>
      </c>
      <c r="D90" s="38" t="s">
        <v>236</v>
      </c>
      <c r="E90" s="32">
        <v>144</v>
      </c>
      <c r="F90" s="88"/>
      <c r="G90" s="291" t="s">
        <v>237</v>
      </c>
      <c r="H90" s="292"/>
      <c r="I90" s="35">
        <f>IF(E90=0,0,12-(MOD(I88,12)))</f>
        <v>12</v>
      </c>
      <c r="J90" s="289" t="s">
        <v>238</v>
      </c>
      <c r="K90" s="290"/>
      <c r="L90" s="39">
        <f>I94-I88</f>
        <v>696</v>
      </c>
      <c r="M90" s="195">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9"/>
      <c r="AA90" s="302"/>
      <c r="AB90" s="303"/>
      <c r="AC90" s="25"/>
      <c r="AD90" s="25"/>
      <c r="AH90" s="109">
        <v>6</v>
      </c>
      <c r="AI90" s="109" t="str">
        <f>IF($E89="SS",COUNTIFS($C99:$C123,"FST",$E99:$E123,"6"),"0")</f>
        <v>0</v>
      </c>
      <c r="AJ90" s="109">
        <f>IF($E89="RPX",COUNTIFS($C99:$C123,"FST",$E99:$E123,"6"),"0")</f>
        <v>0</v>
      </c>
      <c r="AK90" s="109" t="str">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6"/>
    </row>
    <row r="91" spans="1:53" ht="16.5" customHeight="1" thickTop="1" thickBot="1" x14ac:dyDescent="0.3">
      <c r="A91" s="88"/>
      <c r="B91" s="40" t="s">
        <v>240</v>
      </c>
      <c r="C91" s="30">
        <v>0</v>
      </c>
      <c r="D91" s="41" t="s">
        <v>241</v>
      </c>
      <c r="E91" s="42">
        <v>0</v>
      </c>
      <c r="F91" s="88"/>
      <c r="G91" s="321" t="s">
        <v>242</v>
      </c>
      <c r="H91" s="43" t="s">
        <v>243</v>
      </c>
      <c r="I91" s="35">
        <f>IF(E91&lt;&gt;0,1,0)</f>
        <v>0</v>
      </c>
      <c r="J91" s="291" t="s">
        <v>244</v>
      </c>
      <c r="K91" s="292"/>
      <c r="L91" s="44">
        <f>'Cable Calculator'!N3</f>
        <v>1303</v>
      </c>
      <c r="M91" s="195">
        <v>8</v>
      </c>
      <c r="N91" s="35">
        <f>SUM(AI91,AI102)</f>
        <v>0</v>
      </c>
      <c r="O91" s="35">
        <v>0</v>
      </c>
      <c r="P91" s="35">
        <f>SUM(AJ91,AJ102)</f>
        <v>1</v>
      </c>
      <c r="Q91" s="35">
        <v>0</v>
      </c>
      <c r="R91" s="35">
        <f>COUNTIFS($E99:$E123,"8",$F99:$F123,"Pole",$C99:$C123,"FST")</f>
        <v>1</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f>IF($E89="RPX",COUNTIFS($C99:$C123,"FST",$E99:$E123,"8"),"0")</f>
        <v>1</v>
      </c>
      <c r="AK91" s="109" t="str">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6"/>
    </row>
    <row r="92" spans="1:53" ht="16.5" thickTop="1" thickBot="1" x14ac:dyDescent="0.3">
      <c r="A92" s="88"/>
      <c r="B92" s="29" t="s">
        <v>246</v>
      </c>
      <c r="C92" s="37">
        <v>0</v>
      </c>
      <c r="D92" s="41" t="s">
        <v>247</v>
      </c>
      <c r="E92" s="42">
        <v>697</v>
      </c>
      <c r="F92" s="88"/>
      <c r="G92" s="322"/>
      <c r="H92" s="47" t="s">
        <v>248</v>
      </c>
      <c r="I92" s="35">
        <f>IF(E91&lt;&gt;0,E91,0)</f>
        <v>0</v>
      </c>
      <c r="J92" s="193"/>
      <c r="K92" s="194"/>
      <c r="L92" s="48"/>
      <c r="M92" s="195">
        <v>12</v>
      </c>
      <c r="N92" s="35" t="str">
        <f>IF($E89="SS",SUM(AI92,AJ103,AM124,AO124,AQ124),"0")</f>
        <v>0</v>
      </c>
      <c r="O92" s="35" t="str">
        <f>IF($E89="SS",SUM(AN124,AP124,AR124),"0")</f>
        <v>0</v>
      </c>
      <c r="P92" s="35">
        <f>IF($E89="RPX",SUM(AJ92,AJ103,AM124,AO124,AQ124),"0")</f>
        <v>0</v>
      </c>
      <c r="Q92" s="35">
        <f>IF($E89="RPX",SUM(AN124,AP124,AR124),"0")</f>
        <v>0</v>
      </c>
      <c r="R92" s="35">
        <f>COUNTIFS($E99:$E123,"12",$F99:$F123,"Pole",$C99:$C123,"FST")</f>
        <v>0</v>
      </c>
      <c r="S92" s="35" t="str">
        <f>IF($E89="RPX-T",SUM(AL92,AK103,AM124,AO124,AQ124),"0")</f>
        <v>0</v>
      </c>
      <c r="T92" s="35" t="str">
        <f>IF($E89="RPX-T",SUM(AN124,AP124,AR124),"0")</f>
        <v>0</v>
      </c>
      <c r="U92" s="35" t="str">
        <f>IF($E89="EUC",SUM(AK92,AL103,AM124,AO124,AQ124),"0")</f>
        <v>0</v>
      </c>
      <c r="V92" s="35" t="str">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f>IF($E89="RPX",COUNTIFS($C99:$C123,"FST",$E99:$E123,"12"),"0")</f>
        <v>0</v>
      </c>
      <c r="AK92" s="109" t="str">
        <f>IF($E89="EUC",COUNTIFS($C99:$C123,"FST",$E99:$E123,"12"),"0")</f>
        <v>0</v>
      </c>
      <c r="AL92" s="109" t="str">
        <f>IF($E89="RPX-T",COUNTIFS($C99:$C123,"FST",$E99:$E123,"12"),"0")</f>
        <v>0</v>
      </c>
      <c r="BA92" s="226"/>
    </row>
    <row r="93" spans="1:53" ht="16.5" customHeight="1" thickTop="1" thickBot="1" x14ac:dyDescent="0.3">
      <c r="A93" s="88"/>
      <c r="B93" s="36" t="s">
        <v>249</v>
      </c>
      <c r="C93" s="30">
        <v>0</v>
      </c>
      <c r="D93" s="49" t="s">
        <v>250</v>
      </c>
      <c r="E93" s="50">
        <f>E90/12</f>
        <v>12</v>
      </c>
      <c r="F93" s="88"/>
      <c r="G93" s="321" t="s">
        <v>251</v>
      </c>
      <c r="H93" s="51" t="s">
        <v>252</v>
      </c>
      <c r="I93" s="112">
        <f>E92</f>
        <v>697</v>
      </c>
      <c r="J93" s="323" t="s">
        <v>253</v>
      </c>
      <c r="K93" s="324"/>
      <c r="L93" s="325"/>
      <c r="M93" s="52" t="s">
        <v>254</v>
      </c>
      <c r="N93" s="106"/>
      <c r="O93" s="106"/>
      <c r="P93" s="191"/>
      <c r="Q93" s="191"/>
      <c r="R93" s="191"/>
      <c r="S93" s="191"/>
      <c r="T93" s="191"/>
      <c r="U93" s="191"/>
      <c r="V93" s="191"/>
      <c r="W93" s="53">
        <f>SUM(P93:U93)</f>
        <v>0</v>
      </c>
      <c r="X93" s="54"/>
      <c r="Y93" s="25"/>
      <c r="Z93" s="45">
        <v>3</v>
      </c>
      <c r="AA93" s="46">
        <v>25</v>
      </c>
      <c r="AB93" s="46">
        <v>36</v>
      </c>
      <c r="AC93" s="25"/>
      <c r="AD93" s="25"/>
      <c r="BA93" s="226"/>
    </row>
    <row r="94" spans="1:53" ht="16.5" thickTop="1" thickBot="1" x14ac:dyDescent="0.3">
      <c r="A94" s="88"/>
      <c r="B94" s="36" t="s">
        <v>255</v>
      </c>
      <c r="C94" s="30">
        <v>0</v>
      </c>
      <c r="D94" s="31" t="s">
        <v>256</v>
      </c>
      <c r="E94" s="101" t="str">
        <f>IF('Cable Calculator'!N5="","",'Cable Calculator'!N5)</f>
        <v>N</v>
      </c>
      <c r="F94" s="88"/>
      <c r="G94" s="322"/>
      <c r="H94" s="47" t="s">
        <v>257</v>
      </c>
      <c r="I94" s="35">
        <f>IF(E92="","0",IF(AND(E89="EUC",E90=432), I93+(203-E91),IF(E92=0,0,(E92+(E90-E91)-1))))</f>
        <v>840</v>
      </c>
      <c r="J94" s="286" t="str">
        <f>IFERROR(IF(OR(E89="EUC",E89="SS"),"---",IF(OR(P88,S88),"NO 2F Tethers for RPX!",IF(OR(P90,S90),"NO 6F Tethers for RPX!","---"))),"---")</f>
        <v>---</v>
      </c>
      <c r="K94" s="287"/>
      <c r="L94" s="288"/>
      <c r="M94" s="286" t="str">
        <f>IF(E91&gt;60,"Dead Count &gt;60: Consider Downsize","---")</f>
        <v>---</v>
      </c>
      <c r="N94" s="287"/>
      <c r="O94" s="287"/>
      <c r="P94" s="287"/>
      <c r="Q94" s="287"/>
      <c r="R94" s="287"/>
      <c r="S94" s="287"/>
      <c r="T94" s="287"/>
      <c r="U94" s="288"/>
      <c r="V94" s="100"/>
      <c r="W94" s="54">
        <f>SUM(P94:U94)</f>
        <v>0</v>
      </c>
      <c r="X94" s="54"/>
      <c r="Y94" s="25"/>
      <c r="Z94" s="45">
        <v>4</v>
      </c>
      <c r="AA94" s="46">
        <v>37</v>
      </c>
      <c r="AB94" s="46">
        <v>48</v>
      </c>
      <c r="AC94" s="25"/>
      <c r="AD94" s="25"/>
      <c r="BA94" s="226"/>
    </row>
    <row r="95" spans="1:53" ht="16.5" thickTop="1" thickBot="1" x14ac:dyDescent="0.3">
      <c r="A95" s="88"/>
      <c r="B95" s="55" t="s">
        <v>258</v>
      </c>
      <c r="C95" s="56">
        <f>SUM(C89:C94)+I88</f>
        <v>144</v>
      </c>
      <c r="D95" s="31" t="s">
        <v>259</v>
      </c>
      <c r="E95" s="101" t="str">
        <f>IF(AS89="Y","DBL",IF(AS90="Y","TRPL",IF(AS91="Y","QUAD","")))</f>
        <v/>
      </c>
      <c r="F95" s="88"/>
      <c r="G95" s="191"/>
      <c r="H95" s="57"/>
      <c r="I95" s="191"/>
      <c r="J95" s="286"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7"/>
      <c r="L95" s="288"/>
      <c r="M95" s="286" t="str">
        <f>IF(AND(OR(E89="SS",E89="RPX",E89="EUC",E89="RPX-T"),(OR(C99="",C99="Field SPL"))),"Cannot have FlexNap cables without tethers","---")</f>
        <v>---</v>
      </c>
      <c r="N95" s="287"/>
      <c r="O95" s="287"/>
      <c r="P95" s="287"/>
      <c r="Q95" s="287"/>
      <c r="R95" s="287"/>
      <c r="S95" s="287"/>
      <c r="T95" s="287"/>
      <c r="U95" s="288"/>
      <c r="V95" s="25"/>
      <c r="W95" s="58"/>
      <c r="X95" s="58"/>
      <c r="Y95" s="25"/>
      <c r="Z95" s="45">
        <v>5</v>
      </c>
      <c r="AA95" s="46">
        <v>49</v>
      </c>
      <c r="AB95" s="46">
        <v>60</v>
      </c>
      <c r="AC95" s="25"/>
      <c r="AD95" s="25"/>
      <c r="BA95" s="226"/>
    </row>
    <row r="96" spans="1:53" ht="16.5" thickTop="1" thickBot="1" x14ac:dyDescent="0.3">
      <c r="A96" s="88"/>
      <c r="B96" s="59"/>
      <c r="C96" s="60"/>
      <c r="D96" s="61"/>
      <c r="E96" s="62"/>
      <c r="F96" s="88"/>
      <c r="G96" s="63"/>
      <c r="H96" s="64"/>
      <c r="I96" s="63"/>
      <c r="J96" s="286" t="str">
        <f>IF(AND(OR(E89="RPX", E89="RPX-T", E89="SS"),E90=216),"NO 216 For RPX, RPX-T, OR SS CABLE","---")</f>
        <v>---</v>
      </c>
      <c r="K96" s="287"/>
      <c r="L96" s="288"/>
      <c r="M96" s="286" t="str" cm="1">
        <f t="array" ref="M96">IF(AND(E89="",OR(C99:C123="FST",C99:C123="REV T",C99:C123="DBL REV",C99:C123="TPL REV", C99:C123="QD REV")),"Non-FlexNap cables cannot have tethers","---")</f>
        <v>---</v>
      </c>
      <c r="N96" s="287"/>
      <c r="O96" s="287"/>
      <c r="P96" s="287"/>
      <c r="Q96" s="287"/>
      <c r="R96" s="287"/>
      <c r="S96" s="287"/>
      <c r="T96" s="287"/>
      <c r="U96" s="288"/>
      <c r="V96" s="25"/>
      <c r="W96" s="58"/>
      <c r="X96" s="58"/>
      <c r="Y96" s="25"/>
      <c r="Z96" s="45">
        <v>6</v>
      </c>
      <c r="AA96" s="65">
        <v>61</v>
      </c>
      <c r="AB96" s="65">
        <v>72</v>
      </c>
      <c r="AC96" s="25"/>
      <c r="AD96" s="25"/>
      <c r="BA96" s="225"/>
    </row>
    <row r="97" spans="1:53" ht="15.75" customHeight="1" thickBot="1" x14ac:dyDescent="0.3">
      <c r="A97" s="88"/>
      <c r="B97" s="321" t="s">
        <v>260</v>
      </c>
      <c r="C97" s="293" t="s">
        <v>261</v>
      </c>
      <c r="D97" s="293" t="s">
        <v>262</v>
      </c>
      <c r="E97" s="306" t="s">
        <v>263</v>
      </c>
      <c r="F97" s="293" t="s">
        <v>264</v>
      </c>
      <c r="G97" s="308" t="s">
        <v>265</v>
      </c>
      <c r="H97" s="308" t="s">
        <v>266</v>
      </c>
      <c r="I97" s="308" t="s">
        <v>267</v>
      </c>
      <c r="J97" s="310" t="s">
        <v>268</v>
      </c>
      <c r="K97" s="293" t="s">
        <v>269</v>
      </c>
      <c r="L97" s="280" t="s">
        <v>270</v>
      </c>
      <c r="M97" s="282" t="s">
        <v>271</v>
      </c>
      <c r="N97" s="282"/>
      <c r="O97" s="282"/>
      <c r="P97" s="282"/>
      <c r="Q97" s="282"/>
      <c r="R97" s="282"/>
      <c r="S97" s="282"/>
      <c r="T97" s="282"/>
      <c r="U97" s="283"/>
      <c r="V97" s="107"/>
      <c r="W97" s="72"/>
      <c r="X97" s="72"/>
      <c r="Y97" s="72"/>
      <c r="Z97" s="45">
        <v>7</v>
      </c>
      <c r="AA97" s="65">
        <v>73</v>
      </c>
      <c r="AB97" s="65">
        <v>84</v>
      </c>
      <c r="AC97" s="25"/>
      <c r="AD97" s="25"/>
      <c r="BA97" s="227"/>
    </row>
    <row r="98" spans="1:53" ht="15.75" thickBot="1" x14ac:dyDescent="0.3">
      <c r="A98" s="88"/>
      <c r="B98" s="322"/>
      <c r="C98" s="294"/>
      <c r="D98" s="294"/>
      <c r="E98" s="307"/>
      <c r="F98" s="294"/>
      <c r="G98" s="309"/>
      <c r="H98" s="309"/>
      <c r="I98" s="309"/>
      <c r="J98" s="311"/>
      <c r="K98" s="294"/>
      <c r="L98" s="281"/>
      <c r="M98" s="284"/>
      <c r="N98" s="284"/>
      <c r="O98" s="284"/>
      <c r="P98" s="284"/>
      <c r="Q98" s="284"/>
      <c r="R98" s="284"/>
      <c r="S98" s="284"/>
      <c r="T98" s="284"/>
      <c r="U98" s="285"/>
      <c r="V98" s="107"/>
      <c r="W98" s="72"/>
      <c r="X98" s="72"/>
      <c r="Y98" s="72"/>
      <c r="Z98" s="45">
        <v>8</v>
      </c>
      <c r="AA98" s="46">
        <v>85</v>
      </c>
      <c r="AB98" s="46">
        <v>96</v>
      </c>
      <c r="AC98" s="25"/>
      <c r="AD98" s="25"/>
      <c r="AI98" s="109" t="s">
        <v>272</v>
      </c>
      <c r="AJ98" s="109" t="s">
        <v>273</v>
      </c>
      <c r="AK98" s="109" t="s">
        <v>274</v>
      </c>
      <c r="AL98" s="109" t="s">
        <v>275</v>
      </c>
      <c r="BA98" s="227"/>
    </row>
    <row r="99" spans="1:53" ht="15.75" thickBot="1" x14ac:dyDescent="0.3">
      <c r="A99" s="88"/>
      <c r="B99" s="66" t="s">
        <v>276</v>
      </c>
      <c r="C99" s="67" t="s">
        <v>484</v>
      </c>
      <c r="D99" s="102" t="s">
        <v>795</v>
      </c>
      <c r="E99" s="32">
        <v>4</v>
      </c>
      <c r="F99" s="32" t="s">
        <v>483</v>
      </c>
      <c r="G99" s="68" t="s">
        <v>277</v>
      </c>
      <c r="H99" s="69">
        <f>IF(I99=0,0,I99-(E99-1))</f>
        <v>837</v>
      </c>
      <c r="I99" s="70">
        <f>IF(E99=0,0,I94)</f>
        <v>840</v>
      </c>
      <c r="J99" s="71" t="s">
        <v>278</v>
      </c>
      <c r="K99" s="32"/>
      <c r="L99" s="232"/>
      <c r="M99" s="278"/>
      <c r="N99" s="278"/>
      <c r="O99" s="278"/>
      <c r="P99" s="278"/>
      <c r="Q99" s="278"/>
      <c r="R99" s="278"/>
      <c r="S99" s="278"/>
      <c r="T99" s="278"/>
      <c r="U99" s="279"/>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837-840</v>
      </c>
      <c r="AF99" s="109" t="str">
        <f t="shared" ref="AF99:AF123" si="37">IF(C99="Field SPL","N","Y")</f>
        <v>Y</v>
      </c>
      <c r="AG99" s="109" t="str">
        <f t="shared" ref="AG99:AG123" si="38">IF(OR(E$89="RPX",E$89="SS"),"A","B")</f>
        <v>A</v>
      </c>
      <c r="AH99" s="109">
        <v>2</v>
      </c>
      <c r="AI99" s="109" t="str">
        <f>IF(E89="SS",COUNTIFS(C99:C123,"TCF",E99:E123,"2"),"")</f>
        <v/>
      </c>
      <c r="AJ99" s="109">
        <f>IF(E89="RPX",COUNTIFS(C99:C123,"TCF",E99:E123,"2"),"")</f>
        <v>0</v>
      </c>
      <c r="AK99" s="109" t="str">
        <f>IF(E89="RPX-T",COUNTIFS(C99:C123,"TCF",E99:E123,"2"),"")</f>
        <v/>
      </c>
      <c r="AL99" s="109" t="str">
        <f>IF(E89="EUC",COUNTIFS(C99:C123,"TCF",E99:E123,"2"),"")</f>
        <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8">
        <f>MOD(E99,12)</f>
        <v>4</v>
      </c>
    </row>
    <row r="100" spans="1:53" ht="15.75" thickBot="1" x14ac:dyDescent="0.3">
      <c r="A100" s="88"/>
      <c r="B100" s="66" t="s">
        <v>279</v>
      </c>
      <c r="C100" s="67" t="s">
        <v>484</v>
      </c>
      <c r="D100" s="102" t="s">
        <v>796</v>
      </c>
      <c r="E100" s="32">
        <v>8</v>
      </c>
      <c r="F100" s="32" t="s">
        <v>483</v>
      </c>
      <c r="G100" s="68" t="s">
        <v>277</v>
      </c>
      <c r="H100" s="69">
        <f t="shared" ref="H100:H123" si="43">IF(E100=0,0,I100-(E100-1))</f>
        <v>829</v>
      </c>
      <c r="I100" s="70">
        <f t="shared" ref="I100:I123" si="44">IF(E100=0,0,H99-1)</f>
        <v>836</v>
      </c>
      <c r="J100" s="73" t="str">
        <f>IF(C100="","--",IF(AND(C100&lt;&gt;"FST",C100&lt;&gt;"TCF",BA99&lt;&gt;0),BA99,"--"))</f>
        <v>--</v>
      </c>
      <c r="K100" s="32"/>
      <c r="L100" s="232"/>
      <c r="M100" s="278"/>
      <c r="N100" s="278"/>
      <c r="O100" s="278"/>
      <c r="P100" s="278"/>
      <c r="Q100" s="278"/>
      <c r="R100" s="278"/>
      <c r="S100" s="278"/>
      <c r="T100" s="278"/>
      <c r="U100" s="279"/>
      <c r="V100" s="103"/>
      <c r="W100" s="72"/>
      <c r="X100" s="72"/>
      <c r="Y100" s="72"/>
      <c r="Z100" s="45">
        <v>10</v>
      </c>
      <c r="AA100" s="46">
        <v>109</v>
      </c>
      <c r="AB100" s="46">
        <v>120</v>
      </c>
      <c r="AC100" s="72">
        <f t="shared" si="34"/>
        <v>1</v>
      </c>
      <c r="AD100" s="72">
        <f t="shared" si="35"/>
        <v>0</v>
      </c>
      <c r="AE100" s="109" t="str">
        <f t="shared" si="36"/>
        <v>829-836</v>
      </c>
      <c r="AF100" s="109" t="str">
        <f t="shared" si="37"/>
        <v>Y</v>
      </c>
      <c r="AG100" s="109" t="str">
        <f t="shared" si="38"/>
        <v>A</v>
      </c>
      <c r="AH100" s="109">
        <v>4</v>
      </c>
      <c r="AI100" s="109" t="str">
        <f>IF(E89="SS",COUNTIFS(C99:C123,"TCF",E99:E123,"4"),"")</f>
        <v/>
      </c>
      <c r="AJ100" s="109">
        <f>IF(E89="RPX",COUNTIFS(C99:C123,"TCF",E99:E123,"4"),"")</f>
        <v>0</v>
      </c>
      <c r="AK100" s="109" t="str">
        <f>IF(E89="RPX-T",COUNTIFS(C99:C123,"TCF",E99:E123,"4"),"")</f>
        <v/>
      </c>
      <c r="AL100" s="109" t="str">
        <f>IF(E89="EUC",COUNTIFS(C99:C123,"TCF",E99:E123,"4"),"")</f>
        <v/>
      </c>
      <c r="AM100" s="109">
        <f t="shared" si="39"/>
        <v>0</v>
      </c>
      <c r="AN100" s="109">
        <f t="shared" si="40"/>
        <v>0</v>
      </c>
      <c r="AO100" s="109" t="str">
        <f t="shared" si="41"/>
        <v/>
      </c>
      <c r="AQ100" s="109" t="str">
        <f t="shared" si="42"/>
        <v/>
      </c>
      <c r="BA100" s="228">
        <f>MOD(SUM(E99:E100),12)</f>
        <v>0</v>
      </c>
    </row>
    <row r="101" spans="1:53" ht="15.75" thickBot="1" x14ac:dyDescent="0.3">
      <c r="A101" s="88"/>
      <c r="B101" s="74" t="s">
        <v>280</v>
      </c>
      <c r="C101" s="67" t="s">
        <v>502</v>
      </c>
      <c r="D101" s="102"/>
      <c r="E101" s="32">
        <v>24</v>
      </c>
      <c r="F101" s="32"/>
      <c r="G101" s="75" t="s">
        <v>277</v>
      </c>
      <c r="H101" s="69">
        <f t="shared" si="43"/>
        <v>805</v>
      </c>
      <c r="I101" s="70">
        <f t="shared" si="44"/>
        <v>828</v>
      </c>
      <c r="J101" s="73" t="str">
        <f t="shared" ref="J101:J123" si="45">IF(C101="","--",IF(AND(C101&lt;&gt;"FST",C101&lt;&gt;"TCF",BA100&lt;&gt;0),BA100,"--"))</f>
        <v>--</v>
      </c>
      <c r="K101" s="32"/>
      <c r="L101" s="232"/>
      <c r="M101" s="278" t="s">
        <v>408</v>
      </c>
      <c r="N101" s="278"/>
      <c r="O101" s="278"/>
      <c r="P101" s="278"/>
      <c r="Q101" s="278"/>
      <c r="R101" s="278"/>
      <c r="S101" s="278"/>
      <c r="T101" s="278"/>
      <c r="U101" s="279"/>
      <c r="V101" s="103"/>
      <c r="W101" s="72"/>
      <c r="X101" s="72"/>
      <c r="Y101" s="72"/>
      <c r="Z101" s="45">
        <v>11</v>
      </c>
      <c r="AA101" s="46">
        <v>121</v>
      </c>
      <c r="AB101" s="46">
        <v>132</v>
      </c>
      <c r="AC101" s="72">
        <f t="shared" si="34"/>
        <v>1</v>
      </c>
      <c r="AD101" s="72">
        <f t="shared" si="35"/>
        <v>1</v>
      </c>
      <c r="AE101" s="109" t="str">
        <f t="shared" si="36"/>
        <v>805-828</v>
      </c>
      <c r="AF101" s="109" t="str">
        <f t="shared" si="37"/>
        <v>N</v>
      </c>
      <c r="AG101" s="109" t="str">
        <f t="shared" si="38"/>
        <v>A</v>
      </c>
      <c r="AH101" s="109">
        <v>6</v>
      </c>
      <c r="AI101" s="109" t="str">
        <f>IF(E89="SS",COUNTIFS(C99:C123,"TCF",E99:E123,"6"),"")</f>
        <v/>
      </c>
      <c r="AJ101" s="109">
        <f>IF(E89="RPX",COUNTIFS(C99:C123,"TCF",E99:E123,"6"),"")</f>
        <v>0</v>
      </c>
      <c r="AK101" s="109" t="str">
        <f>IF(E89="RPX-T",COUNTIFS(C99:C123,"TCF",E99:E123,"6"),"")</f>
        <v/>
      </c>
      <c r="AL101" s="109" t="str">
        <f>IF(E89="EUC",COUNTIFS(C99:C123,"TCF",E99:E123,"6"),"")</f>
        <v/>
      </c>
      <c r="AM101" s="109">
        <f t="shared" si="39"/>
        <v>0</v>
      </c>
      <c r="AN101" s="109">
        <f t="shared" si="40"/>
        <v>0</v>
      </c>
      <c r="AO101" s="109" t="str">
        <f t="shared" si="41"/>
        <v/>
      </c>
      <c r="AQ101" s="109" t="str">
        <f t="shared" si="42"/>
        <v/>
      </c>
      <c r="BA101" s="228">
        <f>MOD(SUM(E99:E102),12)</f>
        <v>0</v>
      </c>
    </row>
    <row r="102" spans="1:53" ht="15.75" thickBot="1" x14ac:dyDescent="0.3">
      <c r="A102" s="88"/>
      <c r="B102" s="66" t="s">
        <v>281</v>
      </c>
      <c r="C102" s="67" t="s">
        <v>502</v>
      </c>
      <c r="D102" s="102"/>
      <c r="E102" s="32">
        <v>108</v>
      </c>
      <c r="F102" s="32"/>
      <c r="G102" s="68" t="s">
        <v>277</v>
      </c>
      <c r="H102" s="69">
        <f t="shared" si="43"/>
        <v>697</v>
      </c>
      <c r="I102" s="70">
        <f t="shared" si="44"/>
        <v>804</v>
      </c>
      <c r="J102" s="73" t="str">
        <f t="shared" si="45"/>
        <v>--</v>
      </c>
      <c r="K102" s="32"/>
      <c r="L102" s="232"/>
      <c r="M102" s="278" t="s">
        <v>409</v>
      </c>
      <c r="N102" s="278"/>
      <c r="O102" s="278"/>
      <c r="P102" s="278"/>
      <c r="Q102" s="278"/>
      <c r="R102" s="278"/>
      <c r="S102" s="278"/>
      <c r="T102" s="278"/>
      <c r="U102" s="279"/>
      <c r="V102" s="103"/>
      <c r="W102" s="72"/>
      <c r="X102" s="72"/>
      <c r="Y102" s="72"/>
      <c r="Z102" s="45">
        <v>12</v>
      </c>
      <c r="AA102" s="76">
        <v>133</v>
      </c>
      <c r="AB102" s="76">
        <v>144</v>
      </c>
      <c r="AC102" s="72">
        <f t="shared" si="34"/>
        <v>1</v>
      </c>
      <c r="AD102" s="72">
        <f t="shared" si="35"/>
        <v>1</v>
      </c>
      <c r="AE102" s="109" t="str">
        <f t="shared" si="36"/>
        <v>697-804</v>
      </c>
      <c r="AF102" s="109" t="str">
        <f t="shared" si="37"/>
        <v>N</v>
      </c>
      <c r="AG102" s="109" t="str">
        <f t="shared" si="38"/>
        <v>A</v>
      </c>
      <c r="AH102" s="109">
        <v>8</v>
      </c>
      <c r="AI102" s="109" t="str">
        <f>IF(E89="SS",COUNTIFS(C99:C123,"TCF",E99:E123,"8"),"")</f>
        <v/>
      </c>
      <c r="AJ102" s="109">
        <f>IF(E89="RPX",COUNTIFS(C99:C123,"TCF",E99:E123,"8"),"")</f>
        <v>0</v>
      </c>
      <c r="AK102" s="109" t="str">
        <f>IF(E89="RPX-T",COUNTIFS(C99:C123,"TCF",E99:E123,"8"),"")</f>
        <v/>
      </c>
      <c r="AL102" s="109" t="str">
        <f>IF(E89="EUC",COUNTIFS(C99:C123,"TCF",E99:E123,"8"),"")</f>
        <v/>
      </c>
      <c r="AM102" s="109">
        <f t="shared" si="39"/>
        <v>0</v>
      </c>
      <c r="AN102" s="109">
        <f t="shared" si="40"/>
        <v>0</v>
      </c>
      <c r="AO102" s="109" t="str">
        <f t="shared" si="41"/>
        <v/>
      </c>
      <c r="AQ102" s="109" t="str">
        <f t="shared" si="42"/>
        <v/>
      </c>
      <c r="BA102" s="228">
        <f>MOD(SUM(E99:E103),12)</f>
        <v>0</v>
      </c>
    </row>
    <row r="103" spans="1:53" ht="15.75" thickBot="1" x14ac:dyDescent="0.3">
      <c r="A103" s="88"/>
      <c r="B103" s="66" t="s">
        <v>282</v>
      </c>
      <c r="C103" s="67"/>
      <c r="D103" s="102"/>
      <c r="E103" s="32"/>
      <c r="F103" s="32"/>
      <c r="G103" s="68" t="s">
        <v>277</v>
      </c>
      <c r="H103" s="69">
        <f t="shared" si="43"/>
        <v>0</v>
      </c>
      <c r="I103" s="70">
        <f t="shared" si="44"/>
        <v>0</v>
      </c>
      <c r="J103" s="73" t="str">
        <f t="shared" si="45"/>
        <v>--</v>
      </c>
      <c r="K103" s="32"/>
      <c r="L103" s="232"/>
      <c r="M103" s="278"/>
      <c r="N103" s="278"/>
      <c r="O103" s="278"/>
      <c r="P103" s="278"/>
      <c r="Q103" s="278"/>
      <c r="R103" s="278"/>
      <c r="S103" s="278"/>
      <c r="T103" s="278"/>
      <c r="U103" s="279"/>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0-0</v>
      </c>
      <c r="AF103" s="109" t="str">
        <f t="shared" si="37"/>
        <v>Y</v>
      </c>
      <c r="AG103" s="109" t="str">
        <f t="shared" si="38"/>
        <v>A</v>
      </c>
      <c r="AH103" s="109">
        <v>12</v>
      </c>
      <c r="AI103" s="109" t="str">
        <f>IF(E89="SS",COUNTIFS(C99:C123,"TCF",E99:E123,"12"),"")</f>
        <v/>
      </c>
      <c r="AJ103" s="109">
        <f>IF(E89="RPX",COUNTIFS(C99:C123,"TCF",E99:E123,"12"),"")</f>
        <v>0</v>
      </c>
      <c r="AK103" s="109" t="str">
        <f>IF(E89="RPX-T",COUNTIFS(C99:C123,"TCF",E99:E123,"12"),"")</f>
        <v/>
      </c>
      <c r="AL103" s="109" t="str">
        <f>IF(E89="EUC",COUNTIFS(C99:C123,"TCF",E99:E123,"12"),"")</f>
        <v/>
      </c>
      <c r="AM103" s="109">
        <f t="shared" si="39"/>
        <v>0</v>
      </c>
      <c r="AN103" s="109">
        <f t="shared" si="40"/>
        <v>0</v>
      </c>
      <c r="AO103" s="109" t="str">
        <f t="shared" si="41"/>
        <v/>
      </c>
      <c r="AQ103" s="109" t="str">
        <f t="shared" si="42"/>
        <v/>
      </c>
      <c r="BA103" s="228">
        <f>MOD(SUM(E99:E104),12)</f>
        <v>0</v>
      </c>
    </row>
    <row r="104" spans="1:53" ht="15.75" thickBot="1" x14ac:dyDescent="0.3">
      <c r="A104" s="88"/>
      <c r="B104" s="66" t="s">
        <v>283</v>
      </c>
      <c r="C104" s="67"/>
      <c r="D104" s="102"/>
      <c r="E104" s="32"/>
      <c r="F104" s="32"/>
      <c r="G104" s="68" t="s">
        <v>277</v>
      </c>
      <c r="H104" s="69">
        <f t="shared" si="43"/>
        <v>0</v>
      </c>
      <c r="I104" s="70">
        <f t="shared" si="44"/>
        <v>0</v>
      </c>
      <c r="J104" s="73" t="str">
        <f t="shared" si="45"/>
        <v>--</v>
      </c>
      <c r="K104" s="32"/>
      <c r="L104" s="232"/>
      <c r="M104" s="278"/>
      <c r="N104" s="278"/>
      <c r="O104" s="278"/>
      <c r="P104" s="278"/>
      <c r="Q104" s="278"/>
      <c r="R104" s="278"/>
      <c r="S104" s="278"/>
      <c r="T104" s="278"/>
      <c r="U104" s="279"/>
      <c r="V104" s="103"/>
      <c r="W104" s="72"/>
      <c r="X104" s="72"/>
      <c r="Y104" s="72"/>
      <c r="Z104" s="45">
        <v>14</v>
      </c>
      <c r="AA104" s="77">
        <f t="shared" si="46"/>
        <v>157</v>
      </c>
      <c r="AB104" s="77">
        <f t="shared" si="47"/>
        <v>168</v>
      </c>
      <c r="AC104" s="72">
        <f t="shared" si="34"/>
        <v>1</v>
      </c>
      <c r="AD104" s="72">
        <f t="shared" si="35"/>
        <v>1</v>
      </c>
      <c r="AE104" s="109" t="str">
        <f t="shared" si="36"/>
        <v>0-0</v>
      </c>
      <c r="AF104" s="109" t="str">
        <f t="shared" si="37"/>
        <v>Y</v>
      </c>
      <c r="AG104" s="109" t="str">
        <f t="shared" si="38"/>
        <v>A</v>
      </c>
      <c r="AM104" s="109">
        <f t="shared" si="39"/>
        <v>0</v>
      </c>
      <c r="AN104" s="109">
        <f t="shared" si="40"/>
        <v>0</v>
      </c>
      <c r="AO104" s="109" t="str">
        <f t="shared" si="41"/>
        <v/>
      </c>
      <c r="AQ104" s="109" t="str">
        <f t="shared" si="42"/>
        <v/>
      </c>
      <c r="BA104" s="228">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2"/>
      <c r="M105" s="278"/>
      <c r="N105" s="278"/>
      <c r="O105" s="278"/>
      <c r="P105" s="278"/>
      <c r="Q105" s="278"/>
      <c r="R105" s="278"/>
      <c r="S105" s="278"/>
      <c r="T105" s="278"/>
      <c r="U105" s="279"/>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A</v>
      </c>
      <c r="AM105" s="109">
        <f t="shared" si="39"/>
        <v>0</v>
      </c>
      <c r="AN105" s="109">
        <f t="shared" si="40"/>
        <v>0</v>
      </c>
      <c r="AO105" s="109" t="str">
        <f t="shared" si="41"/>
        <v/>
      </c>
      <c r="AQ105" s="109" t="str">
        <f t="shared" si="42"/>
        <v/>
      </c>
      <c r="BA105" s="228">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2"/>
      <c r="M106" s="278"/>
      <c r="N106" s="278"/>
      <c r="O106" s="278"/>
      <c r="P106" s="278"/>
      <c r="Q106" s="278"/>
      <c r="R106" s="278"/>
      <c r="S106" s="278"/>
      <c r="T106" s="278"/>
      <c r="U106" s="279"/>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A</v>
      </c>
      <c r="AM106" s="109">
        <f t="shared" si="39"/>
        <v>0</v>
      </c>
      <c r="AN106" s="109">
        <f t="shared" si="40"/>
        <v>0</v>
      </c>
      <c r="AO106" s="109" t="str">
        <f t="shared" si="41"/>
        <v/>
      </c>
      <c r="AQ106" s="109" t="str">
        <f t="shared" si="42"/>
        <v/>
      </c>
      <c r="BA106" s="228">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2"/>
      <c r="M107" s="278"/>
      <c r="N107" s="278"/>
      <c r="O107" s="278"/>
      <c r="P107" s="278"/>
      <c r="Q107" s="278"/>
      <c r="R107" s="278"/>
      <c r="S107" s="278"/>
      <c r="T107" s="278"/>
      <c r="U107" s="279"/>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A</v>
      </c>
      <c r="AM107" s="109">
        <f t="shared" si="39"/>
        <v>0</v>
      </c>
      <c r="AN107" s="109">
        <f t="shared" si="40"/>
        <v>0</v>
      </c>
      <c r="AO107" s="109" t="str">
        <f t="shared" si="41"/>
        <v/>
      </c>
      <c r="AQ107" s="109" t="str">
        <f t="shared" si="42"/>
        <v/>
      </c>
      <c r="BA107" s="228">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2"/>
      <c r="M108" s="278"/>
      <c r="N108" s="278"/>
      <c r="O108" s="278"/>
      <c r="P108" s="278"/>
      <c r="Q108" s="278"/>
      <c r="R108" s="278"/>
      <c r="S108" s="278"/>
      <c r="T108" s="278"/>
      <c r="U108" s="279"/>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A</v>
      </c>
      <c r="AM108" s="109">
        <f t="shared" si="39"/>
        <v>0</v>
      </c>
      <c r="AN108" s="109">
        <f t="shared" si="40"/>
        <v>0</v>
      </c>
      <c r="AO108" s="109" t="str">
        <f t="shared" si="41"/>
        <v/>
      </c>
      <c r="AQ108" s="109" t="str">
        <f t="shared" si="42"/>
        <v/>
      </c>
      <c r="BA108" s="228">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2"/>
      <c r="M109" s="278"/>
      <c r="N109" s="278"/>
      <c r="O109" s="278"/>
      <c r="P109" s="278"/>
      <c r="Q109" s="278"/>
      <c r="R109" s="278"/>
      <c r="S109" s="278"/>
      <c r="T109" s="278"/>
      <c r="U109" s="279"/>
      <c r="V109" s="103"/>
      <c r="W109" s="84"/>
      <c r="X109" s="84"/>
      <c r="Y109" s="72"/>
      <c r="Z109" s="72"/>
      <c r="AA109" s="72"/>
      <c r="AB109" s="72"/>
      <c r="AC109" s="72">
        <f t="shared" si="34"/>
        <v>1</v>
      </c>
      <c r="AD109" s="72">
        <f t="shared" si="35"/>
        <v>1</v>
      </c>
      <c r="AE109" s="109" t="str">
        <f t="shared" si="36"/>
        <v>0-0</v>
      </c>
      <c r="AF109" s="109" t="str">
        <f t="shared" si="37"/>
        <v>Y</v>
      </c>
      <c r="AG109" s="109" t="str">
        <f t="shared" si="38"/>
        <v>A</v>
      </c>
      <c r="AM109" s="109">
        <f t="shared" si="39"/>
        <v>0</v>
      </c>
      <c r="AN109" s="109">
        <f t="shared" si="40"/>
        <v>0</v>
      </c>
      <c r="AO109" s="109" t="str">
        <f t="shared" si="41"/>
        <v/>
      </c>
      <c r="AQ109" s="109" t="str">
        <f t="shared" si="42"/>
        <v/>
      </c>
      <c r="BA109" s="228">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2"/>
      <c r="M110" s="278"/>
      <c r="N110" s="278"/>
      <c r="O110" s="278"/>
      <c r="P110" s="278"/>
      <c r="Q110" s="278"/>
      <c r="R110" s="278"/>
      <c r="S110" s="278"/>
      <c r="T110" s="278"/>
      <c r="U110" s="279"/>
      <c r="V110" s="103"/>
      <c r="W110" s="84">
        <f>Y110+1</f>
        <v>145</v>
      </c>
      <c r="X110" s="84"/>
      <c r="Y110" s="78">
        <f>SUM(E99:E110)</f>
        <v>144</v>
      </c>
      <c r="Z110" s="72"/>
      <c r="AA110" s="72"/>
      <c r="AB110" s="72"/>
      <c r="AC110" s="72">
        <f t="shared" si="34"/>
        <v>1</v>
      </c>
      <c r="AD110" s="72">
        <f t="shared" si="35"/>
        <v>1</v>
      </c>
      <c r="AE110" s="109" t="str">
        <f t="shared" si="36"/>
        <v>0-0</v>
      </c>
      <c r="AF110" s="109" t="str">
        <f t="shared" si="37"/>
        <v>Y</v>
      </c>
      <c r="AG110" s="109" t="str">
        <f t="shared" si="38"/>
        <v>A</v>
      </c>
      <c r="AM110" s="109">
        <f t="shared" si="39"/>
        <v>0</v>
      </c>
      <c r="AN110" s="109">
        <f t="shared" si="40"/>
        <v>0</v>
      </c>
      <c r="AO110" s="109" t="str">
        <f t="shared" si="41"/>
        <v/>
      </c>
      <c r="AQ110" s="109" t="str">
        <f t="shared" si="42"/>
        <v/>
      </c>
      <c r="BA110" s="228">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2"/>
      <c r="M111" s="278"/>
      <c r="N111" s="278"/>
      <c r="O111" s="278"/>
      <c r="P111" s="278"/>
      <c r="Q111" s="278"/>
      <c r="R111" s="278"/>
      <c r="S111" s="278"/>
      <c r="T111" s="278"/>
      <c r="U111" s="279"/>
      <c r="V111" s="103"/>
      <c r="W111" s="84">
        <f>Y111+1</f>
        <v>145</v>
      </c>
      <c r="X111" s="84"/>
      <c r="Y111" s="78">
        <f>SUM(E99:E111)</f>
        <v>144</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A</v>
      </c>
      <c r="AM111" s="109">
        <f t="shared" si="39"/>
        <v>0</v>
      </c>
      <c r="AN111" s="109">
        <f t="shared" si="40"/>
        <v>0</v>
      </c>
      <c r="AO111" s="109" t="str">
        <f t="shared" si="41"/>
        <v/>
      </c>
      <c r="AQ111" s="109" t="str">
        <f t="shared" si="42"/>
        <v/>
      </c>
      <c r="BA111" s="228">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2"/>
      <c r="M112" s="278"/>
      <c r="N112" s="278"/>
      <c r="O112" s="278"/>
      <c r="P112" s="278"/>
      <c r="Q112" s="278"/>
      <c r="R112" s="278"/>
      <c r="S112" s="278"/>
      <c r="T112" s="278"/>
      <c r="U112" s="279"/>
      <c r="V112" s="103"/>
      <c r="W112" s="84">
        <f>Y112+1</f>
        <v>145</v>
      </c>
      <c r="X112" s="84"/>
      <c r="Y112" s="78">
        <f>SUM(E99:E112)</f>
        <v>144</v>
      </c>
      <c r="Z112" s="72" t="str">
        <f t="shared" si="48"/>
        <v/>
      </c>
      <c r="AA112" s="72"/>
      <c r="AB112" s="72"/>
      <c r="AC112" s="72">
        <f t="shared" si="34"/>
        <v>1</v>
      </c>
      <c r="AD112" s="72">
        <f t="shared" si="35"/>
        <v>1</v>
      </c>
      <c r="AE112" s="109" t="str">
        <f t="shared" si="36"/>
        <v>0-0</v>
      </c>
      <c r="AF112" s="109" t="str">
        <f t="shared" si="37"/>
        <v>Y</v>
      </c>
      <c r="AG112" s="109" t="str">
        <f t="shared" si="38"/>
        <v>A</v>
      </c>
      <c r="AM112" s="109">
        <f t="shared" si="39"/>
        <v>0</v>
      </c>
      <c r="AN112" s="109">
        <f t="shared" si="40"/>
        <v>0</v>
      </c>
      <c r="AO112" s="109" t="str">
        <f t="shared" si="41"/>
        <v/>
      </c>
      <c r="AQ112" s="109" t="str">
        <f t="shared" si="42"/>
        <v/>
      </c>
      <c r="BA112" s="228">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2"/>
      <c r="M113" s="278"/>
      <c r="N113" s="278"/>
      <c r="O113" s="278"/>
      <c r="P113" s="278"/>
      <c r="Q113" s="278"/>
      <c r="R113" s="278"/>
      <c r="S113" s="278"/>
      <c r="T113" s="278"/>
      <c r="U113" s="279"/>
      <c r="V113" s="103"/>
      <c r="W113" s="84">
        <f>Y113+1</f>
        <v>145</v>
      </c>
      <c r="X113" s="84"/>
      <c r="Y113" s="78">
        <f>SUM(E99:E113)</f>
        <v>144</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A</v>
      </c>
      <c r="AM113" s="109">
        <f t="shared" si="39"/>
        <v>0</v>
      </c>
      <c r="AN113" s="109">
        <f t="shared" si="40"/>
        <v>0</v>
      </c>
      <c r="AO113" s="109" t="str">
        <f t="shared" si="41"/>
        <v/>
      </c>
      <c r="AQ113" s="109" t="str">
        <f t="shared" si="42"/>
        <v/>
      </c>
      <c r="BA113" s="228">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2"/>
      <c r="M114" s="278"/>
      <c r="N114" s="278"/>
      <c r="O114" s="278"/>
      <c r="P114" s="278"/>
      <c r="Q114" s="278"/>
      <c r="R114" s="278"/>
      <c r="S114" s="278"/>
      <c r="T114" s="278"/>
      <c r="U114" s="279"/>
      <c r="V114" s="103"/>
      <c r="W114" s="84">
        <f t="shared" ref="W114:W122" si="50">Y114+1</f>
        <v>145</v>
      </c>
      <c r="X114" s="84"/>
      <c r="Y114" s="78">
        <f>SUM(E99:E114)</f>
        <v>144</v>
      </c>
      <c r="Z114" s="72" t="str">
        <f t="shared" si="48"/>
        <v/>
      </c>
      <c r="AA114" s="72" t="str">
        <f t="shared" si="49"/>
        <v/>
      </c>
      <c r="AB114" s="72"/>
      <c r="AC114" s="72">
        <f t="shared" si="34"/>
        <v>1</v>
      </c>
      <c r="AD114" s="72">
        <f t="shared" si="35"/>
        <v>1</v>
      </c>
      <c r="AE114" s="109" t="str">
        <f t="shared" si="36"/>
        <v>0-0</v>
      </c>
      <c r="AF114" s="109" t="str">
        <f t="shared" si="37"/>
        <v>Y</v>
      </c>
      <c r="AG114" s="109" t="str">
        <f t="shared" si="38"/>
        <v>A</v>
      </c>
      <c r="AM114" s="109">
        <f t="shared" si="39"/>
        <v>0</v>
      </c>
      <c r="AN114" s="109">
        <f t="shared" si="40"/>
        <v>0</v>
      </c>
      <c r="AO114" s="109" t="str">
        <f t="shared" si="41"/>
        <v/>
      </c>
      <c r="AQ114" s="109" t="str">
        <f t="shared" si="42"/>
        <v/>
      </c>
      <c r="BA114" s="228">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2"/>
      <c r="M115" s="278"/>
      <c r="N115" s="278"/>
      <c r="O115" s="278"/>
      <c r="P115" s="278"/>
      <c r="Q115" s="278"/>
      <c r="R115" s="278"/>
      <c r="S115" s="278"/>
      <c r="T115" s="278"/>
      <c r="U115" s="279"/>
      <c r="V115" s="103"/>
      <c r="W115" s="84">
        <f t="shared" si="50"/>
        <v>145</v>
      </c>
      <c r="X115" s="84"/>
      <c r="Y115" s="78">
        <f>SUM(E99:E115)</f>
        <v>144</v>
      </c>
      <c r="Z115" s="72" t="str">
        <f t="shared" si="48"/>
        <v/>
      </c>
      <c r="AA115" s="72" t="str">
        <f t="shared" si="49"/>
        <v/>
      </c>
      <c r="AB115" s="72"/>
      <c r="AC115" s="72">
        <f t="shared" si="34"/>
        <v>1</v>
      </c>
      <c r="AD115" s="72">
        <f t="shared" si="35"/>
        <v>1</v>
      </c>
      <c r="AE115" s="109" t="str">
        <f t="shared" si="36"/>
        <v>0-0</v>
      </c>
      <c r="AF115" s="109" t="str">
        <f t="shared" si="37"/>
        <v>Y</v>
      </c>
      <c r="AG115" s="109" t="str">
        <f t="shared" si="38"/>
        <v>A</v>
      </c>
      <c r="AM115" s="109">
        <f t="shared" si="39"/>
        <v>0</v>
      </c>
      <c r="AN115" s="109">
        <f t="shared" si="40"/>
        <v>0</v>
      </c>
      <c r="AO115" s="109" t="str">
        <f t="shared" si="41"/>
        <v/>
      </c>
      <c r="AQ115" s="109" t="str">
        <f t="shared" si="42"/>
        <v/>
      </c>
      <c r="BA115" s="228">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2"/>
      <c r="M116" s="278"/>
      <c r="N116" s="278"/>
      <c r="O116" s="278"/>
      <c r="P116" s="278"/>
      <c r="Q116" s="278"/>
      <c r="R116" s="278"/>
      <c r="S116" s="278"/>
      <c r="T116" s="278"/>
      <c r="U116" s="279"/>
      <c r="V116" s="103"/>
      <c r="W116" s="84">
        <f t="shared" si="50"/>
        <v>145</v>
      </c>
      <c r="X116" s="84"/>
      <c r="Y116" s="78">
        <f>SUM(E99:E116)</f>
        <v>144</v>
      </c>
      <c r="Z116" s="72" t="str">
        <f t="shared" si="48"/>
        <v/>
      </c>
      <c r="AA116" s="72" t="str">
        <f t="shared" si="49"/>
        <v/>
      </c>
      <c r="AB116" s="72"/>
      <c r="AC116" s="72">
        <f t="shared" si="34"/>
        <v>1</v>
      </c>
      <c r="AD116" s="72">
        <f t="shared" si="35"/>
        <v>1</v>
      </c>
      <c r="AE116" s="109" t="str">
        <f t="shared" si="36"/>
        <v>0-0</v>
      </c>
      <c r="AF116" s="109" t="str">
        <f t="shared" si="37"/>
        <v>Y</v>
      </c>
      <c r="AG116" s="109" t="str">
        <f t="shared" si="38"/>
        <v>A</v>
      </c>
      <c r="AM116" s="109">
        <f t="shared" si="39"/>
        <v>0</v>
      </c>
      <c r="AN116" s="109">
        <f t="shared" si="40"/>
        <v>0</v>
      </c>
      <c r="AO116" s="109" t="str">
        <f t="shared" si="41"/>
        <v/>
      </c>
      <c r="AQ116" s="109" t="str">
        <f t="shared" si="42"/>
        <v/>
      </c>
      <c r="BA116" s="228">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2"/>
      <c r="M117" s="278"/>
      <c r="N117" s="278"/>
      <c r="O117" s="278"/>
      <c r="P117" s="278"/>
      <c r="Q117" s="278"/>
      <c r="R117" s="278"/>
      <c r="S117" s="278"/>
      <c r="T117" s="278"/>
      <c r="U117" s="279"/>
      <c r="V117" s="103"/>
      <c r="W117" s="84">
        <f t="shared" si="50"/>
        <v>145</v>
      </c>
      <c r="X117" s="84"/>
      <c r="Y117" s="78">
        <f>SUM(E99:E117)</f>
        <v>144</v>
      </c>
      <c r="Z117" s="72" t="str">
        <f t="shared" si="48"/>
        <v/>
      </c>
      <c r="AA117" s="72" t="str">
        <f t="shared" si="49"/>
        <v/>
      </c>
      <c r="AB117" s="72"/>
      <c r="AC117" s="72">
        <f t="shared" si="34"/>
        <v>1</v>
      </c>
      <c r="AD117" s="72">
        <f t="shared" si="35"/>
        <v>1</v>
      </c>
      <c r="AE117" s="109" t="str">
        <f t="shared" si="36"/>
        <v>0-0</v>
      </c>
      <c r="AF117" s="109" t="str">
        <f t="shared" si="37"/>
        <v>Y</v>
      </c>
      <c r="AG117" s="109" t="str">
        <f t="shared" si="38"/>
        <v>A</v>
      </c>
      <c r="AM117" s="109">
        <f t="shared" si="39"/>
        <v>0</v>
      </c>
      <c r="AN117" s="109">
        <f t="shared" si="40"/>
        <v>0</v>
      </c>
      <c r="AO117" s="109" t="str">
        <f t="shared" si="41"/>
        <v/>
      </c>
      <c r="AQ117" s="109" t="str">
        <f t="shared" si="42"/>
        <v/>
      </c>
      <c r="BA117" s="228">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2"/>
      <c r="M118" s="278"/>
      <c r="N118" s="278"/>
      <c r="O118" s="278"/>
      <c r="P118" s="278"/>
      <c r="Q118" s="278"/>
      <c r="R118" s="278"/>
      <c r="S118" s="278"/>
      <c r="T118" s="278"/>
      <c r="U118" s="279"/>
      <c r="V118" s="103"/>
      <c r="W118" s="84">
        <f t="shared" si="50"/>
        <v>145</v>
      </c>
      <c r="X118" s="84"/>
      <c r="Y118" s="78">
        <f>SUM(E99:E118)</f>
        <v>144</v>
      </c>
      <c r="Z118" s="72" t="str">
        <f t="shared" si="48"/>
        <v/>
      </c>
      <c r="AA118" s="72" t="str">
        <f t="shared" si="49"/>
        <v/>
      </c>
      <c r="AB118" s="72"/>
      <c r="AC118" s="72">
        <f t="shared" si="34"/>
        <v>1</v>
      </c>
      <c r="AD118" s="72">
        <f t="shared" si="35"/>
        <v>1</v>
      </c>
      <c r="AE118" s="109" t="str">
        <f t="shared" si="36"/>
        <v>0-0</v>
      </c>
      <c r="AF118" s="109" t="str">
        <f t="shared" si="37"/>
        <v>Y</v>
      </c>
      <c r="AG118" s="109" t="str">
        <f t="shared" si="38"/>
        <v>A</v>
      </c>
      <c r="AM118" s="109">
        <f t="shared" si="39"/>
        <v>0</v>
      </c>
      <c r="AN118" s="109">
        <f t="shared" si="40"/>
        <v>0</v>
      </c>
      <c r="AO118" s="109" t="str">
        <f t="shared" si="41"/>
        <v/>
      </c>
      <c r="AQ118" s="109" t="str">
        <f t="shared" si="42"/>
        <v/>
      </c>
      <c r="BA118" s="228">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2"/>
      <c r="M119" s="278"/>
      <c r="N119" s="278"/>
      <c r="O119" s="278"/>
      <c r="P119" s="278"/>
      <c r="Q119" s="278"/>
      <c r="R119" s="278"/>
      <c r="S119" s="278"/>
      <c r="T119" s="278"/>
      <c r="U119" s="279"/>
      <c r="V119" s="103"/>
      <c r="W119" s="84">
        <f t="shared" si="50"/>
        <v>145</v>
      </c>
      <c r="X119" s="84"/>
      <c r="Y119" s="78">
        <f>SUM(E99:E119)</f>
        <v>144</v>
      </c>
      <c r="Z119" s="72" t="str">
        <f t="shared" si="48"/>
        <v/>
      </c>
      <c r="AA119" s="72" t="str">
        <f t="shared" si="49"/>
        <v/>
      </c>
      <c r="AB119" s="72"/>
      <c r="AC119" s="72">
        <f t="shared" si="34"/>
        <v>1</v>
      </c>
      <c r="AD119" s="72">
        <f t="shared" si="35"/>
        <v>1</v>
      </c>
      <c r="AE119" s="109" t="str">
        <f t="shared" si="36"/>
        <v>0-0</v>
      </c>
      <c r="AF119" s="109" t="str">
        <f t="shared" si="37"/>
        <v>Y</v>
      </c>
      <c r="AG119" s="109" t="str">
        <f t="shared" si="38"/>
        <v>A</v>
      </c>
      <c r="AM119" s="109">
        <f t="shared" si="39"/>
        <v>0</v>
      </c>
      <c r="AN119" s="109">
        <f t="shared" si="40"/>
        <v>0</v>
      </c>
      <c r="AO119" s="109" t="str">
        <f t="shared" si="41"/>
        <v/>
      </c>
      <c r="AQ119" s="109" t="str">
        <f t="shared" si="42"/>
        <v/>
      </c>
      <c r="BA119" s="228">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2"/>
      <c r="M120" s="278"/>
      <c r="N120" s="278"/>
      <c r="O120" s="278"/>
      <c r="P120" s="278"/>
      <c r="Q120" s="278"/>
      <c r="R120" s="278"/>
      <c r="S120" s="278"/>
      <c r="T120" s="278"/>
      <c r="U120" s="279"/>
      <c r="V120" s="103"/>
      <c r="W120" s="84">
        <f t="shared" si="50"/>
        <v>145</v>
      </c>
      <c r="X120" s="84"/>
      <c r="Y120" s="78">
        <f>SUM(E99:E120)</f>
        <v>144</v>
      </c>
      <c r="Z120" s="72" t="str">
        <f t="shared" si="48"/>
        <v/>
      </c>
      <c r="AA120" s="72" t="str">
        <f t="shared" si="49"/>
        <v/>
      </c>
      <c r="AB120" s="72"/>
      <c r="AC120" s="72">
        <f t="shared" si="34"/>
        <v>1</v>
      </c>
      <c r="AD120" s="72">
        <f t="shared" si="35"/>
        <v>1</v>
      </c>
      <c r="AE120" s="109" t="str">
        <f t="shared" si="36"/>
        <v>0-0</v>
      </c>
      <c r="AF120" s="109" t="str">
        <f t="shared" si="37"/>
        <v>Y</v>
      </c>
      <c r="AG120" s="109" t="str">
        <f t="shared" si="38"/>
        <v>A</v>
      </c>
      <c r="AM120" s="109">
        <f t="shared" si="39"/>
        <v>0</v>
      </c>
      <c r="AN120" s="109">
        <f t="shared" si="40"/>
        <v>0</v>
      </c>
      <c r="AO120" s="109" t="str">
        <f t="shared" si="41"/>
        <v/>
      </c>
      <c r="AQ120" s="109" t="str">
        <f t="shared" si="42"/>
        <v/>
      </c>
      <c r="BA120" s="228">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2"/>
      <c r="M121" s="278"/>
      <c r="N121" s="278"/>
      <c r="O121" s="278"/>
      <c r="P121" s="278"/>
      <c r="Q121" s="278"/>
      <c r="R121" s="278"/>
      <c r="S121" s="278"/>
      <c r="T121" s="278"/>
      <c r="U121" s="279"/>
      <c r="V121" s="103"/>
      <c r="W121" s="84">
        <f t="shared" si="50"/>
        <v>145</v>
      </c>
      <c r="X121" s="84"/>
      <c r="Y121" s="78">
        <f>SUM(E99:E121)</f>
        <v>144</v>
      </c>
      <c r="Z121" s="72" t="str">
        <f t="shared" si="48"/>
        <v/>
      </c>
      <c r="AA121" s="72" t="str">
        <f t="shared" si="49"/>
        <v/>
      </c>
      <c r="AB121" s="72"/>
      <c r="AC121" s="72">
        <f t="shared" si="34"/>
        <v>1</v>
      </c>
      <c r="AD121" s="72">
        <f t="shared" si="35"/>
        <v>1</v>
      </c>
      <c r="AE121" s="109" t="str">
        <f t="shared" si="36"/>
        <v>0-0</v>
      </c>
      <c r="AF121" s="109" t="str">
        <f t="shared" si="37"/>
        <v>Y</v>
      </c>
      <c r="AG121" s="109" t="str">
        <f t="shared" si="38"/>
        <v>A</v>
      </c>
      <c r="AM121" s="109">
        <f t="shared" si="39"/>
        <v>0</v>
      </c>
      <c r="AN121" s="109">
        <f t="shared" si="40"/>
        <v>0</v>
      </c>
      <c r="AO121" s="109" t="str">
        <f t="shared" si="41"/>
        <v/>
      </c>
      <c r="AQ121" s="109" t="str">
        <f t="shared" si="42"/>
        <v/>
      </c>
      <c r="BA121" s="228">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2"/>
      <c r="M122" s="278"/>
      <c r="N122" s="278"/>
      <c r="O122" s="278"/>
      <c r="P122" s="278"/>
      <c r="Q122" s="278"/>
      <c r="R122" s="278"/>
      <c r="S122" s="278"/>
      <c r="T122" s="278"/>
      <c r="U122" s="279"/>
      <c r="V122" s="103"/>
      <c r="W122" s="84">
        <f t="shared" si="50"/>
        <v>145</v>
      </c>
      <c r="X122" s="84"/>
      <c r="Y122" s="78">
        <f>SUM(E99:E122)</f>
        <v>144</v>
      </c>
      <c r="Z122" s="72" t="str">
        <f t="shared" si="48"/>
        <v/>
      </c>
      <c r="AA122" s="72" t="str">
        <f t="shared" si="49"/>
        <v/>
      </c>
      <c r="AB122" s="72"/>
      <c r="AC122" s="72">
        <f t="shared" si="34"/>
        <v>1</v>
      </c>
      <c r="AD122" s="72">
        <f t="shared" si="35"/>
        <v>1</v>
      </c>
      <c r="AE122" s="109" t="str">
        <f t="shared" si="36"/>
        <v>0-0</v>
      </c>
      <c r="AF122" s="109" t="str">
        <f t="shared" si="37"/>
        <v>Y</v>
      </c>
      <c r="AG122" s="109" t="str">
        <f t="shared" si="38"/>
        <v>A</v>
      </c>
      <c r="AM122" s="109">
        <f t="shared" si="39"/>
        <v>0</v>
      </c>
      <c r="AN122" s="109">
        <f t="shared" si="40"/>
        <v>0</v>
      </c>
      <c r="AO122" s="109" t="str">
        <f t="shared" si="41"/>
        <v/>
      </c>
      <c r="AQ122" s="109" t="str">
        <f t="shared" si="42"/>
        <v/>
      </c>
      <c r="BA122" s="228">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3"/>
      <c r="M123" s="278"/>
      <c r="N123" s="278"/>
      <c r="O123" s="278"/>
      <c r="P123" s="278"/>
      <c r="Q123" s="278"/>
      <c r="R123" s="278"/>
      <c r="S123" s="278"/>
      <c r="T123" s="278"/>
      <c r="U123" s="279"/>
      <c r="V123" s="103"/>
      <c r="W123" s="72"/>
      <c r="X123" s="72"/>
      <c r="Y123" s="78">
        <f>SUM(E99:E123)</f>
        <v>144</v>
      </c>
      <c r="Z123" s="72" t="str">
        <f t="shared" si="48"/>
        <v/>
      </c>
      <c r="AA123" s="72" t="str">
        <f t="shared" si="49"/>
        <v/>
      </c>
      <c r="AB123" s="72"/>
      <c r="AC123" s="72">
        <f t="shared" si="34"/>
        <v>1</v>
      </c>
      <c r="AD123" s="72">
        <f t="shared" si="35"/>
        <v>1</v>
      </c>
      <c r="AE123" s="109" t="str">
        <f t="shared" si="36"/>
        <v>0-0</v>
      </c>
      <c r="AF123" s="109" t="str">
        <f t="shared" si="37"/>
        <v>Y</v>
      </c>
      <c r="AG123" s="109" t="str">
        <f t="shared" si="38"/>
        <v>A</v>
      </c>
      <c r="AM123" s="109">
        <f t="shared" si="39"/>
        <v>0</v>
      </c>
      <c r="AN123" s="109">
        <f t="shared" si="40"/>
        <v>0</v>
      </c>
      <c r="AO123" s="109" t="str">
        <f t="shared" si="41"/>
        <v/>
      </c>
      <c r="AQ123" s="109" t="str">
        <f t="shared" si="42"/>
        <v/>
      </c>
      <c r="BA123" s="227"/>
    </row>
    <row r="124" spans="1:53" ht="16.5" thickBot="1" x14ac:dyDescent="0.3">
      <c r="A124" s="88"/>
      <c r="B124" s="319" t="s">
        <v>309</v>
      </c>
      <c r="C124" s="320"/>
      <c r="D124" s="79"/>
      <c r="E124" s="80"/>
      <c r="F124" s="80"/>
      <c r="G124" s="81"/>
      <c r="H124" s="191"/>
      <c r="I124" s="191"/>
      <c r="J124" s="191"/>
      <c r="K124" s="82"/>
      <c r="L124" s="319" t="s">
        <v>306</v>
      </c>
      <c r="M124" s="330"/>
      <c r="N124" s="330"/>
      <c r="O124" s="330"/>
      <c r="P124" s="330"/>
      <c r="Q124" s="330"/>
      <c r="R124" s="330"/>
      <c r="S124" s="330"/>
      <c r="T124" s="330"/>
      <c r="U124" s="320"/>
      <c r="V124" s="104"/>
      <c r="W124" s="72"/>
      <c r="X124" s="72"/>
      <c r="Y124" s="72"/>
      <c r="Z124" s="72"/>
      <c r="AA124" s="72" t="str">
        <f t="shared" si="49"/>
        <v/>
      </c>
      <c r="AB124" s="72"/>
      <c r="AC124" s="72">
        <f>SUM(AC99:AC123)</f>
        <v>25</v>
      </c>
      <c r="AD124" s="72">
        <f>SUM(AD99:AD123)</f>
        <v>23</v>
      </c>
      <c r="AM124" s="109">
        <f>SUM(AM99:AM123)</f>
        <v>0</v>
      </c>
      <c r="AN124" s="109">
        <f>SUM(AN99:AN123)</f>
        <v>0</v>
      </c>
      <c r="AO124" s="109">
        <f>((COUNTIF(AO99:AO123,"Y")/3)*2)</f>
        <v>0</v>
      </c>
      <c r="AP124" s="109">
        <f>(COUNTIF(AO99:AO123,"Y")/3)</f>
        <v>0</v>
      </c>
      <c r="AQ124" s="109">
        <f>(COUNTIF(AQ99:AQ123,"Y")/2)</f>
        <v>0</v>
      </c>
      <c r="AR124" s="109">
        <f>(COUNTIF(AQ99:AQ123,"Y")/2)</f>
        <v>0</v>
      </c>
      <c r="BA124" s="227"/>
    </row>
    <row r="125" spans="1:53" ht="16.5" thickBot="1" x14ac:dyDescent="0.3">
      <c r="A125" s="88"/>
      <c r="B125" s="319" t="s">
        <v>307</v>
      </c>
      <c r="C125" s="320"/>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5"/>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5" t="s">
        <v>210</v>
      </c>
      <c r="N128" s="195" t="s">
        <v>211</v>
      </c>
      <c r="O128" s="195" t="s">
        <v>212</v>
      </c>
      <c r="P128" s="195" t="s">
        <v>213</v>
      </c>
      <c r="Q128" s="195" t="s">
        <v>214</v>
      </c>
      <c r="R128" s="195" t="s">
        <v>215</v>
      </c>
      <c r="S128" s="195" t="s">
        <v>216</v>
      </c>
      <c r="T128" s="195" t="s">
        <v>217</v>
      </c>
      <c r="U128" s="195" t="s">
        <v>218</v>
      </c>
      <c r="V128" s="195" t="s">
        <v>219</v>
      </c>
      <c r="W128" s="113" t="s">
        <v>220</v>
      </c>
      <c r="X128" s="195" t="s">
        <v>221</v>
      </c>
      <c r="Y128" s="25"/>
      <c r="Z128" s="25"/>
      <c r="AA128" s="25"/>
      <c r="AB128" s="25"/>
      <c r="AC128" s="25"/>
      <c r="AD128" s="25"/>
      <c r="BA128" s="225"/>
    </row>
    <row r="129" spans="1:53" ht="16.5" thickTop="1" thickBot="1" x14ac:dyDescent="0.3">
      <c r="A129" s="88"/>
      <c r="B129" s="312" t="s">
        <v>222</v>
      </c>
      <c r="C129" s="313"/>
      <c r="D129" s="314" t="s">
        <v>223</v>
      </c>
      <c r="E129" s="305"/>
      <c r="F129" s="88"/>
      <c r="G129" s="315" t="s">
        <v>224</v>
      </c>
      <c r="H129" s="316"/>
      <c r="I129" s="28">
        <f>SUM(E140:E164)</f>
        <v>60</v>
      </c>
      <c r="J129" s="317" t="s">
        <v>225</v>
      </c>
      <c r="K129" s="318"/>
      <c r="L129" s="305"/>
      <c r="M129" s="195">
        <v>2</v>
      </c>
      <c r="N129" s="35">
        <f>SUM(AI129,AI140)</f>
        <v>0</v>
      </c>
      <c r="O129" s="35">
        <v>0</v>
      </c>
      <c r="P129" s="35">
        <f>SUM(AJ129,AJ140)</f>
        <v>0</v>
      </c>
      <c r="Q129" s="35">
        <v>0</v>
      </c>
      <c r="R129" s="35">
        <f>COUNTIFS($E140:$E164,"2",$F140:$F164,"Pole",$C140:$C164,"FST")</f>
        <v>0</v>
      </c>
      <c r="S129" s="35">
        <f>SUM(AL129,AK140)</f>
        <v>0</v>
      </c>
      <c r="T129" s="35">
        <v>0</v>
      </c>
      <c r="U129" s="35">
        <f>SUM(AK129,AL140)</f>
        <v>2</v>
      </c>
      <c r="V129" s="35">
        <v>0</v>
      </c>
      <c r="W129" s="34">
        <f>COUNTIFS($E140:$E164,"2",$F140:$F164,"HH",$C140:$C164,"FST")</f>
        <v>2</v>
      </c>
      <c r="X129" s="35">
        <f>COUNTIFS($E140:$E164,"2",$F140:$F164,"Ped",$C140:$C164,"FST")</f>
        <v>0</v>
      </c>
      <c r="Y129" s="25"/>
      <c r="Z129" s="295" t="s">
        <v>226</v>
      </c>
      <c r="AA129" s="296"/>
      <c r="AB129" s="297"/>
      <c r="AC129" s="25"/>
      <c r="AD129" s="25"/>
      <c r="AH129" s="109">
        <v>2</v>
      </c>
      <c r="AI129" s="109" t="str">
        <f>IF($E130="SS",COUNTIFS($C140:$C164,"FST",$E140:$E164,"2"),"0")</f>
        <v>0</v>
      </c>
      <c r="AJ129" s="109" t="str">
        <f>IF($E130="RPX",COUNTIFS($C140:$C164,"FST",$E140:$E164,"2"),"0")</f>
        <v>0</v>
      </c>
      <c r="AK129" s="109">
        <f>IF($E130="EUC",COUNTIFS($C140:$C164,"FST",$E140:$E164,"2"),"0")</f>
        <v>2</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5"/>
    </row>
    <row r="130" spans="1:53" ht="16.5" customHeight="1" thickTop="1" thickBot="1" x14ac:dyDescent="0.3">
      <c r="A130" s="88"/>
      <c r="B130" s="29" t="s">
        <v>228</v>
      </c>
      <c r="C130" s="30">
        <v>0</v>
      </c>
      <c r="D130" s="31" t="s">
        <v>229</v>
      </c>
      <c r="E130" s="66" t="str">
        <f>TEXT(IF('Cable Calculator'!S7="","",'Cable Calculator'!S7),)</f>
        <v>EUC</v>
      </c>
      <c r="F130" s="88"/>
      <c r="G130" s="304" t="s">
        <v>230</v>
      </c>
      <c r="H130" s="305"/>
      <c r="I130" s="33">
        <f>E131-I129</f>
        <v>372</v>
      </c>
      <c r="J130" s="289" t="s">
        <v>231</v>
      </c>
      <c r="K130" s="290"/>
      <c r="L130" s="34">
        <f>I134</f>
        <v>637</v>
      </c>
      <c r="M130" s="195">
        <v>4</v>
      </c>
      <c r="N130" s="35">
        <f>SUM(AI130,AI141)</f>
        <v>0</v>
      </c>
      <c r="O130" s="35">
        <v>0</v>
      </c>
      <c r="P130" s="35">
        <f>SUM(AJ130,AJ141)</f>
        <v>0</v>
      </c>
      <c r="Q130" s="35">
        <v>0</v>
      </c>
      <c r="R130" s="35">
        <f>COUNTIFS($E140:$E164,"4",$F140:$F164,"Pole",$C140:$C164,"FST")</f>
        <v>0</v>
      </c>
      <c r="S130" s="35">
        <f>SUM(AL130,AK141)</f>
        <v>0</v>
      </c>
      <c r="T130" s="35">
        <v>0</v>
      </c>
      <c r="U130" s="35">
        <f>SUM(AK130,AL141)</f>
        <v>2</v>
      </c>
      <c r="V130" s="35">
        <v>0</v>
      </c>
      <c r="W130" s="34">
        <f>COUNTIFS($E140:$E164,"4",$F140:$F164,"HH",$C140:$C164,"FST")</f>
        <v>2</v>
      </c>
      <c r="X130" s="35">
        <f>COUNTIFS($E140:$E164,"4",$F140:$F164,"Ped",$C140:$C164,"FST")</f>
        <v>0</v>
      </c>
      <c r="Y130" s="25"/>
      <c r="Z130" s="298" t="s">
        <v>232</v>
      </c>
      <c r="AA130" s="300" t="s">
        <v>233</v>
      </c>
      <c r="AB130" s="301"/>
      <c r="AC130" s="25"/>
      <c r="AD130" s="25"/>
      <c r="AH130" s="109">
        <v>4</v>
      </c>
      <c r="AI130" s="109" t="str">
        <f>IF($E130="SS",COUNTIFS($C140:$C164,"FST",$E140:$E164,"4"),"0")</f>
        <v>0</v>
      </c>
      <c r="AJ130" s="109" t="str">
        <f>IF($E130="RPX",COUNTIFS($C140:$C164,"FST",$E140:$E164,"4"),"0")</f>
        <v>0</v>
      </c>
      <c r="AK130" s="109">
        <f>IF($E130="EUC",COUNTIFS($C140:$C164,"FST",$E140:$E164,"4"),"0")</f>
        <v>2</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6"/>
    </row>
    <row r="131" spans="1:53" ht="16.5" thickTop="1" thickBot="1" x14ac:dyDescent="0.3">
      <c r="A131" s="88"/>
      <c r="B131" s="36" t="s">
        <v>235</v>
      </c>
      <c r="C131" s="37">
        <v>0</v>
      </c>
      <c r="D131" s="38" t="s">
        <v>236</v>
      </c>
      <c r="E131" s="32">
        <v>432</v>
      </c>
      <c r="F131" s="88"/>
      <c r="G131" s="291" t="s">
        <v>237</v>
      </c>
      <c r="H131" s="292"/>
      <c r="I131" s="35">
        <f>IF(E131=0,0,12-(MOD(I129,12)))</f>
        <v>12</v>
      </c>
      <c r="J131" s="289" t="s">
        <v>238</v>
      </c>
      <c r="K131" s="290"/>
      <c r="L131" s="39">
        <f>I135-I129</f>
        <v>636</v>
      </c>
      <c r="M131" s="195">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9"/>
      <c r="AA131" s="302"/>
      <c r="AB131" s="303"/>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6"/>
    </row>
    <row r="132" spans="1:53" ht="16.5" customHeight="1" thickTop="1" thickBot="1" x14ac:dyDescent="0.3">
      <c r="A132" s="88"/>
      <c r="B132" s="40" t="s">
        <v>240</v>
      </c>
      <c r="C132" s="30">
        <v>0</v>
      </c>
      <c r="D132" s="41" t="s">
        <v>241</v>
      </c>
      <c r="E132" s="42">
        <v>144</v>
      </c>
      <c r="F132" s="88"/>
      <c r="G132" s="321" t="s">
        <v>242</v>
      </c>
      <c r="H132" s="43" t="s">
        <v>243</v>
      </c>
      <c r="I132" s="35">
        <f>IF(E132&lt;&gt;0,1,0)</f>
        <v>1</v>
      </c>
      <c r="J132" s="291" t="s">
        <v>244</v>
      </c>
      <c r="K132" s="292"/>
      <c r="L132" s="44">
        <f>'Cable Calculator'!S3</f>
        <v>3069</v>
      </c>
      <c r="M132" s="195">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6"/>
    </row>
    <row r="133" spans="1:53" ht="16.5" thickTop="1" thickBot="1" x14ac:dyDescent="0.3">
      <c r="A133" s="88"/>
      <c r="B133" s="29" t="s">
        <v>246</v>
      </c>
      <c r="C133" s="37">
        <v>0</v>
      </c>
      <c r="D133" s="41" t="s">
        <v>247</v>
      </c>
      <c r="E133" s="42">
        <v>637</v>
      </c>
      <c r="F133" s="88"/>
      <c r="G133" s="322"/>
      <c r="H133" s="47" t="s">
        <v>248</v>
      </c>
      <c r="I133" s="35">
        <f>IF(E132&lt;&gt;0,E132,0)</f>
        <v>144</v>
      </c>
      <c r="J133" s="193"/>
      <c r="K133" s="194"/>
      <c r="L133" s="48"/>
      <c r="M133" s="195">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6"/>
    </row>
    <row r="134" spans="1:53" ht="16.5" customHeight="1" thickTop="1" thickBot="1" x14ac:dyDescent="0.3">
      <c r="A134" s="88"/>
      <c r="B134" s="36" t="s">
        <v>249</v>
      </c>
      <c r="C134" s="30">
        <v>0</v>
      </c>
      <c r="D134" s="49" t="s">
        <v>250</v>
      </c>
      <c r="E134" s="50">
        <f>E131/12</f>
        <v>36</v>
      </c>
      <c r="F134" s="88"/>
      <c r="G134" s="321" t="s">
        <v>251</v>
      </c>
      <c r="H134" s="51" t="s">
        <v>252</v>
      </c>
      <c r="I134" s="112">
        <f>E133</f>
        <v>637</v>
      </c>
      <c r="J134" s="323" t="s">
        <v>253</v>
      </c>
      <c r="K134" s="324"/>
      <c r="L134" s="325"/>
      <c r="M134" s="52" t="s">
        <v>254</v>
      </c>
      <c r="N134" s="106"/>
      <c r="O134" s="106"/>
      <c r="P134" s="191"/>
      <c r="Q134" s="191"/>
      <c r="R134" s="191"/>
      <c r="S134" s="191"/>
      <c r="T134" s="191"/>
      <c r="U134" s="191"/>
      <c r="V134" s="191"/>
      <c r="W134" s="53">
        <f>SUM(P134:U134)</f>
        <v>0</v>
      </c>
      <c r="X134" s="54"/>
      <c r="Y134" s="25"/>
      <c r="Z134" s="45">
        <v>3</v>
      </c>
      <c r="AA134" s="46">
        <v>25</v>
      </c>
      <c r="AB134" s="46">
        <v>36</v>
      </c>
      <c r="AC134" s="25"/>
      <c r="AD134" s="25"/>
      <c r="BA134" s="226"/>
    </row>
    <row r="135" spans="1:53" ht="16.5" thickTop="1" thickBot="1" x14ac:dyDescent="0.3">
      <c r="A135" s="88"/>
      <c r="B135" s="36" t="s">
        <v>255</v>
      </c>
      <c r="C135" s="30">
        <v>216</v>
      </c>
      <c r="D135" s="31" t="s">
        <v>256</v>
      </c>
      <c r="E135" s="101" t="str">
        <f>IF('Cable Calculator'!S5="","",'Cable Calculator'!S5)</f>
        <v>N</v>
      </c>
      <c r="F135" s="88"/>
      <c r="G135" s="322"/>
      <c r="H135" s="47" t="s">
        <v>257</v>
      </c>
      <c r="I135" s="35">
        <f>IF(E133="","0",IF(AND(E130="EUC",E131=432), I134+(203-E132),IF(E133=0,0,(E133+(E131-E132)-1))))</f>
        <v>696</v>
      </c>
      <c r="J135" s="286" t="str">
        <f>IFERROR(IF(OR(E130="EUC",E130="SS"),"---",IF(OR(P129,S129),"NO 2F Tethers for RPX!",IF(OR(P131,S131),"NO 6F Tethers for RPX!","---"))),"---")</f>
        <v>---</v>
      </c>
      <c r="K135" s="287"/>
      <c r="L135" s="288"/>
      <c r="M135" s="286" t="str">
        <f>IF(E132&gt;60,"Dead Count &gt;60: Consider Downsize","---")</f>
        <v>Dead Count &gt;60: Consider Downsize</v>
      </c>
      <c r="N135" s="287"/>
      <c r="O135" s="287"/>
      <c r="P135" s="287"/>
      <c r="Q135" s="287"/>
      <c r="R135" s="287"/>
      <c r="S135" s="287"/>
      <c r="T135" s="287"/>
      <c r="U135" s="288"/>
      <c r="V135" s="100"/>
      <c r="W135" s="54">
        <f>SUM(P135:U135)</f>
        <v>0</v>
      </c>
      <c r="X135" s="54"/>
      <c r="Y135" s="25"/>
      <c r="Z135" s="45">
        <v>4</v>
      </c>
      <c r="AA135" s="46">
        <v>37</v>
      </c>
      <c r="AB135" s="46">
        <v>48</v>
      </c>
      <c r="AC135" s="25"/>
      <c r="AD135" s="25"/>
      <c r="BA135" s="226"/>
    </row>
    <row r="136" spans="1:53" ht="16.5" thickTop="1" thickBot="1" x14ac:dyDescent="0.3">
      <c r="A136" s="88"/>
      <c r="B136" s="55" t="s">
        <v>258</v>
      </c>
      <c r="C136" s="56">
        <f>SUM(C130:C135)+I129</f>
        <v>276</v>
      </c>
      <c r="D136" s="31" t="s">
        <v>259</v>
      </c>
      <c r="E136" s="101" t="str">
        <f>IF(AS130="Y","DBL",IF(AS131="Y","TRPL",IF(AS132="Y","QUAD","")))</f>
        <v/>
      </c>
      <c r="F136" s="88"/>
      <c r="G136" s="191"/>
      <c r="H136" s="57"/>
      <c r="I136" s="191"/>
      <c r="J136" s="286"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7"/>
      <c r="L136" s="288"/>
      <c r="M136" s="286" t="str">
        <f>IF(AND(OR(E130="SS",E130="RPX",E130="EUC",E130="RPX-T"),(OR(C140="",C140="Field SPL"))),"Cannot have FlexNap cables without tethers","---")</f>
        <v>---</v>
      </c>
      <c r="N136" s="287"/>
      <c r="O136" s="287"/>
      <c r="P136" s="287"/>
      <c r="Q136" s="287"/>
      <c r="R136" s="287"/>
      <c r="S136" s="287"/>
      <c r="T136" s="287"/>
      <c r="U136" s="288"/>
      <c r="V136" s="25"/>
      <c r="W136" s="58"/>
      <c r="X136" s="58"/>
      <c r="Y136" s="25"/>
      <c r="Z136" s="45">
        <v>5</v>
      </c>
      <c r="AA136" s="46">
        <v>49</v>
      </c>
      <c r="AB136" s="46">
        <v>60</v>
      </c>
      <c r="AC136" s="25"/>
      <c r="AD136" s="25"/>
      <c r="BA136" s="226"/>
    </row>
    <row r="137" spans="1:53" ht="16.5" thickTop="1" thickBot="1" x14ac:dyDescent="0.3">
      <c r="A137" s="88"/>
      <c r="B137" s="59"/>
      <c r="C137" s="60"/>
      <c r="D137" s="61"/>
      <c r="E137" s="62"/>
      <c r="F137" s="88"/>
      <c r="G137" s="63"/>
      <c r="H137" s="64"/>
      <c r="I137" s="63"/>
      <c r="J137" s="286" t="str">
        <f>IF(AND(OR(E130="RPX", E130="RPX-T", E130="SS"),E131=216),"NO 216 For RPX, RPX-T, OR SS CABLE","---")</f>
        <v>---</v>
      </c>
      <c r="K137" s="287"/>
      <c r="L137" s="288"/>
      <c r="M137" s="286" t="str" cm="1">
        <f t="array" ref="M137">IF(AND(E130="",OR(C140:C164="FST",C140:C164="REV T",C140:C164="DBL REV",C140:C164="TPL REV", C140:C164="QD REV")),"Non-FlexNap cables cannot have tethers","---")</f>
        <v>---</v>
      </c>
      <c r="N137" s="287"/>
      <c r="O137" s="287"/>
      <c r="P137" s="287"/>
      <c r="Q137" s="287"/>
      <c r="R137" s="287"/>
      <c r="S137" s="287"/>
      <c r="T137" s="287"/>
      <c r="U137" s="288"/>
      <c r="V137" s="25"/>
      <c r="W137" s="58"/>
      <c r="X137" s="58"/>
      <c r="Y137" s="25"/>
      <c r="Z137" s="45">
        <v>6</v>
      </c>
      <c r="AA137" s="65">
        <v>61</v>
      </c>
      <c r="AB137" s="65">
        <v>72</v>
      </c>
      <c r="AC137" s="25"/>
      <c r="AD137" s="25"/>
      <c r="BA137" s="225"/>
    </row>
    <row r="138" spans="1:53" ht="15.75" customHeight="1" thickBot="1" x14ac:dyDescent="0.3">
      <c r="A138" s="88"/>
      <c r="B138" s="321" t="s">
        <v>260</v>
      </c>
      <c r="C138" s="293" t="s">
        <v>261</v>
      </c>
      <c r="D138" s="293" t="s">
        <v>262</v>
      </c>
      <c r="E138" s="306" t="s">
        <v>263</v>
      </c>
      <c r="F138" s="293" t="s">
        <v>264</v>
      </c>
      <c r="G138" s="308" t="s">
        <v>265</v>
      </c>
      <c r="H138" s="308" t="s">
        <v>266</v>
      </c>
      <c r="I138" s="308" t="s">
        <v>267</v>
      </c>
      <c r="J138" s="310" t="s">
        <v>268</v>
      </c>
      <c r="K138" s="293" t="s">
        <v>269</v>
      </c>
      <c r="L138" s="280" t="s">
        <v>270</v>
      </c>
      <c r="M138" s="282" t="s">
        <v>271</v>
      </c>
      <c r="N138" s="282"/>
      <c r="O138" s="282"/>
      <c r="P138" s="282"/>
      <c r="Q138" s="282"/>
      <c r="R138" s="282"/>
      <c r="S138" s="282"/>
      <c r="T138" s="282"/>
      <c r="U138" s="283"/>
      <c r="V138" s="107"/>
      <c r="W138" s="72"/>
      <c r="X138" s="72"/>
      <c r="Y138" s="72"/>
      <c r="Z138" s="45">
        <v>7</v>
      </c>
      <c r="AA138" s="65">
        <v>73</v>
      </c>
      <c r="AB138" s="65">
        <v>84</v>
      </c>
      <c r="AC138" s="25"/>
      <c r="AD138" s="25"/>
      <c r="BA138" s="227"/>
    </row>
    <row r="139" spans="1:53" ht="15.75" thickBot="1" x14ac:dyDescent="0.3">
      <c r="A139" s="88"/>
      <c r="B139" s="322"/>
      <c r="C139" s="294"/>
      <c r="D139" s="294"/>
      <c r="E139" s="307"/>
      <c r="F139" s="294"/>
      <c r="G139" s="309"/>
      <c r="H139" s="309"/>
      <c r="I139" s="309"/>
      <c r="J139" s="311"/>
      <c r="K139" s="294"/>
      <c r="L139" s="281"/>
      <c r="M139" s="284"/>
      <c r="N139" s="284"/>
      <c r="O139" s="284"/>
      <c r="P139" s="284"/>
      <c r="Q139" s="284"/>
      <c r="R139" s="284"/>
      <c r="S139" s="284"/>
      <c r="T139" s="284"/>
      <c r="U139" s="285"/>
      <c r="V139" s="107"/>
      <c r="W139" s="72"/>
      <c r="X139" s="72"/>
      <c r="Y139" s="72"/>
      <c r="Z139" s="45">
        <v>8</v>
      </c>
      <c r="AA139" s="46">
        <v>85</v>
      </c>
      <c r="AB139" s="46">
        <v>96</v>
      </c>
      <c r="AC139" s="25"/>
      <c r="AD139" s="25"/>
      <c r="AI139" s="109" t="s">
        <v>272</v>
      </c>
      <c r="AJ139" s="109" t="s">
        <v>273</v>
      </c>
      <c r="AK139" s="109" t="s">
        <v>274</v>
      </c>
      <c r="AL139" s="109" t="s">
        <v>275</v>
      </c>
      <c r="BA139" s="227"/>
    </row>
    <row r="140" spans="1:53" ht="15.75" thickBot="1" x14ac:dyDescent="0.3">
      <c r="A140" s="88"/>
      <c r="B140" s="66" t="s">
        <v>276</v>
      </c>
      <c r="C140" s="67" t="s">
        <v>484</v>
      </c>
      <c r="D140" s="102" t="s">
        <v>741</v>
      </c>
      <c r="E140" s="32">
        <v>4</v>
      </c>
      <c r="F140" s="32" t="s">
        <v>488</v>
      </c>
      <c r="G140" s="68" t="s">
        <v>277</v>
      </c>
      <c r="H140" s="69">
        <f>IF(I140=0,0,I140-(E140-1))</f>
        <v>693</v>
      </c>
      <c r="I140" s="70">
        <f>IF(E140=0,0,I135)</f>
        <v>696</v>
      </c>
      <c r="J140" s="71" t="s">
        <v>278</v>
      </c>
      <c r="K140" s="32"/>
      <c r="L140" s="232"/>
      <c r="M140" s="278"/>
      <c r="N140" s="278"/>
      <c r="O140" s="278"/>
      <c r="P140" s="278"/>
      <c r="Q140" s="278"/>
      <c r="R140" s="278"/>
      <c r="S140" s="278"/>
      <c r="T140" s="278"/>
      <c r="U140" s="279"/>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693-696</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8">
        <f>MOD(E140,12)</f>
        <v>4</v>
      </c>
    </row>
    <row r="141" spans="1:53" ht="15.75" thickBot="1" x14ac:dyDescent="0.3">
      <c r="A141" s="88"/>
      <c r="B141" s="66" t="s">
        <v>279</v>
      </c>
      <c r="C141" s="67" t="s">
        <v>484</v>
      </c>
      <c r="D141" s="102" t="s">
        <v>742</v>
      </c>
      <c r="E141" s="32">
        <v>2</v>
      </c>
      <c r="F141" s="32" t="s">
        <v>488</v>
      </c>
      <c r="G141" s="68" t="s">
        <v>277</v>
      </c>
      <c r="H141" s="69">
        <f t="shared" ref="H141:H164" si="60">IF(E141=0,0,I141-(E141-1))</f>
        <v>691</v>
      </c>
      <c r="I141" s="70">
        <f t="shared" ref="I141:I164" si="61">IF(E141=0,0,H140-1)</f>
        <v>692</v>
      </c>
      <c r="J141" s="73" t="str">
        <f>IF(C141="","--",IF(AND(C141&lt;&gt;"FST",C141&lt;&gt;"TCF",BA140&lt;&gt;0),BA140,"--"))</f>
        <v>--</v>
      </c>
      <c r="K141" s="32"/>
      <c r="L141" s="232"/>
      <c r="M141" s="278"/>
      <c r="N141" s="278"/>
      <c r="O141" s="278"/>
      <c r="P141" s="278"/>
      <c r="Q141" s="278"/>
      <c r="R141" s="278"/>
      <c r="S141" s="278"/>
      <c r="T141" s="278"/>
      <c r="U141" s="279"/>
      <c r="V141" s="103"/>
      <c r="W141" s="72"/>
      <c r="X141" s="72"/>
      <c r="Y141" s="72"/>
      <c r="Z141" s="45">
        <v>10</v>
      </c>
      <c r="AA141" s="46">
        <v>109</v>
      </c>
      <c r="AB141" s="46">
        <v>120</v>
      </c>
      <c r="AC141" s="72">
        <f t="shared" si="51"/>
        <v>1</v>
      </c>
      <c r="AD141" s="72">
        <f t="shared" si="52"/>
        <v>0</v>
      </c>
      <c r="AE141" s="109" t="str">
        <f t="shared" si="53"/>
        <v>691-692</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8">
        <f>MOD(SUM(E140:E141),12)</f>
        <v>6</v>
      </c>
    </row>
    <row r="142" spans="1:53" ht="15.75" thickBot="1" x14ac:dyDescent="0.3">
      <c r="A142" s="88"/>
      <c r="B142" s="74" t="s">
        <v>280</v>
      </c>
      <c r="C142" s="67" t="s">
        <v>484</v>
      </c>
      <c r="D142" s="102" t="s">
        <v>743</v>
      </c>
      <c r="E142" s="32">
        <v>4</v>
      </c>
      <c r="F142" s="32" t="s">
        <v>488</v>
      </c>
      <c r="G142" s="75" t="s">
        <v>277</v>
      </c>
      <c r="H142" s="69">
        <f t="shared" si="60"/>
        <v>687</v>
      </c>
      <c r="I142" s="70">
        <f t="shared" si="61"/>
        <v>690</v>
      </c>
      <c r="J142" s="73" t="str">
        <f t="shared" ref="J142:J164" si="62">IF(C142="","--",IF(AND(C142&lt;&gt;"FST",C142&lt;&gt;"TCF",BA141&lt;&gt;0),BA141,"--"))</f>
        <v>--</v>
      </c>
      <c r="K142" s="32"/>
      <c r="L142" s="232"/>
      <c r="M142" s="278"/>
      <c r="N142" s="278"/>
      <c r="O142" s="278"/>
      <c r="P142" s="278"/>
      <c r="Q142" s="278"/>
      <c r="R142" s="278"/>
      <c r="S142" s="278"/>
      <c r="T142" s="278"/>
      <c r="U142" s="279"/>
      <c r="V142" s="103"/>
      <c r="W142" s="72"/>
      <c r="X142" s="72"/>
      <c r="Y142" s="72"/>
      <c r="Z142" s="45">
        <v>11</v>
      </c>
      <c r="AA142" s="46">
        <v>121</v>
      </c>
      <c r="AB142" s="46">
        <v>132</v>
      </c>
      <c r="AC142" s="72">
        <f t="shared" si="51"/>
        <v>1</v>
      </c>
      <c r="AD142" s="72">
        <f t="shared" si="52"/>
        <v>0</v>
      </c>
      <c r="AE142" s="109" t="str">
        <f t="shared" si="53"/>
        <v>687-690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8">
        <f>MOD(SUM(E140:E143),12)</f>
        <v>0</v>
      </c>
    </row>
    <row r="143" spans="1:53" ht="15.75" thickBot="1" x14ac:dyDescent="0.3">
      <c r="A143" s="88"/>
      <c r="B143" s="66" t="s">
        <v>281</v>
      </c>
      <c r="C143" s="67" t="s">
        <v>484</v>
      </c>
      <c r="D143" s="102" t="s">
        <v>781</v>
      </c>
      <c r="E143" s="32">
        <v>2</v>
      </c>
      <c r="F143" s="32" t="s">
        <v>488</v>
      </c>
      <c r="G143" s="68" t="s">
        <v>277</v>
      </c>
      <c r="H143" s="69">
        <f t="shared" si="60"/>
        <v>685</v>
      </c>
      <c r="I143" s="70">
        <f t="shared" si="61"/>
        <v>686</v>
      </c>
      <c r="J143" s="73" t="str">
        <f t="shared" si="62"/>
        <v>--</v>
      </c>
      <c r="K143" s="32"/>
      <c r="L143" s="232"/>
      <c r="M143" s="278"/>
      <c r="N143" s="278"/>
      <c r="O143" s="278"/>
      <c r="P143" s="278"/>
      <c r="Q143" s="278"/>
      <c r="R143" s="278"/>
      <c r="S143" s="278"/>
      <c r="T143" s="278"/>
      <c r="U143" s="279"/>
      <c r="V143" s="103"/>
      <c r="W143" s="72"/>
      <c r="X143" s="72"/>
      <c r="Y143" s="72"/>
      <c r="Z143" s="45">
        <v>12</v>
      </c>
      <c r="AA143" s="76">
        <v>133</v>
      </c>
      <c r="AB143" s="76">
        <v>144</v>
      </c>
      <c r="AC143" s="72">
        <f t="shared" si="51"/>
        <v>1</v>
      </c>
      <c r="AD143" s="72">
        <f t="shared" si="52"/>
        <v>0</v>
      </c>
      <c r="AE143" s="109" t="str">
        <f t="shared" si="53"/>
        <v>685-686</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8">
        <f>MOD(SUM(E140:E144),12)</f>
        <v>0</v>
      </c>
    </row>
    <row r="144" spans="1:53" ht="15.75" thickBot="1" x14ac:dyDescent="0.3">
      <c r="A144" s="88"/>
      <c r="B144" s="66" t="s">
        <v>282</v>
      </c>
      <c r="C144" s="67" t="s">
        <v>502</v>
      </c>
      <c r="D144" s="102"/>
      <c r="E144" s="32">
        <v>48</v>
      </c>
      <c r="F144" s="32"/>
      <c r="G144" s="68" t="s">
        <v>277</v>
      </c>
      <c r="H144" s="69">
        <f t="shared" si="60"/>
        <v>637</v>
      </c>
      <c r="I144" s="70">
        <f t="shared" si="61"/>
        <v>684</v>
      </c>
      <c r="J144" s="73" t="str">
        <f t="shared" si="62"/>
        <v>--</v>
      </c>
      <c r="K144" s="32"/>
      <c r="L144" s="232"/>
      <c r="M144" s="278" t="s">
        <v>410</v>
      </c>
      <c r="N144" s="278"/>
      <c r="O144" s="278"/>
      <c r="P144" s="278"/>
      <c r="Q144" s="278"/>
      <c r="R144" s="278"/>
      <c r="S144" s="278"/>
      <c r="T144" s="278"/>
      <c r="U144" s="279"/>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637-684</v>
      </c>
      <c r="AF144" s="109" t="str">
        <f t="shared" si="54"/>
        <v>N</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8">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2"/>
      <c r="M145" s="278" t="s">
        <v>802</v>
      </c>
      <c r="N145" s="278"/>
      <c r="O145" s="278"/>
      <c r="P145" s="278"/>
      <c r="Q145" s="278"/>
      <c r="R145" s="278"/>
      <c r="S145" s="278"/>
      <c r="T145" s="278"/>
      <c r="U145" s="279"/>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8">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2"/>
      <c r="M146" s="278"/>
      <c r="N146" s="278"/>
      <c r="O146" s="278"/>
      <c r="P146" s="278"/>
      <c r="Q146" s="278"/>
      <c r="R146" s="278"/>
      <c r="S146" s="278"/>
      <c r="T146" s="278"/>
      <c r="U146" s="279"/>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8">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2"/>
      <c r="M147" s="278"/>
      <c r="N147" s="278"/>
      <c r="O147" s="278"/>
      <c r="P147" s="278"/>
      <c r="Q147" s="278"/>
      <c r="R147" s="278"/>
      <c r="S147" s="278"/>
      <c r="T147" s="278"/>
      <c r="U147" s="279"/>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8">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2"/>
      <c r="M148" s="278"/>
      <c r="N148" s="278"/>
      <c r="O148" s="278"/>
      <c r="P148" s="278"/>
      <c r="Q148" s="278"/>
      <c r="R148" s="278"/>
      <c r="S148" s="278"/>
      <c r="T148" s="278"/>
      <c r="U148" s="279"/>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8">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2"/>
      <c r="M149" s="278"/>
      <c r="N149" s="278"/>
      <c r="O149" s="278"/>
      <c r="P149" s="278"/>
      <c r="Q149" s="278"/>
      <c r="R149" s="278"/>
      <c r="S149" s="278"/>
      <c r="T149" s="278"/>
      <c r="U149" s="279"/>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8">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2"/>
      <c r="M150" s="278"/>
      <c r="N150" s="278"/>
      <c r="O150" s="278"/>
      <c r="P150" s="278"/>
      <c r="Q150" s="278"/>
      <c r="R150" s="278"/>
      <c r="S150" s="278"/>
      <c r="T150" s="278"/>
      <c r="U150" s="279"/>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8">
        <f>MOD(SUM(E140:E151),12)</f>
        <v>0</v>
      </c>
    </row>
    <row r="151" spans="1:53" ht="15.75" thickBot="1" x14ac:dyDescent="0.3">
      <c r="A151" s="88"/>
      <c r="B151" s="66" t="s">
        <v>289</v>
      </c>
      <c r="C151" s="67"/>
      <c r="D151" s="254"/>
      <c r="E151" s="32"/>
      <c r="F151" s="32"/>
      <c r="G151" s="68" t="s">
        <v>277</v>
      </c>
      <c r="H151" s="69">
        <f t="shared" si="60"/>
        <v>0</v>
      </c>
      <c r="I151" s="70">
        <f t="shared" si="61"/>
        <v>0</v>
      </c>
      <c r="J151" s="73" t="str">
        <f t="shared" si="62"/>
        <v>--</v>
      </c>
      <c r="K151" s="32"/>
      <c r="L151" s="232"/>
      <c r="M151" s="278"/>
      <c r="N151" s="278"/>
      <c r="O151" s="278"/>
      <c r="P151" s="278"/>
      <c r="Q151" s="278"/>
      <c r="R151" s="278"/>
      <c r="S151" s="278"/>
      <c r="T151" s="278"/>
      <c r="U151" s="279"/>
      <c r="V151" s="103"/>
      <c r="W151" s="84">
        <f>Y151+1</f>
        <v>61</v>
      </c>
      <c r="X151" s="84"/>
      <c r="Y151" s="78">
        <f>SUM(E140:E151)</f>
        <v>60</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8">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2"/>
      <c r="M152" s="278"/>
      <c r="N152" s="278"/>
      <c r="O152" s="278"/>
      <c r="P152" s="278"/>
      <c r="Q152" s="278"/>
      <c r="R152" s="278"/>
      <c r="S152" s="278"/>
      <c r="T152" s="278"/>
      <c r="U152" s="279"/>
      <c r="V152" s="103"/>
      <c r="W152" s="84">
        <f>Y152+1</f>
        <v>61</v>
      </c>
      <c r="X152" s="84"/>
      <c r="Y152" s="78">
        <f>SUM(E140:E152)</f>
        <v>60</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8">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2"/>
      <c r="M153" s="278"/>
      <c r="N153" s="278"/>
      <c r="O153" s="278"/>
      <c r="P153" s="278"/>
      <c r="Q153" s="278"/>
      <c r="R153" s="278"/>
      <c r="S153" s="278"/>
      <c r="T153" s="278"/>
      <c r="U153" s="279"/>
      <c r="V153" s="103"/>
      <c r="W153" s="84">
        <f>Y153+1</f>
        <v>61</v>
      </c>
      <c r="X153" s="84"/>
      <c r="Y153" s="78">
        <f>SUM(E140:E153)</f>
        <v>60</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8">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2"/>
      <c r="M154" s="278"/>
      <c r="N154" s="278"/>
      <c r="O154" s="278"/>
      <c r="P154" s="278"/>
      <c r="Q154" s="278"/>
      <c r="R154" s="278"/>
      <c r="S154" s="278"/>
      <c r="T154" s="278"/>
      <c r="U154" s="279"/>
      <c r="V154" s="103"/>
      <c r="W154" s="84">
        <f>Y154+1</f>
        <v>61</v>
      </c>
      <c r="X154" s="84"/>
      <c r="Y154" s="78">
        <f>SUM(E140:E154)</f>
        <v>60</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8">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2"/>
      <c r="M155" s="278"/>
      <c r="N155" s="278"/>
      <c r="O155" s="278"/>
      <c r="P155" s="278"/>
      <c r="Q155" s="278"/>
      <c r="R155" s="278"/>
      <c r="S155" s="278"/>
      <c r="T155" s="278"/>
      <c r="U155" s="279"/>
      <c r="V155" s="103"/>
      <c r="W155" s="84">
        <f t="shared" ref="W155:W163" si="67">Y155+1</f>
        <v>61</v>
      </c>
      <c r="X155" s="84"/>
      <c r="Y155" s="78">
        <f>SUM(E140:E155)</f>
        <v>60</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8">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2"/>
      <c r="M156" s="278"/>
      <c r="N156" s="278"/>
      <c r="O156" s="278"/>
      <c r="P156" s="278"/>
      <c r="Q156" s="278"/>
      <c r="R156" s="278"/>
      <c r="S156" s="278"/>
      <c r="T156" s="278"/>
      <c r="U156" s="279"/>
      <c r="V156" s="103"/>
      <c r="W156" s="84">
        <f t="shared" si="67"/>
        <v>61</v>
      </c>
      <c r="X156" s="84"/>
      <c r="Y156" s="78">
        <f>SUM(E140:E156)</f>
        <v>60</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8">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2"/>
      <c r="M157" s="278"/>
      <c r="N157" s="278"/>
      <c r="O157" s="278"/>
      <c r="P157" s="278"/>
      <c r="Q157" s="278"/>
      <c r="R157" s="278"/>
      <c r="S157" s="278"/>
      <c r="T157" s="278"/>
      <c r="U157" s="279"/>
      <c r="V157" s="103"/>
      <c r="W157" s="84">
        <f t="shared" si="67"/>
        <v>61</v>
      </c>
      <c r="X157" s="84"/>
      <c r="Y157" s="78">
        <f>SUM(E140:E157)</f>
        <v>60</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8">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2"/>
      <c r="M158" s="278"/>
      <c r="N158" s="278"/>
      <c r="O158" s="278"/>
      <c r="P158" s="278"/>
      <c r="Q158" s="278"/>
      <c r="R158" s="278"/>
      <c r="S158" s="278"/>
      <c r="T158" s="278"/>
      <c r="U158" s="279"/>
      <c r="V158" s="103"/>
      <c r="W158" s="84">
        <f t="shared" si="67"/>
        <v>61</v>
      </c>
      <c r="X158" s="84"/>
      <c r="Y158" s="78">
        <f>SUM(E140:E158)</f>
        <v>60</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8">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2"/>
      <c r="M159" s="278"/>
      <c r="N159" s="278"/>
      <c r="O159" s="278"/>
      <c r="P159" s="278"/>
      <c r="Q159" s="278"/>
      <c r="R159" s="278"/>
      <c r="S159" s="278"/>
      <c r="T159" s="278"/>
      <c r="U159" s="279"/>
      <c r="V159" s="103"/>
      <c r="W159" s="84">
        <f t="shared" si="67"/>
        <v>61</v>
      </c>
      <c r="X159" s="84"/>
      <c r="Y159" s="78">
        <f>SUM(E140:E159)</f>
        <v>60</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8">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2"/>
      <c r="M160" s="278"/>
      <c r="N160" s="278"/>
      <c r="O160" s="278"/>
      <c r="P160" s="278"/>
      <c r="Q160" s="278"/>
      <c r="R160" s="278"/>
      <c r="S160" s="278"/>
      <c r="T160" s="278"/>
      <c r="U160" s="279"/>
      <c r="V160" s="103"/>
      <c r="W160" s="84">
        <f t="shared" si="67"/>
        <v>61</v>
      </c>
      <c r="X160" s="84"/>
      <c r="Y160" s="78">
        <f>SUM(E140:E160)</f>
        <v>60</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8">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2"/>
      <c r="M161" s="278"/>
      <c r="N161" s="278"/>
      <c r="O161" s="278"/>
      <c r="P161" s="278"/>
      <c r="Q161" s="278"/>
      <c r="R161" s="278"/>
      <c r="S161" s="278"/>
      <c r="T161" s="278"/>
      <c r="U161" s="279"/>
      <c r="V161" s="103"/>
      <c r="W161" s="84">
        <f t="shared" si="67"/>
        <v>61</v>
      </c>
      <c r="X161" s="84"/>
      <c r="Y161" s="78">
        <f>SUM(E140:E161)</f>
        <v>60</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8">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2"/>
      <c r="M162" s="278"/>
      <c r="N162" s="278"/>
      <c r="O162" s="278"/>
      <c r="P162" s="278"/>
      <c r="Q162" s="278"/>
      <c r="R162" s="278"/>
      <c r="S162" s="278"/>
      <c r="T162" s="278"/>
      <c r="U162" s="279"/>
      <c r="V162" s="103"/>
      <c r="W162" s="84">
        <f t="shared" si="67"/>
        <v>61</v>
      </c>
      <c r="X162" s="84"/>
      <c r="Y162" s="78">
        <f>SUM(E140:E162)</f>
        <v>60</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8">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2"/>
      <c r="M163" s="278"/>
      <c r="N163" s="278"/>
      <c r="O163" s="278"/>
      <c r="P163" s="278"/>
      <c r="Q163" s="278"/>
      <c r="R163" s="278"/>
      <c r="S163" s="278"/>
      <c r="T163" s="278"/>
      <c r="U163" s="279"/>
      <c r="V163" s="103"/>
      <c r="W163" s="84">
        <f t="shared" si="67"/>
        <v>61</v>
      </c>
      <c r="X163" s="84"/>
      <c r="Y163" s="78">
        <f>SUM(E140:E163)</f>
        <v>60</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8">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3"/>
      <c r="M164" s="278"/>
      <c r="N164" s="278"/>
      <c r="O164" s="278"/>
      <c r="P164" s="278"/>
      <c r="Q164" s="278"/>
      <c r="R164" s="278"/>
      <c r="S164" s="278"/>
      <c r="T164" s="278"/>
      <c r="U164" s="279"/>
      <c r="V164" s="103"/>
      <c r="W164" s="72"/>
      <c r="X164" s="72"/>
      <c r="Y164" s="78">
        <f>SUM(E140:E164)</f>
        <v>60</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7"/>
    </row>
    <row r="165" spans="1:53" ht="16.5" thickBot="1" x14ac:dyDescent="0.3">
      <c r="A165" s="88"/>
      <c r="B165" s="319" t="s">
        <v>311</v>
      </c>
      <c r="C165" s="320"/>
      <c r="D165" s="79"/>
      <c r="E165" s="80"/>
      <c r="F165" s="80"/>
      <c r="G165" s="81"/>
      <c r="H165" s="191"/>
      <c r="I165" s="191"/>
      <c r="J165" s="191"/>
      <c r="K165" s="82"/>
      <c r="L165" s="319" t="s">
        <v>306</v>
      </c>
      <c r="M165" s="330"/>
      <c r="N165" s="330"/>
      <c r="O165" s="330"/>
      <c r="P165" s="330"/>
      <c r="Q165" s="330"/>
      <c r="R165" s="330"/>
      <c r="S165" s="330"/>
      <c r="T165" s="330"/>
      <c r="U165" s="320"/>
      <c r="V165" s="104"/>
      <c r="W165" s="72"/>
      <c r="X165" s="72"/>
      <c r="Y165" s="72"/>
      <c r="Z165" s="72"/>
      <c r="AA165" s="72" t="str">
        <f t="shared" si="66"/>
        <v/>
      </c>
      <c r="AB165" s="72"/>
      <c r="AC165" s="72">
        <f>SUM(AC140:AC164)</f>
        <v>25</v>
      </c>
      <c r="AD165" s="72">
        <f>SUM(AD140:AD164)</f>
        <v>21</v>
      </c>
      <c r="AM165" s="109">
        <f>SUM(AM140:AM164)</f>
        <v>0</v>
      </c>
      <c r="AN165" s="109">
        <f>SUM(AN140:AN164)</f>
        <v>0</v>
      </c>
      <c r="AO165" s="109">
        <f>((COUNTIF(AO140:AO164,"Y")/3)*2)</f>
        <v>0</v>
      </c>
      <c r="AP165" s="109">
        <f>(COUNTIF(AO140:AO164,"Y")/3)</f>
        <v>0</v>
      </c>
      <c r="AQ165" s="109">
        <f>(COUNTIF(AQ140:AQ164,"Y")/2)</f>
        <v>0</v>
      </c>
      <c r="AR165" s="109">
        <f>(COUNTIF(AQ140:AQ164,"Y")/2)</f>
        <v>0</v>
      </c>
      <c r="BA165" s="227"/>
    </row>
    <row r="166" spans="1:53" ht="16.5" thickBot="1" x14ac:dyDescent="0.3">
      <c r="A166" s="88"/>
      <c r="B166" s="319" t="s">
        <v>307</v>
      </c>
      <c r="C166" s="320"/>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5"/>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5" t="s">
        <v>210</v>
      </c>
      <c r="N169" s="195" t="s">
        <v>211</v>
      </c>
      <c r="O169" s="195" t="s">
        <v>212</v>
      </c>
      <c r="P169" s="195" t="s">
        <v>213</v>
      </c>
      <c r="Q169" s="195" t="s">
        <v>214</v>
      </c>
      <c r="R169" s="195" t="s">
        <v>215</v>
      </c>
      <c r="S169" s="195" t="s">
        <v>216</v>
      </c>
      <c r="T169" s="195" t="s">
        <v>217</v>
      </c>
      <c r="U169" s="195" t="s">
        <v>218</v>
      </c>
      <c r="V169" s="195" t="s">
        <v>219</v>
      </c>
      <c r="W169" s="113" t="s">
        <v>220</v>
      </c>
      <c r="X169" s="195" t="s">
        <v>221</v>
      </c>
      <c r="Y169" s="25"/>
      <c r="Z169" s="25"/>
      <c r="AA169" s="25"/>
      <c r="AB169" s="25"/>
      <c r="AC169" s="25"/>
      <c r="AD169" s="25"/>
      <c r="BA169" s="225"/>
    </row>
    <row r="170" spans="1:53" ht="16.5" thickTop="1" thickBot="1" x14ac:dyDescent="0.3">
      <c r="A170" s="88"/>
      <c r="B170" s="312" t="s">
        <v>222</v>
      </c>
      <c r="C170" s="313"/>
      <c r="D170" s="314" t="s">
        <v>223</v>
      </c>
      <c r="E170" s="305"/>
      <c r="F170" s="88"/>
      <c r="G170" s="315" t="s">
        <v>224</v>
      </c>
      <c r="H170" s="316"/>
      <c r="I170" s="28">
        <f>SUM(E181:E205)</f>
        <v>12</v>
      </c>
      <c r="J170" s="317" t="s">
        <v>225</v>
      </c>
      <c r="K170" s="318"/>
      <c r="L170" s="305"/>
      <c r="M170" s="195">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5" t="s">
        <v>226</v>
      </c>
      <c r="AA170" s="296"/>
      <c r="AB170" s="297"/>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1</v>
      </c>
      <c r="AX170" s="109">
        <f>IF(OR($AS171="Y",$AS172="Y",$AS173="Y"),"",COUNTIFS($E171,"RPX-T",$E176,"Y"))</f>
        <v>0</v>
      </c>
      <c r="BA170" s="225"/>
    </row>
    <row r="171" spans="1:53" ht="16.5" customHeight="1" thickTop="1" thickBot="1" x14ac:dyDescent="0.3">
      <c r="A171" s="88"/>
      <c r="B171" s="29" t="s">
        <v>228</v>
      </c>
      <c r="C171" s="30">
        <v>0</v>
      </c>
      <c r="D171" s="31" t="s">
        <v>229</v>
      </c>
      <c r="E171" s="66" t="str">
        <f>TEXT(IF('Cable Calculator'!X7="","",'Cable Calculator'!X7),)</f>
        <v>EUC</v>
      </c>
      <c r="F171" s="88"/>
      <c r="G171" s="304" t="s">
        <v>230</v>
      </c>
      <c r="H171" s="305"/>
      <c r="I171" s="33">
        <f>E172-I170</f>
        <v>12</v>
      </c>
      <c r="J171" s="289" t="s">
        <v>231</v>
      </c>
      <c r="K171" s="290"/>
      <c r="L171" s="34">
        <f>I175</f>
        <v>733</v>
      </c>
      <c r="M171" s="195">
        <v>4</v>
      </c>
      <c r="N171" s="35">
        <f>SUM(AI171,AI182)</f>
        <v>0</v>
      </c>
      <c r="O171" s="35">
        <v>0</v>
      </c>
      <c r="P171" s="35">
        <f>SUM(AJ171,AJ182)</f>
        <v>0</v>
      </c>
      <c r="Q171" s="35">
        <v>0</v>
      </c>
      <c r="R171" s="35">
        <f>COUNTIFS($E181:$E205,"4",$F181:$F205,"Pole",$C181:$C205,"FST")</f>
        <v>0</v>
      </c>
      <c r="S171" s="35">
        <f>SUM(AL171,AK182)</f>
        <v>0</v>
      </c>
      <c r="T171" s="35">
        <v>0</v>
      </c>
      <c r="U171" s="35">
        <f>SUM(AK171,AL182)</f>
        <v>1</v>
      </c>
      <c r="V171" s="35">
        <v>0</v>
      </c>
      <c r="W171" s="34">
        <f>COUNTIFS($E181:$E205,"4",$F181:$F205,"HH",$C181:$C205,"FST")</f>
        <v>1</v>
      </c>
      <c r="X171" s="35">
        <f>COUNTIFS($E181:$E205,"4",$F181:$F205,"Ped",$C181:$C205,"FST")</f>
        <v>0</v>
      </c>
      <c r="Y171" s="25"/>
      <c r="Z171" s="298" t="s">
        <v>232</v>
      </c>
      <c r="AA171" s="300" t="s">
        <v>233</v>
      </c>
      <c r="AB171" s="301"/>
      <c r="AC171" s="25"/>
      <c r="AD171" s="25"/>
      <c r="AH171" s="109">
        <v>4</v>
      </c>
      <c r="AI171" s="109" t="str">
        <f>IF($E171="SS",COUNTIFS($C181:$C205,"FST",$E181:$E205,"4"),"0")</f>
        <v>0</v>
      </c>
      <c r="AJ171" s="109" t="str">
        <f>IF($E171="RPX",COUNTIFS($C181:$C205,"FST",$E181:$E205,"4"),"0")</f>
        <v>0</v>
      </c>
      <c r="AK171" s="109">
        <f>IF($E171="EUC",COUNTIFS($C181:$C205,"FST",$E181:$E205,"4"),"0")</f>
        <v>1</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6"/>
    </row>
    <row r="172" spans="1:53" ht="16.5" thickTop="1" thickBot="1" x14ac:dyDescent="0.3">
      <c r="A172" s="88"/>
      <c r="B172" s="36" t="s">
        <v>235</v>
      </c>
      <c r="C172" s="37">
        <v>0</v>
      </c>
      <c r="D172" s="38" t="s">
        <v>236</v>
      </c>
      <c r="E172" s="32">
        <v>24</v>
      </c>
      <c r="F172" s="88"/>
      <c r="G172" s="291" t="s">
        <v>237</v>
      </c>
      <c r="H172" s="292"/>
      <c r="I172" s="35">
        <f>IF(E172=0,0,12-(MOD(I170,12)))</f>
        <v>12</v>
      </c>
      <c r="J172" s="289" t="s">
        <v>238</v>
      </c>
      <c r="K172" s="290"/>
      <c r="L172" s="39">
        <f>I176-I170</f>
        <v>732</v>
      </c>
      <c r="M172" s="195">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9"/>
      <c r="AA172" s="302"/>
      <c r="AB172" s="303"/>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6"/>
    </row>
    <row r="173" spans="1:53" ht="16.5" customHeight="1" thickTop="1" thickBot="1" x14ac:dyDescent="0.3">
      <c r="A173" s="88"/>
      <c r="B173" s="40" t="s">
        <v>240</v>
      </c>
      <c r="C173" s="30">
        <v>0</v>
      </c>
      <c r="D173" s="41" t="s">
        <v>241</v>
      </c>
      <c r="E173" s="42">
        <v>12</v>
      </c>
      <c r="F173" s="88"/>
      <c r="G173" s="321" t="s">
        <v>242</v>
      </c>
      <c r="H173" s="43" t="s">
        <v>243</v>
      </c>
      <c r="I173" s="35">
        <f>IF(E173&lt;&gt;0,1,0)</f>
        <v>1</v>
      </c>
      <c r="J173" s="291" t="s">
        <v>244</v>
      </c>
      <c r="K173" s="292"/>
      <c r="L173" s="44">
        <f>'Cable Calculator'!X3</f>
        <v>647</v>
      </c>
      <c r="M173" s="195">
        <v>8</v>
      </c>
      <c r="N173" s="35">
        <f>SUM(AI173,AI184)</f>
        <v>0</v>
      </c>
      <c r="O173" s="35">
        <v>0</v>
      </c>
      <c r="P173" s="35">
        <f>SUM(AJ173,AJ184)</f>
        <v>0</v>
      </c>
      <c r="Q173" s="35">
        <v>0</v>
      </c>
      <c r="R173" s="35">
        <f>COUNTIFS($E181:$E205,"8",$F181:$F205,"Pole",$C181:$C205,"FST")</f>
        <v>1</v>
      </c>
      <c r="S173" s="35">
        <f>SUM(AL173,AK184)</f>
        <v>0</v>
      </c>
      <c r="T173" s="35">
        <v>0</v>
      </c>
      <c r="U173" s="35">
        <f>SUM(AK173,AL184)</f>
        <v>1</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6"/>
    </row>
    <row r="174" spans="1:53" ht="16.5" thickTop="1" thickBot="1" x14ac:dyDescent="0.3">
      <c r="A174" s="88"/>
      <c r="B174" s="29" t="s">
        <v>246</v>
      </c>
      <c r="C174" s="37">
        <v>0</v>
      </c>
      <c r="D174" s="41" t="s">
        <v>247</v>
      </c>
      <c r="E174" s="42">
        <v>733</v>
      </c>
      <c r="F174" s="88"/>
      <c r="G174" s="322"/>
      <c r="H174" s="47" t="s">
        <v>248</v>
      </c>
      <c r="I174" s="35">
        <f>IF(E173&lt;&gt;0,E173,0)</f>
        <v>12</v>
      </c>
      <c r="J174" s="193"/>
      <c r="K174" s="194"/>
      <c r="L174" s="48"/>
      <c r="M174" s="195">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6"/>
    </row>
    <row r="175" spans="1:53" ht="16.5" customHeight="1" thickTop="1" thickBot="1" x14ac:dyDescent="0.3">
      <c r="A175" s="88"/>
      <c r="B175" s="36" t="s">
        <v>249</v>
      </c>
      <c r="C175" s="30">
        <v>0</v>
      </c>
      <c r="D175" s="49" t="s">
        <v>250</v>
      </c>
      <c r="E175" s="50">
        <f>E172/12</f>
        <v>2</v>
      </c>
      <c r="F175" s="88"/>
      <c r="G175" s="321" t="s">
        <v>251</v>
      </c>
      <c r="H175" s="51" t="s">
        <v>252</v>
      </c>
      <c r="I175" s="112">
        <f>E174</f>
        <v>733</v>
      </c>
      <c r="J175" s="323" t="s">
        <v>253</v>
      </c>
      <c r="K175" s="324"/>
      <c r="L175" s="325"/>
      <c r="M175" s="52" t="s">
        <v>254</v>
      </c>
      <c r="N175" s="106"/>
      <c r="O175" s="106"/>
      <c r="P175" s="191"/>
      <c r="Q175" s="191"/>
      <c r="R175" s="191"/>
      <c r="S175" s="191"/>
      <c r="T175" s="191"/>
      <c r="U175" s="191"/>
      <c r="V175" s="191"/>
      <c r="W175" s="53">
        <f>SUM(P175:U175)</f>
        <v>0</v>
      </c>
      <c r="X175" s="54"/>
      <c r="Y175" s="25"/>
      <c r="Z175" s="45">
        <v>3</v>
      </c>
      <c r="AA175" s="46">
        <v>25</v>
      </c>
      <c r="AB175" s="46">
        <v>36</v>
      </c>
      <c r="AC175" s="25"/>
      <c r="AD175" s="25"/>
      <c r="BA175" s="226"/>
    </row>
    <row r="176" spans="1:53" ht="16.5" thickTop="1" thickBot="1" x14ac:dyDescent="0.3">
      <c r="A176" s="88"/>
      <c r="B176" s="36" t="s">
        <v>255</v>
      </c>
      <c r="C176" s="30">
        <v>0</v>
      </c>
      <c r="D176" s="31" t="s">
        <v>256</v>
      </c>
      <c r="E176" s="101" t="str">
        <f>IF('Cable Calculator'!X5="","",'Cable Calculator'!X5)</f>
        <v>Y</v>
      </c>
      <c r="F176" s="88"/>
      <c r="G176" s="322"/>
      <c r="H176" s="47" t="s">
        <v>257</v>
      </c>
      <c r="I176" s="35">
        <f>IF(E174="","0",IF(AND(E171="EUC",E172=432), I175+(203-E173),IF(E174=0,0,(E174+(E172-E173)-1))))</f>
        <v>744</v>
      </c>
      <c r="J176" s="286" t="str">
        <f>IFERROR(IF(OR(E171="EUC",E171="SS"),"---",IF(OR(P170,S170),"NO 2F Tethers for RPX!",IF(OR(P172,S172),"NO 6F Tethers for RPX!","---"))),"---")</f>
        <v>---</v>
      </c>
      <c r="K176" s="287"/>
      <c r="L176" s="288"/>
      <c r="M176" s="286" t="str">
        <f>IF(E173&gt;60,"Dead Count &gt;60: Consider Downsize","---")</f>
        <v>---</v>
      </c>
      <c r="N176" s="287"/>
      <c r="O176" s="287"/>
      <c r="P176" s="287"/>
      <c r="Q176" s="287"/>
      <c r="R176" s="287"/>
      <c r="S176" s="287"/>
      <c r="T176" s="287"/>
      <c r="U176" s="288"/>
      <c r="V176" s="100"/>
      <c r="W176" s="54">
        <f>SUM(P176:U176)</f>
        <v>0</v>
      </c>
      <c r="X176" s="54"/>
      <c r="Y176" s="25"/>
      <c r="Z176" s="45">
        <v>4</v>
      </c>
      <c r="AA176" s="46">
        <v>37</v>
      </c>
      <c r="AB176" s="46">
        <v>48</v>
      </c>
      <c r="AC176" s="25"/>
      <c r="AD176" s="25"/>
      <c r="BA176" s="226"/>
    </row>
    <row r="177" spans="1:53" ht="16.5" thickTop="1" thickBot="1" x14ac:dyDescent="0.3">
      <c r="A177" s="88"/>
      <c r="B177" s="55" t="s">
        <v>258</v>
      </c>
      <c r="C177" s="56">
        <f>SUM(C171:C176)+I170</f>
        <v>12</v>
      </c>
      <c r="D177" s="31" t="s">
        <v>259</v>
      </c>
      <c r="E177" s="101" t="str">
        <f>IF(AS171="Y","DBL",IF(AS172="Y","TRPL",IF(AS173="Y","QUAD","")))</f>
        <v/>
      </c>
      <c r="F177" s="88"/>
      <c r="G177" s="191"/>
      <c r="H177" s="57"/>
      <c r="I177" s="191"/>
      <c r="J177" s="286"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7"/>
      <c r="L177" s="288"/>
      <c r="M177" s="286" t="str">
        <f>IF(AND(OR(E171="SS",E171="RPX",E171="EUC",E171="RPX-T"),(OR(C181="",C181="Field SPL"))),"Cannot have FlexNap cables without tethers","---")</f>
        <v>---</v>
      </c>
      <c r="N177" s="287"/>
      <c r="O177" s="287"/>
      <c r="P177" s="287"/>
      <c r="Q177" s="287"/>
      <c r="R177" s="287"/>
      <c r="S177" s="287"/>
      <c r="T177" s="287"/>
      <c r="U177" s="288"/>
      <c r="V177" s="25"/>
      <c r="W177" s="58"/>
      <c r="X177" s="58"/>
      <c r="Y177" s="25"/>
      <c r="Z177" s="45">
        <v>5</v>
      </c>
      <c r="AA177" s="46">
        <v>49</v>
      </c>
      <c r="AB177" s="46">
        <v>60</v>
      </c>
      <c r="AC177" s="25"/>
      <c r="AD177" s="25"/>
      <c r="BA177" s="226"/>
    </row>
    <row r="178" spans="1:53" ht="16.5" thickTop="1" thickBot="1" x14ac:dyDescent="0.3">
      <c r="A178" s="88"/>
      <c r="B178" s="59"/>
      <c r="C178" s="60"/>
      <c r="D178" s="61"/>
      <c r="E178" s="62"/>
      <c r="F178" s="88"/>
      <c r="G178" s="63"/>
      <c r="H178" s="64"/>
      <c r="I178" s="63"/>
      <c r="J178" s="286" t="str">
        <f>IF(AND(OR(E171="RPX", E171="RPX-T", E171="SS"),E172=216),"NO 216 For RPX, RPX-T, OR SS CABLE","---")</f>
        <v>---</v>
      </c>
      <c r="K178" s="287"/>
      <c r="L178" s="288"/>
      <c r="M178" s="286" t="str" cm="1">
        <f t="array" ref="M178">IF(AND(E171="",OR(C181:C205="FST",C181:C205="REV T",C181:C205="DBL REV",C181:C205="TPL REV", C181:C205="QD REV")),"Non-FlexNap cables cannot have tethers","---")</f>
        <v>---</v>
      </c>
      <c r="N178" s="287"/>
      <c r="O178" s="287"/>
      <c r="P178" s="287"/>
      <c r="Q178" s="287"/>
      <c r="R178" s="287"/>
      <c r="S178" s="287"/>
      <c r="T178" s="287"/>
      <c r="U178" s="288"/>
      <c r="V178" s="25"/>
      <c r="W178" s="58"/>
      <c r="X178" s="58"/>
      <c r="Y178" s="25"/>
      <c r="Z178" s="45">
        <v>6</v>
      </c>
      <c r="AA178" s="65">
        <v>61</v>
      </c>
      <c r="AB178" s="65">
        <v>72</v>
      </c>
      <c r="AC178" s="25"/>
      <c r="AD178" s="25"/>
      <c r="BA178" s="225"/>
    </row>
    <row r="179" spans="1:53" ht="15.75" customHeight="1" thickBot="1" x14ac:dyDescent="0.3">
      <c r="A179" s="88"/>
      <c r="B179" s="321" t="s">
        <v>260</v>
      </c>
      <c r="C179" s="293" t="s">
        <v>261</v>
      </c>
      <c r="D179" s="293" t="s">
        <v>262</v>
      </c>
      <c r="E179" s="306" t="s">
        <v>263</v>
      </c>
      <c r="F179" s="293" t="s">
        <v>264</v>
      </c>
      <c r="G179" s="308" t="s">
        <v>265</v>
      </c>
      <c r="H179" s="308" t="s">
        <v>266</v>
      </c>
      <c r="I179" s="308" t="s">
        <v>267</v>
      </c>
      <c r="J179" s="310" t="s">
        <v>268</v>
      </c>
      <c r="K179" s="293" t="s">
        <v>269</v>
      </c>
      <c r="L179" s="280" t="s">
        <v>270</v>
      </c>
      <c r="M179" s="282" t="s">
        <v>271</v>
      </c>
      <c r="N179" s="282"/>
      <c r="O179" s="282"/>
      <c r="P179" s="282"/>
      <c r="Q179" s="282"/>
      <c r="R179" s="282"/>
      <c r="S179" s="282"/>
      <c r="T179" s="282"/>
      <c r="U179" s="283"/>
      <c r="V179" s="107"/>
      <c r="W179" s="72"/>
      <c r="X179" s="72"/>
      <c r="Y179" s="72"/>
      <c r="Z179" s="45">
        <v>7</v>
      </c>
      <c r="AA179" s="65">
        <v>73</v>
      </c>
      <c r="AB179" s="65">
        <v>84</v>
      </c>
      <c r="AC179" s="25"/>
      <c r="AD179" s="25"/>
      <c r="BA179" s="227"/>
    </row>
    <row r="180" spans="1:53" ht="15.75" thickBot="1" x14ac:dyDescent="0.3">
      <c r="A180" s="88"/>
      <c r="B180" s="322"/>
      <c r="C180" s="294"/>
      <c r="D180" s="294"/>
      <c r="E180" s="307"/>
      <c r="F180" s="294"/>
      <c r="G180" s="309"/>
      <c r="H180" s="309"/>
      <c r="I180" s="309"/>
      <c r="J180" s="311"/>
      <c r="K180" s="294"/>
      <c r="L180" s="281"/>
      <c r="M180" s="284"/>
      <c r="N180" s="284"/>
      <c r="O180" s="284"/>
      <c r="P180" s="284"/>
      <c r="Q180" s="284"/>
      <c r="R180" s="284"/>
      <c r="S180" s="284"/>
      <c r="T180" s="284"/>
      <c r="U180" s="285"/>
      <c r="V180" s="107"/>
      <c r="W180" s="72"/>
      <c r="X180" s="72"/>
      <c r="Y180" s="72"/>
      <c r="Z180" s="45">
        <v>8</v>
      </c>
      <c r="AA180" s="46">
        <v>85</v>
      </c>
      <c r="AB180" s="46">
        <v>96</v>
      </c>
      <c r="AC180" s="25"/>
      <c r="AD180" s="25"/>
      <c r="AI180" s="109" t="s">
        <v>272</v>
      </c>
      <c r="AJ180" s="109" t="s">
        <v>273</v>
      </c>
      <c r="AK180" s="109" t="s">
        <v>274</v>
      </c>
      <c r="AL180" s="109" t="s">
        <v>275</v>
      </c>
      <c r="BA180" s="227"/>
    </row>
    <row r="181" spans="1:53" ht="15.75" thickBot="1" x14ac:dyDescent="0.3">
      <c r="A181" s="88"/>
      <c r="B181" s="66" t="s">
        <v>276</v>
      </c>
      <c r="C181" s="67" t="s">
        <v>484</v>
      </c>
      <c r="D181" s="102" t="s">
        <v>778</v>
      </c>
      <c r="E181" s="32">
        <v>8</v>
      </c>
      <c r="F181" s="32" t="s">
        <v>483</v>
      </c>
      <c r="G181" s="68" t="s">
        <v>277</v>
      </c>
      <c r="H181" s="69">
        <f>IF(I181=0,0,I181-(E181-1))</f>
        <v>737</v>
      </c>
      <c r="I181" s="70">
        <f>IF(E181=0,0,I176)</f>
        <v>744</v>
      </c>
      <c r="J181" s="71" t="s">
        <v>278</v>
      </c>
      <c r="K181" s="32"/>
      <c r="L181" s="232"/>
      <c r="M181" s="278"/>
      <c r="N181" s="278"/>
      <c r="O181" s="278"/>
      <c r="P181" s="278"/>
      <c r="Q181" s="278"/>
      <c r="R181" s="278"/>
      <c r="S181" s="278"/>
      <c r="T181" s="278"/>
      <c r="U181" s="279"/>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737-744</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8">
        <f>MOD(E181,12)</f>
        <v>8</v>
      </c>
    </row>
    <row r="182" spans="1:53" ht="15.75" thickBot="1" x14ac:dyDescent="0.3">
      <c r="A182" s="88"/>
      <c r="B182" s="66" t="s">
        <v>279</v>
      </c>
      <c r="C182" s="67" t="s">
        <v>484</v>
      </c>
      <c r="D182" s="102" t="s">
        <v>777</v>
      </c>
      <c r="E182" s="32">
        <v>4</v>
      </c>
      <c r="F182" s="32" t="s">
        <v>488</v>
      </c>
      <c r="G182" s="68" t="s">
        <v>277</v>
      </c>
      <c r="H182" s="69">
        <f t="shared" ref="H182:H205" si="77">IF(E182=0,0,I182-(E182-1))</f>
        <v>733</v>
      </c>
      <c r="I182" s="70">
        <f t="shared" ref="I182:I205" si="78">IF(E182=0,0,H181-1)</f>
        <v>736</v>
      </c>
      <c r="J182" s="73" t="str">
        <f>IF(C182="","--",IF(AND(C182&lt;&gt;"FST",C182&lt;&gt;"TCF",BA181&lt;&gt;0),BA181,"--"))</f>
        <v>--</v>
      </c>
      <c r="K182" s="32"/>
      <c r="L182" s="232"/>
      <c r="M182" s="278"/>
      <c r="N182" s="278"/>
      <c r="O182" s="278"/>
      <c r="P182" s="278"/>
      <c r="Q182" s="278"/>
      <c r="R182" s="278"/>
      <c r="S182" s="278"/>
      <c r="T182" s="278"/>
      <c r="U182" s="279"/>
      <c r="V182" s="103"/>
      <c r="W182" s="72"/>
      <c r="X182" s="72"/>
      <c r="Y182" s="72"/>
      <c r="Z182" s="45">
        <v>10</v>
      </c>
      <c r="AA182" s="46">
        <v>109</v>
      </c>
      <c r="AB182" s="46">
        <v>120</v>
      </c>
      <c r="AC182" s="72">
        <f t="shared" si="68"/>
        <v>1</v>
      </c>
      <c r="AD182" s="72">
        <f t="shared" si="69"/>
        <v>0</v>
      </c>
      <c r="AE182" s="109" t="str">
        <f t="shared" si="70"/>
        <v>733-736</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8">
        <f>MOD(SUM(E181:E182),12)</f>
        <v>0</v>
      </c>
    </row>
    <row r="183" spans="1:53" ht="15.75" thickBot="1" x14ac:dyDescent="0.3">
      <c r="A183" s="88"/>
      <c r="B183" s="74" t="s">
        <v>280</v>
      </c>
      <c r="C183" s="67"/>
      <c r="D183" s="102"/>
      <c r="E183" s="32"/>
      <c r="F183" s="32"/>
      <c r="G183" s="75" t="s">
        <v>277</v>
      </c>
      <c r="H183" s="69">
        <f t="shared" si="77"/>
        <v>0</v>
      </c>
      <c r="I183" s="70">
        <f t="shared" si="78"/>
        <v>0</v>
      </c>
      <c r="J183" s="73" t="str">
        <f t="shared" ref="J183:J205" si="79">IF(C183="","--",IF(AND(C183&lt;&gt;"FST",C183&lt;&gt;"TCF",BA182&lt;&gt;0),BA182,"--"))</f>
        <v>--</v>
      </c>
      <c r="K183" s="32"/>
      <c r="L183" s="232"/>
      <c r="M183" s="278"/>
      <c r="N183" s="278"/>
      <c r="O183" s="278"/>
      <c r="P183" s="278"/>
      <c r="Q183" s="278"/>
      <c r="R183" s="278"/>
      <c r="S183" s="278"/>
      <c r="T183" s="278"/>
      <c r="U183" s="279"/>
      <c r="V183" s="103"/>
      <c r="W183" s="72"/>
      <c r="X183" s="72"/>
      <c r="Y183" s="72"/>
      <c r="Z183" s="45">
        <v>11</v>
      </c>
      <c r="AA183" s="46">
        <v>121</v>
      </c>
      <c r="AB183" s="46">
        <v>132</v>
      </c>
      <c r="AC183" s="72">
        <f t="shared" si="68"/>
        <v>1</v>
      </c>
      <c r="AD183" s="72">
        <f t="shared" si="69"/>
        <v>1</v>
      </c>
      <c r="AE183" s="109" t="str">
        <f t="shared" si="70"/>
        <v>0-0</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8">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2"/>
      <c r="M184" s="278"/>
      <c r="N184" s="278"/>
      <c r="O184" s="278"/>
      <c r="P184" s="278"/>
      <c r="Q184" s="278"/>
      <c r="R184" s="278"/>
      <c r="S184" s="278"/>
      <c r="T184" s="278"/>
      <c r="U184" s="279"/>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8">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2"/>
      <c r="M185" s="278"/>
      <c r="N185" s="278"/>
      <c r="O185" s="278"/>
      <c r="P185" s="278"/>
      <c r="Q185" s="278"/>
      <c r="R185" s="278"/>
      <c r="S185" s="278"/>
      <c r="T185" s="278"/>
      <c r="U185" s="279"/>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8">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2"/>
      <c r="M186" s="278"/>
      <c r="N186" s="278"/>
      <c r="O186" s="278"/>
      <c r="P186" s="278"/>
      <c r="Q186" s="278"/>
      <c r="R186" s="278"/>
      <c r="S186" s="278"/>
      <c r="T186" s="278"/>
      <c r="U186" s="279"/>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8">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2"/>
      <c r="M187" s="278"/>
      <c r="N187" s="278"/>
      <c r="O187" s="278"/>
      <c r="P187" s="278"/>
      <c r="Q187" s="278"/>
      <c r="R187" s="278"/>
      <c r="S187" s="278"/>
      <c r="T187" s="278"/>
      <c r="U187" s="279"/>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8">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2"/>
      <c r="M188" s="278"/>
      <c r="N188" s="278"/>
      <c r="O188" s="278"/>
      <c r="P188" s="278"/>
      <c r="Q188" s="278"/>
      <c r="R188" s="278"/>
      <c r="S188" s="278"/>
      <c r="T188" s="278"/>
      <c r="U188" s="279"/>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8">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2"/>
      <c r="M189" s="278"/>
      <c r="N189" s="278"/>
      <c r="O189" s="278"/>
      <c r="P189" s="278"/>
      <c r="Q189" s="278"/>
      <c r="R189" s="278"/>
      <c r="S189" s="278"/>
      <c r="T189" s="278"/>
      <c r="U189" s="279"/>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8">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2"/>
      <c r="M190" s="278"/>
      <c r="N190" s="278"/>
      <c r="O190" s="278"/>
      <c r="P190" s="278"/>
      <c r="Q190" s="278"/>
      <c r="R190" s="278"/>
      <c r="S190" s="278"/>
      <c r="T190" s="278"/>
      <c r="U190" s="279"/>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8">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2"/>
      <c r="M191" s="278"/>
      <c r="N191" s="278"/>
      <c r="O191" s="278"/>
      <c r="P191" s="278"/>
      <c r="Q191" s="278"/>
      <c r="R191" s="278"/>
      <c r="S191" s="278"/>
      <c r="T191" s="278"/>
      <c r="U191" s="279"/>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8">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2"/>
      <c r="M192" s="278"/>
      <c r="N192" s="278"/>
      <c r="O192" s="278"/>
      <c r="P192" s="278"/>
      <c r="Q192" s="278"/>
      <c r="R192" s="278"/>
      <c r="S192" s="278"/>
      <c r="T192" s="278"/>
      <c r="U192" s="279"/>
      <c r="V192" s="103"/>
      <c r="W192" s="84">
        <f>Y192+1</f>
        <v>13</v>
      </c>
      <c r="X192" s="84"/>
      <c r="Y192" s="78">
        <f>SUM(E181:E192)</f>
        <v>12</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8">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2"/>
      <c r="M193" s="278"/>
      <c r="N193" s="278"/>
      <c r="O193" s="278"/>
      <c r="P193" s="278"/>
      <c r="Q193" s="278"/>
      <c r="R193" s="278"/>
      <c r="S193" s="278"/>
      <c r="T193" s="278"/>
      <c r="U193" s="279"/>
      <c r="V193" s="103"/>
      <c r="W193" s="84">
        <f>Y193+1</f>
        <v>13</v>
      </c>
      <c r="X193" s="84"/>
      <c r="Y193" s="78">
        <f>SUM(E181:E193)</f>
        <v>12</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8">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2"/>
      <c r="M194" s="278"/>
      <c r="N194" s="278"/>
      <c r="O194" s="278"/>
      <c r="P194" s="278"/>
      <c r="Q194" s="278"/>
      <c r="R194" s="278"/>
      <c r="S194" s="278"/>
      <c r="T194" s="278"/>
      <c r="U194" s="279"/>
      <c r="V194" s="103"/>
      <c r="W194" s="84">
        <f>Y194+1</f>
        <v>13</v>
      </c>
      <c r="X194" s="84"/>
      <c r="Y194" s="78">
        <f>SUM(E181:E194)</f>
        <v>12</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8">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2"/>
      <c r="M195" s="278"/>
      <c r="N195" s="278"/>
      <c r="O195" s="278"/>
      <c r="P195" s="278"/>
      <c r="Q195" s="278"/>
      <c r="R195" s="278"/>
      <c r="S195" s="278"/>
      <c r="T195" s="278"/>
      <c r="U195" s="279"/>
      <c r="V195" s="103"/>
      <c r="W195" s="84">
        <f>Y195+1</f>
        <v>13</v>
      </c>
      <c r="X195" s="84"/>
      <c r="Y195" s="78">
        <f>SUM(E181:E195)</f>
        <v>12</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8">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2"/>
      <c r="M196" s="278"/>
      <c r="N196" s="278"/>
      <c r="O196" s="278"/>
      <c r="P196" s="278"/>
      <c r="Q196" s="278"/>
      <c r="R196" s="278"/>
      <c r="S196" s="278"/>
      <c r="T196" s="278"/>
      <c r="U196" s="279"/>
      <c r="V196" s="103"/>
      <c r="W196" s="84">
        <f t="shared" ref="W196:W204" si="84">Y196+1</f>
        <v>13</v>
      </c>
      <c r="X196" s="84"/>
      <c r="Y196" s="78">
        <f>SUM(E181:E196)</f>
        <v>12</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8">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2"/>
      <c r="M197" s="278"/>
      <c r="N197" s="278"/>
      <c r="O197" s="278"/>
      <c r="P197" s="278"/>
      <c r="Q197" s="278"/>
      <c r="R197" s="278"/>
      <c r="S197" s="278"/>
      <c r="T197" s="278"/>
      <c r="U197" s="279"/>
      <c r="V197" s="103"/>
      <c r="W197" s="84">
        <f t="shared" si="84"/>
        <v>13</v>
      </c>
      <c r="X197" s="84"/>
      <c r="Y197" s="78">
        <f>SUM(E181:E197)</f>
        <v>12</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8">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2"/>
      <c r="M198" s="278"/>
      <c r="N198" s="278"/>
      <c r="O198" s="278"/>
      <c r="P198" s="278"/>
      <c r="Q198" s="278"/>
      <c r="R198" s="278"/>
      <c r="S198" s="278"/>
      <c r="T198" s="278"/>
      <c r="U198" s="279"/>
      <c r="V198" s="103"/>
      <c r="W198" s="84">
        <f t="shared" si="84"/>
        <v>13</v>
      </c>
      <c r="X198" s="84"/>
      <c r="Y198" s="78">
        <f>SUM(E181:E198)</f>
        <v>12</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8">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2"/>
      <c r="M199" s="278"/>
      <c r="N199" s="278"/>
      <c r="O199" s="278"/>
      <c r="P199" s="278"/>
      <c r="Q199" s="278"/>
      <c r="R199" s="278"/>
      <c r="S199" s="278"/>
      <c r="T199" s="278"/>
      <c r="U199" s="279"/>
      <c r="V199" s="103"/>
      <c r="W199" s="84">
        <f t="shared" si="84"/>
        <v>13</v>
      </c>
      <c r="X199" s="84"/>
      <c r="Y199" s="78">
        <f>SUM(E181:E199)</f>
        <v>12</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8">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2"/>
      <c r="M200" s="278"/>
      <c r="N200" s="278"/>
      <c r="O200" s="278"/>
      <c r="P200" s="278"/>
      <c r="Q200" s="278"/>
      <c r="R200" s="278"/>
      <c r="S200" s="278"/>
      <c r="T200" s="278"/>
      <c r="U200" s="279"/>
      <c r="V200" s="103"/>
      <c r="W200" s="84">
        <f t="shared" si="84"/>
        <v>13</v>
      </c>
      <c r="X200" s="84"/>
      <c r="Y200" s="78">
        <f>SUM(E181:E200)</f>
        <v>12</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8">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2"/>
      <c r="M201" s="278"/>
      <c r="N201" s="278"/>
      <c r="O201" s="278"/>
      <c r="P201" s="278"/>
      <c r="Q201" s="278"/>
      <c r="R201" s="278"/>
      <c r="S201" s="278"/>
      <c r="T201" s="278"/>
      <c r="U201" s="279"/>
      <c r="V201" s="103"/>
      <c r="W201" s="84">
        <f t="shared" si="84"/>
        <v>13</v>
      </c>
      <c r="X201" s="84"/>
      <c r="Y201" s="78">
        <f>SUM(E181:E201)</f>
        <v>12</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8">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2"/>
      <c r="M202" s="278"/>
      <c r="N202" s="278"/>
      <c r="O202" s="278"/>
      <c r="P202" s="278"/>
      <c r="Q202" s="278"/>
      <c r="R202" s="278"/>
      <c r="S202" s="278"/>
      <c r="T202" s="278"/>
      <c r="U202" s="279"/>
      <c r="V202" s="103"/>
      <c r="W202" s="84">
        <f t="shared" si="84"/>
        <v>13</v>
      </c>
      <c r="X202" s="84"/>
      <c r="Y202" s="78">
        <f>SUM(E181:E202)</f>
        <v>12</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8">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2"/>
      <c r="M203" s="278"/>
      <c r="N203" s="278"/>
      <c r="O203" s="278"/>
      <c r="P203" s="278"/>
      <c r="Q203" s="278"/>
      <c r="R203" s="278"/>
      <c r="S203" s="278"/>
      <c r="T203" s="278"/>
      <c r="U203" s="279"/>
      <c r="V203" s="103"/>
      <c r="W203" s="84">
        <f t="shared" si="84"/>
        <v>13</v>
      </c>
      <c r="X203" s="84"/>
      <c r="Y203" s="78">
        <f>SUM(E181:E203)</f>
        <v>12</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8">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2"/>
      <c r="M204" s="278"/>
      <c r="N204" s="278"/>
      <c r="O204" s="278"/>
      <c r="P204" s="278"/>
      <c r="Q204" s="278"/>
      <c r="R204" s="278"/>
      <c r="S204" s="278"/>
      <c r="T204" s="278"/>
      <c r="U204" s="279"/>
      <c r="V204" s="103"/>
      <c r="W204" s="84">
        <f t="shared" si="84"/>
        <v>13</v>
      </c>
      <c r="X204" s="84"/>
      <c r="Y204" s="78">
        <f>SUM(E181:E204)</f>
        <v>12</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8">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3"/>
      <c r="M205" s="278"/>
      <c r="N205" s="278"/>
      <c r="O205" s="278"/>
      <c r="P205" s="278"/>
      <c r="Q205" s="278"/>
      <c r="R205" s="278"/>
      <c r="S205" s="278"/>
      <c r="T205" s="278"/>
      <c r="U205" s="279"/>
      <c r="V205" s="103"/>
      <c r="W205" s="72"/>
      <c r="X205" s="72"/>
      <c r="Y205" s="78">
        <f>SUM(E181:E205)</f>
        <v>12</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7"/>
    </row>
    <row r="206" spans="1:53" ht="16.5" thickBot="1" x14ac:dyDescent="0.3">
      <c r="A206" s="88"/>
      <c r="B206" s="319" t="s">
        <v>313</v>
      </c>
      <c r="C206" s="320"/>
      <c r="D206" s="79"/>
      <c r="E206" s="80"/>
      <c r="F206" s="80"/>
      <c r="G206" s="81"/>
      <c r="H206" s="191"/>
      <c r="I206" s="191"/>
      <c r="J206" s="191"/>
      <c r="K206" s="82"/>
      <c r="L206" s="319" t="s">
        <v>306</v>
      </c>
      <c r="M206" s="330"/>
      <c r="N206" s="330"/>
      <c r="O206" s="330"/>
      <c r="P206" s="330"/>
      <c r="Q206" s="330"/>
      <c r="R206" s="330"/>
      <c r="S206" s="330"/>
      <c r="T206" s="330"/>
      <c r="U206" s="320"/>
      <c r="V206" s="104"/>
      <c r="W206" s="72"/>
      <c r="X206" s="72"/>
      <c r="Y206" s="72"/>
      <c r="Z206" s="72"/>
      <c r="AA206" s="72" t="str">
        <f t="shared" si="83"/>
        <v/>
      </c>
      <c r="AB206" s="72"/>
      <c r="AC206" s="72">
        <f>SUM(AC181:AC205)</f>
        <v>25</v>
      </c>
      <c r="AD206" s="72">
        <f>SUM(AD181:AD205)</f>
        <v>23</v>
      </c>
      <c r="AM206" s="109">
        <f>SUM(AM181:AM205)</f>
        <v>0</v>
      </c>
      <c r="AN206" s="109">
        <f>SUM(AN181:AN205)</f>
        <v>0</v>
      </c>
      <c r="AO206" s="109">
        <f>((COUNTIF(AO181:AO205,"Y")/3)*2)</f>
        <v>0</v>
      </c>
      <c r="AP206" s="109">
        <f>(COUNTIF(AO181:AO205,"Y")/3)</f>
        <v>0</v>
      </c>
      <c r="AQ206" s="109">
        <f>(COUNTIF(AQ181:AQ205,"Y")/2)</f>
        <v>0</v>
      </c>
      <c r="AR206" s="109">
        <f>(COUNTIF(AQ181:AQ205,"Y")/2)</f>
        <v>0</v>
      </c>
      <c r="BA206" s="227"/>
    </row>
    <row r="207" spans="1:53" ht="16.5" thickBot="1" x14ac:dyDescent="0.3">
      <c r="A207" s="88"/>
      <c r="B207" s="319" t="s">
        <v>307</v>
      </c>
      <c r="C207" s="320"/>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5"/>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5" t="s">
        <v>210</v>
      </c>
      <c r="N210" s="195" t="s">
        <v>211</v>
      </c>
      <c r="O210" s="195" t="s">
        <v>212</v>
      </c>
      <c r="P210" s="195" t="s">
        <v>213</v>
      </c>
      <c r="Q210" s="195" t="s">
        <v>214</v>
      </c>
      <c r="R210" s="195" t="s">
        <v>215</v>
      </c>
      <c r="S210" s="195" t="s">
        <v>216</v>
      </c>
      <c r="T210" s="195" t="s">
        <v>217</v>
      </c>
      <c r="U210" s="195" t="s">
        <v>218</v>
      </c>
      <c r="V210" s="195" t="s">
        <v>219</v>
      </c>
      <c r="W210" s="113" t="s">
        <v>220</v>
      </c>
      <c r="X210" s="195" t="s">
        <v>221</v>
      </c>
      <c r="Y210" s="25"/>
      <c r="Z210" s="25"/>
      <c r="AA210" s="25"/>
      <c r="AB210" s="25"/>
      <c r="AC210" s="25"/>
      <c r="AD210" s="25"/>
      <c r="BA210" s="225"/>
    </row>
    <row r="211" spans="1:53" ht="16.5" thickTop="1" thickBot="1" x14ac:dyDescent="0.3">
      <c r="A211" s="88"/>
      <c r="B211" s="312" t="s">
        <v>222</v>
      </c>
      <c r="C211" s="313"/>
      <c r="D211" s="314" t="s">
        <v>223</v>
      </c>
      <c r="E211" s="305"/>
      <c r="F211" s="88"/>
      <c r="G211" s="315" t="s">
        <v>224</v>
      </c>
      <c r="H211" s="316"/>
      <c r="I211" s="28">
        <f>SUM(E222:E246)</f>
        <v>24</v>
      </c>
      <c r="J211" s="317" t="s">
        <v>225</v>
      </c>
      <c r="K211" s="318"/>
      <c r="L211" s="305"/>
      <c r="M211" s="195">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5" t="s">
        <v>226</v>
      </c>
      <c r="AA211" s="296"/>
      <c r="AB211" s="297"/>
      <c r="AC211" s="25"/>
      <c r="AD211" s="25"/>
      <c r="AH211" s="109">
        <v>2</v>
      </c>
      <c r="AI211" s="109" t="str">
        <f>IF($E212="SS",COUNTIFS($C222:$C246,"FST",$E222:$E246,"2"),"0")</f>
        <v>0</v>
      </c>
      <c r="AJ211" s="109">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5"/>
    </row>
    <row r="212" spans="1:53" ht="16.5" customHeight="1" thickTop="1" thickBot="1" x14ac:dyDescent="0.3">
      <c r="A212" s="88"/>
      <c r="B212" s="29" t="s">
        <v>228</v>
      </c>
      <c r="C212" s="30">
        <v>0</v>
      </c>
      <c r="D212" s="31" t="s">
        <v>229</v>
      </c>
      <c r="E212" s="66" t="str">
        <f>TEXT(IF('Cable Calculator'!AC7="","",'Cable Calculator'!AC7),)</f>
        <v>RPX</v>
      </c>
      <c r="F212" s="88"/>
      <c r="G212" s="304" t="s">
        <v>230</v>
      </c>
      <c r="H212" s="305"/>
      <c r="I212" s="33">
        <f>E213-I211</f>
        <v>0</v>
      </c>
      <c r="J212" s="289" t="s">
        <v>231</v>
      </c>
      <c r="K212" s="290"/>
      <c r="L212" s="34">
        <f>I216</f>
        <v>805</v>
      </c>
      <c r="M212" s="195">
        <v>4</v>
      </c>
      <c r="N212" s="35">
        <f>SUM(AI212,AI223)</f>
        <v>0</v>
      </c>
      <c r="O212" s="35">
        <v>0</v>
      </c>
      <c r="P212" s="35">
        <f>SUM(AJ212,AJ223)</f>
        <v>2</v>
      </c>
      <c r="Q212" s="35">
        <v>0</v>
      </c>
      <c r="R212" s="35">
        <f>COUNTIFS($E222:$E246,"4",$F222:$F246,"Pole",$C222:$C246,"FST")</f>
        <v>2</v>
      </c>
      <c r="S212" s="35">
        <f>SUM(AL212,AK223)</f>
        <v>0</v>
      </c>
      <c r="T212" s="35">
        <v>0</v>
      </c>
      <c r="U212" s="35">
        <f>SUM(AK212,AL223)</f>
        <v>0</v>
      </c>
      <c r="V212" s="35">
        <v>0</v>
      </c>
      <c r="W212" s="34">
        <f>COUNTIFS($E222:$E246,"4",$F222:$F246,"HH",$C222:$C246,"FST")</f>
        <v>0</v>
      </c>
      <c r="X212" s="35">
        <f>COUNTIFS($E222:$E246,"4",$F222:$F246,"Ped",$C222:$C246,"FST")</f>
        <v>0</v>
      </c>
      <c r="Y212" s="25"/>
      <c r="Z212" s="298" t="s">
        <v>232</v>
      </c>
      <c r="AA212" s="300" t="s">
        <v>233</v>
      </c>
      <c r="AB212" s="301"/>
      <c r="AC212" s="25"/>
      <c r="AD212" s="25"/>
      <c r="AH212" s="109">
        <v>4</v>
      </c>
      <c r="AI212" s="109" t="str">
        <f>IF($E212="SS",COUNTIFS($C222:$C246,"FST",$E222:$E246,"4"),"0")</f>
        <v>0</v>
      </c>
      <c r="AJ212" s="109">
        <f>IF($E212="RPX",COUNTIFS($C222:$C246,"FST",$E222:$E246,"4"),"0")</f>
        <v>2</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6"/>
    </row>
    <row r="213" spans="1:53" ht="16.5" thickTop="1" thickBot="1" x14ac:dyDescent="0.3">
      <c r="A213" s="88"/>
      <c r="B213" s="36" t="s">
        <v>235</v>
      </c>
      <c r="C213" s="37">
        <v>0</v>
      </c>
      <c r="D213" s="38" t="s">
        <v>236</v>
      </c>
      <c r="E213" s="32">
        <v>24</v>
      </c>
      <c r="F213" s="88"/>
      <c r="G213" s="291" t="s">
        <v>237</v>
      </c>
      <c r="H213" s="292"/>
      <c r="I213" s="35">
        <f>IF(E213=0,0,12-(MOD(I211,12)))</f>
        <v>12</v>
      </c>
      <c r="J213" s="289" t="s">
        <v>238</v>
      </c>
      <c r="K213" s="290"/>
      <c r="L213" s="39">
        <f>I217-I211</f>
        <v>804</v>
      </c>
      <c r="M213" s="195">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9"/>
      <c r="AA213" s="302"/>
      <c r="AB213" s="303"/>
      <c r="AC213" s="25"/>
      <c r="AD213" s="25"/>
      <c r="AH213" s="109">
        <v>6</v>
      </c>
      <c r="AI213" s="109" t="str">
        <f>IF($E212="SS",COUNTIFS($C222:$C246,"FST",$E222:$E246,"6"),"0")</f>
        <v>0</v>
      </c>
      <c r="AJ213" s="109">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6"/>
    </row>
    <row r="214" spans="1:53" ht="16.5" customHeight="1" thickTop="1" thickBot="1" x14ac:dyDescent="0.3">
      <c r="A214" s="88"/>
      <c r="B214" s="40" t="s">
        <v>240</v>
      </c>
      <c r="C214" s="30">
        <v>0</v>
      </c>
      <c r="D214" s="41" t="s">
        <v>241</v>
      </c>
      <c r="E214" s="42">
        <v>0</v>
      </c>
      <c r="F214" s="88"/>
      <c r="G214" s="321" t="s">
        <v>242</v>
      </c>
      <c r="H214" s="43" t="s">
        <v>243</v>
      </c>
      <c r="I214" s="35">
        <f>IF(E214&lt;&gt;0,1,0)</f>
        <v>0</v>
      </c>
      <c r="J214" s="291" t="s">
        <v>244</v>
      </c>
      <c r="K214" s="292"/>
      <c r="L214" s="44">
        <f>'Cable Calculator'!AC3</f>
        <v>1199</v>
      </c>
      <c r="M214" s="195">
        <v>8</v>
      </c>
      <c r="N214" s="35">
        <f>SUM(AI214,AI225)</f>
        <v>0</v>
      </c>
      <c r="O214" s="35">
        <v>0</v>
      </c>
      <c r="P214" s="35">
        <f>SUM(AJ214,AJ225)</f>
        <v>2</v>
      </c>
      <c r="Q214" s="35">
        <v>0</v>
      </c>
      <c r="R214" s="35">
        <f>COUNTIFS($E222:$E246,"8",$F222:$F246,"Pole",$C222:$C246,"FST")</f>
        <v>2</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f>IF($E212="RPX",COUNTIFS($C222:$C246,"FST",$E222:$E246,"8"),"0")</f>
        <v>2</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6"/>
    </row>
    <row r="215" spans="1:53" ht="16.5" thickTop="1" thickBot="1" x14ac:dyDescent="0.3">
      <c r="A215" s="88"/>
      <c r="B215" s="29" t="s">
        <v>246</v>
      </c>
      <c r="C215" s="37">
        <v>0</v>
      </c>
      <c r="D215" s="41" t="s">
        <v>247</v>
      </c>
      <c r="E215" s="42">
        <v>805</v>
      </c>
      <c r="F215" s="88"/>
      <c r="G215" s="322"/>
      <c r="H215" s="47" t="s">
        <v>248</v>
      </c>
      <c r="I215" s="35">
        <f>IF(E214&lt;&gt;0,E214,0)</f>
        <v>0</v>
      </c>
      <c r="J215" s="193"/>
      <c r="K215" s="194"/>
      <c r="L215" s="48"/>
      <c r="M215" s="195">
        <v>12</v>
      </c>
      <c r="N215" s="35" t="str">
        <f>IF($E212="SS",SUM(AI215,AJ226,AM247,AO247,AQ247),"0")</f>
        <v>0</v>
      </c>
      <c r="O215" s="35" t="str">
        <f>IF($E212="SS",SUM(AN247,AP247,AR247),"0")</f>
        <v>0</v>
      </c>
      <c r="P215" s="35">
        <f>IF($E212="RPX",SUM(AJ215,AJ226,AM247,AO247,AQ247),"0")</f>
        <v>0</v>
      </c>
      <c r="Q215" s="35">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f>IF($E212="RPX",COUNTIFS($C222:$C246,"FST",$E222:$E246,"12"),"0")</f>
        <v>0</v>
      </c>
      <c r="AK215" s="109" t="str">
        <f>IF($E212="EUC",COUNTIFS($C222:$C246,"FST",$E222:$E246,"12"),"0")</f>
        <v>0</v>
      </c>
      <c r="AL215" s="109" t="str">
        <f>IF($E212="RPX-T",COUNTIFS($C222:$C246,"FST",$E222:$E246,"12"),"0")</f>
        <v>0</v>
      </c>
      <c r="BA215" s="226"/>
    </row>
    <row r="216" spans="1:53" ht="16.5" customHeight="1" thickTop="1" thickBot="1" x14ac:dyDescent="0.3">
      <c r="A216" s="88"/>
      <c r="B216" s="36" t="s">
        <v>249</v>
      </c>
      <c r="C216" s="30">
        <v>0</v>
      </c>
      <c r="D216" s="49" t="s">
        <v>250</v>
      </c>
      <c r="E216" s="50">
        <f>E213/12</f>
        <v>2</v>
      </c>
      <c r="F216" s="88"/>
      <c r="G216" s="321" t="s">
        <v>251</v>
      </c>
      <c r="H216" s="51" t="s">
        <v>252</v>
      </c>
      <c r="I216" s="112">
        <f>E215</f>
        <v>805</v>
      </c>
      <c r="J216" s="323" t="s">
        <v>253</v>
      </c>
      <c r="K216" s="324"/>
      <c r="L216" s="325"/>
      <c r="M216" s="52" t="s">
        <v>254</v>
      </c>
      <c r="N216" s="106"/>
      <c r="O216" s="106"/>
      <c r="P216" s="191"/>
      <c r="Q216" s="191"/>
      <c r="R216" s="191"/>
      <c r="S216" s="191"/>
      <c r="T216" s="191"/>
      <c r="U216" s="191"/>
      <c r="V216" s="191"/>
      <c r="W216" s="53">
        <f>SUM(P216:U216)</f>
        <v>0</v>
      </c>
      <c r="X216" s="54"/>
      <c r="Y216" s="25"/>
      <c r="Z216" s="45">
        <v>3</v>
      </c>
      <c r="AA216" s="46">
        <v>25</v>
      </c>
      <c r="AB216" s="46">
        <v>36</v>
      </c>
      <c r="AC216" s="25"/>
      <c r="AD216" s="25"/>
      <c r="BA216" s="226"/>
    </row>
    <row r="217" spans="1:53" ht="16.5" thickTop="1" thickBot="1" x14ac:dyDescent="0.3">
      <c r="A217" s="88"/>
      <c r="B217" s="36" t="s">
        <v>255</v>
      </c>
      <c r="C217" s="30">
        <v>0</v>
      </c>
      <c r="D217" s="31" t="s">
        <v>256</v>
      </c>
      <c r="E217" s="101" t="str">
        <f>IF('Cable Calculator'!AC5="","",'Cable Calculator'!AC5)</f>
        <v>N</v>
      </c>
      <c r="F217" s="88"/>
      <c r="G217" s="322"/>
      <c r="H217" s="47" t="s">
        <v>257</v>
      </c>
      <c r="I217" s="35">
        <f>IF(E215="","0",IF(AND(E212="EUC",E213=432), I216+(203-E214),IF(E215=0,0,(E215+(E213-E214)-1))))</f>
        <v>828</v>
      </c>
      <c r="J217" s="286" t="str">
        <f>IFERROR(IF(OR(E212="EUC",E212="SS"),"---",IF(OR(P211,S211),"NO 2F Tethers for RPX!",IF(OR(P213,S213),"NO 6F Tethers for RPX!","---"))),"---")</f>
        <v>---</v>
      </c>
      <c r="K217" s="287"/>
      <c r="L217" s="288"/>
      <c r="M217" s="286" t="str">
        <f>IF(E214&gt;60,"Dead Count &gt;60: Consider Downsize","---")</f>
        <v>---</v>
      </c>
      <c r="N217" s="287"/>
      <c r="O217" s="287"/>
      <c r="P217" s="287"/>
      <c r="Q217" s="287"/>
      <c r="R217" s="287"/>
      <c r="S217" s="287"/>
      <c r="T217" s="287"/>
      <c r="U217" s="288"/>
      <c r="V217" s="100"/>
      <c r="W217" s="54">
        <f>SUM(P217:U217)</f>
        <v>0</v>
      </c>
      <c r="X217" s="54"/>
      <c r="Y217" s="25"/>
      <c r="Z217" s="45">
        <v>4</v>
      </c>
      <c r="AA217" s="46">
        <v>37</v>
      </c>
      <c r="AB217" s="46">
        <v>48</v>
      </c>
      <c r="AC217" s="25"/>
      <c r="AD217" s="25"/>
      <c r="BA217" s="226"/>
    </row>
    <row r="218" spans="1:53" ht="16.5" thickTop="1" thickBot="1" x14ac:dyDescent="0.3">
      <c r="A218" s="88"/>
      <c r="B218" s="55" t="s">
        <v>258</v>
      </c>
      <c r="C218" s="56">
        <f>SUM(C212:C217)+I211</f>
        <v>24</v>
      </c>
      <c r="D218" s="31" t="s">
        <v>259</v>
      </c>
      <c r="E218" s="101" t="str">
        <f>IF(AS212="Y","DBL",IF(AS213="Y","TRPL",IF(AS214="Y","QUAD","")))</f>
        <v/>
      </c>
      <c r="F218" s="88"/>
      <c r="G218" s="191"/>
      <c r="H218" s="57"/>
      <c r="I218" s="191"/>
      <c r="J218" s="286"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7"/>
      <c r="L218" s="288"/>
      <c r="M218" s="286" t="str">
        <f>IF(AND(OR(E212="SS",E212="RPX",E212="EUC",E212="RPX-T"),(OR(C222="",C222="Field SPL"))),"Cannot have FlexNap cables without tethers","---")</f>
        <v>---</v>
      </c>
      <c r="N218" s="287"/>
      <c r="O218" s="287"/>
      <c r="P218" s="287"/>
      <c r="Q218" s="287"/>
      <c r="R218" s="287"/>
      <c r="S218" s="287"/>
      <c r="T218" s="287"/>
      <c r="U218" s="288"/>
      <c r="V218" s="25"/>
      <c r="W218" s="58"/>
      <c r="X218" s="58"/>
      <c r="Y218" s="25"/>
      <c r="Z218" s="45">
        <v>5</v>
      </c>
      <c r="AA218" s="46">
        <v>49</v>
      </c>
      <c r="AB218" s="46">
        <v>60</v>
      </c>
      <c r="AC218" s="25"/>
      <c r="AD218" s="25"/>
      <c r="BA218" s="226"/>
    </row>
    <row r="219" spans="1:53" ht="16.5" thickTop="1" thickBot="1" x14ac:dyDescent="0.3">
      <c r="A219" s="88"/>
      <c r="B219" s="59"/>
      <c r="C219" s="60"/>
      <c r="D219" s="61"/>
      <c r="E219" s="62"/>
      <c r="F219" s="88"/>
      <c r="G219" s="63"/>
      <c r="H219" s="64"/>
      <c r="I219" s="63"/>
      <c r="J219" s="286" t="str">
        <f>IF(AND(OR(E212="RPX", E212="RPX-T", E212="SS"),E213=216),"NO 216 For RPX, RPX-T, OR SS CABLE","---")</f>
        <v>---</v>
      </c>
      <c r="K219" s="287"/>
      <c r="L219" s="288"/>
      <c r="M219" s="286" t="str" cm="1">
        <f t="array" ref="M219">IF(AND(E212="",OR(C222:C246="FST",C222:C246="REV T",C222:C246="DBL REV",C222:C246="TPL REV", C222:C246="QD REV")),"Non-FlexNap cables cannot have tethers","---")</f>
        <v>---</v>
      </c>
      <c r="N219" s="287"/>
      <c r="O219" s="287"/>
      <c r="P219" s="287"/>
      <c r="Q219" s="287"/>
      <c r="R219" s="287"/>
      <c r="S219" s="287"/>
      <c r="T219" s="287"/>
      <c r="U219" s="288"/>
      <c r="V219" s="25"/>
      <c r="W219" s="58"/>
      <c r="X219" s="58"/>
      <c r="Y219" s="25"/>
      <c r="Z219" s="45">
        <v>6</v>
      </c>
      <c r="AA219" s="65">
        <v>61</v>
      </c>
      <c r="AB219" s="65">
        <v>72</v>
      </c>
      <c r="AC219" s="25"/>
      <c r="AD219" s="25"/>
      <c r="BA219" s="225"/>
    </row>
    <row r="220" spans="1:53" ht="15.75" customHeight="1" thickBot="1" x14ac:dyDescent="0.3">
      <c r="A220" s="88"/>
      <c r="B220" s="321" t="s">
        <v>260</v>
      </c>
      <c r="C220" s="293" t="s">
        <v>261</v>
      </c>
      <c r="D220" s="293" t="s">
        <v>262</v>
      </c>
      <c r="E220" s="306" t="s">
        <v>263</v>
      </c>
      <c r="F220" s="293" t="s">
        <v>264</v>
      </c>
      <c r="G220" s="308" t="s">
        <v>265</v>
      </c>
      <c r="H220" s="308" t="s">
        <v>266</v>
      </c>
      <c r="I220" s="308" t="s">
        <v>267</v>
      </c>
      <c r="J220" s="310" t="s">
        <v>268</v>
      </c>
      <c r="K220" s="293" t="s">
        <v>269</v>
      </c>
      <c r="L220" s="280" t="s">
        <v>270</v>
      </c>
      <c r="M220" s="282" t="s">
        <v>271</v>
      </c>
      <c r="N220" s="282"/>
      <c r="O220" s="282"/>
      <c r="P220" s="282"/>
      <c r="Q220" s="282"/>
      <c r="R220" s="282"/>
      <c r="S220" s="282"/>
      <c r="T220" s="282"/>
      <c r="U220" s="283"/>
      <c r="V220" s="107"/>
      <c r="W220" s="72"/>
      <c r="X220" s="72"/>
      <c r="Y220" s="72"/>
      <c r="Z220" s="45">
        <v>7</v>
      </c>
      <c r="AA220" s="65">
        <v>73</v>
      </c>
      <c r="AB220" s="65">
        <v>84</v>
      </c>
      <c r="AC220" s="25"/>
      <c r="AD220" s="25"/>
      <c r="BA220" s="227"/>
    </row>
    <row r="221" spans="1:53" ht="15.75" thickBot="1" x14ac:dyDescent="0.3">
      <c r="A221" s="88"/>
      <c r="B221" s="322"/>
      <c r="C221" s="294"/>
      <c r="D221" s="294"/>
      <c r="E221" s="307"/>
      <c r="F221" s="294"/>
      <c r="G221" s="309"/>
      <c r="H221" s="309"/>
      <c r="I221" s="309"/>
      <c r="J221" s="311"/>
      <c r="K221" s="294"/>
      <c r="L221" s="281"/>
      <c r="M221" s="284"/>
      <c r="N221" s="284"/>
      <c r="O221" s="284"/>
      <c r="P221" s="284"/>
      <c r="Q221" s="284"/>
      <c r="R221" s="284"/>
      <c r="S221" s="284"/>
      <c r="T221" s="284"/>
      <c r="U221" s="285"/>
      <c r="V221" s="107"/>
      <c r="W221" s="72"/>
      <c r="X221" s="72"/>
      <c r="Y221" s="72"/>
      <c r="Z221" s="45">
        <v>8</v>
      </c>
      <c r="AA221" s="46">
        <v>85</v>
      </c>
      <c r="AB221" s="46">
        <v>96</v>
      </c>
      <c r="AC221" s="25"/>
      <c r="AD221" s="25"/>
      <c r="AI221" s="109" t="s">
        <v>272</v>
      </c>
      <c r="AJ221" s="109" t="s">
        <v>273</v>
      </c>
      <c r="AK221" s="109" t="s">
        <v>274</v>
      </c>
      <c r="AL221" s="109" t="s">
        <v>275</v>
      </c>
      <c r="BA221" s="227"/>
    </row>
    <row r="222" spans="1:53" ht="15.75" thickBot="1" x14ac:dyDescent="0.3">
      <c r="A222" s="88"/>
      <c r="B222" s="66" t="s">
        <v>276</v>
      </c>
      <c r="C222" s="67" t="s">
        <v>484</v>
      </c>
      <c r="D222" s="102" t="s">
        <v>744</v>
      </c>
      <c r="E222" s="32">
        <v>8</v>
      </c>
      <c r="F222" s="32" t="s">
        <v>483</v>
      </c>
      <c r="G222" s="68" t="s">
        <v>277</v>
      </c>
      <c r="H222" s="69">
        <f>IF(I222=0,0,I222-(E222-1))</f>
        <v>821</v>
      </c>
      <c r="I222" s="70">
        <f>IF(E222=0,0,I217)</f>
        <v>828</v>
      </c>
      <c r="J222" s="71" t="s">
        <v>278</v>
      </c>
      <c r="K222" s="32"/>
      <c r="L222" s="232"/>
      <c r="M222" s="278"/>
      <c r="N222" s="278"/>
      <c r="O222" s="278"/>
      <c r="P222" s="278"/>
      <c r="Q222" s="278"/>
      <c r="R222" s="278"/>
      <c r="S222" s="278"/>
      <c r="T222" s="278"/>
      <c r="U222" s="279"/>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821-828</v>
      </c>
      <c r="AF222" s="109" t="str">
        <f t="shared" ref="AF222:AF246" si="88">IF(C222="Field SPL","N","Y")</f>
        <v>Y</v>
      </c>
      <c r="AG222" s="109" t="str">
        <f t="shared" ref="AG222:AG246" si="89">IF(OR(E$212="RPX",E$212="SS"),"A","B")</f>
        <v>A</v>
      </c>
      <c r="AH222" s="109">
        <v>2</v>
      </c>
      <c r="AI222" s="109" t="str">
        <f>IF(E212="SS",COUNTIFS(C222:C246,"TCF",E222:E246,"2"),"")</f>
        <v/>
      </c>
      <c r="AJ222" s="109">
        <f>IF(E212="RPX",COUNTIFS(C222:C246,"TCF",E222:E246,"2"),"")</f>
        <v>0</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8">
        <f>MOD(E222,12)</f>
        <v>8</v>
      </c>
    </row>
    <row r="223" spans="1:53" ht="15.75" thickBot="1" x14ac:dyDescent="0.3">
      <c r="A223" s="88"/>
      <c r="B223" s="66" t="s">
        <v>279</v>
      </c>
      <c r="C223" s="67" t="s">
        <v>484</v>
      </c>
      <c r="D223" s="102" t="s">
        <v>745</v>
      </c>
      <c r="E223" s="32">
        <v>4</v>
      </c>
      <c r="F223" s="32" t="s">
        <v>483</v>
      </c>
      <c r="G223" s="68" t="s">
        <v>277</v>
      </c>
      <c r="H223" s="69">
        <f t="shared" ref="H223:H246" si="94">IF(E223=0,0,I223-(E223-1))</f>
        <v>817</v>
      </c>
      <c r="I223" s="70">
        <f t="shared" ref="I223:I246" si="95">IF(E223=0,0,H222-1)</f>
        <v>820</v>
      </c>
      <c r="J223" s="73" t="str">
        <f>IF(C223="","--",IF(AND(C223&lt;&gt;"FST",C223&lt;&gt;"TCF",BA222&lt;&gt;0),BA222,"--"))</f>
        <v>--</v>
      </c>
      <c r="K223" s="32"/>
      <c r="L223" s="232"/>
      <c r="M223" s="278"/>
      <c r="N223" s="278"/>
      <c r="O223" s="278"/>
      <c r="P223" s="278"/>
      <c r="Q223" s="278"/>
      <c r="R223" s="278"/>
      <c r="S223" s="278"/>
      <c r="T223" s="278"/>
      <c r="U223" s="279"/>
      <c r="V223" s="103"/>
      <c r="W223" s="72"/>
      <c r="X223" s="72"/>
      <c r="Y223" s="72"/>
      <c r="Z223" s="45">
        <v>10</v>
      </c>
      <c r="AA223" s="46">
        <v>109</v>
      </c>
      <c r="AB223" s="46">
        <v>120</v>
      </c>
      <c r="AC223" s="72">
        <f t="shared" si="85"/>
        <v>1</v>
      </c>
      <c r="AD223" s="72">
        <f t="shared" si="86"/>
        <v>0</v>
      </c>
      <c r="AE223" s="109" t="str">
        <f t="shared" si="87"/>
        <v>817-820</v>
      </c>
      <c r="AF223" s="109" t="str">
        <f t="shared" si="88"/>
        <v>Y</v>
      </c>
      <c r="AG223" s="109" t="str">
        <f t="shared" si="89"/>
        <v>A</v>
      </c>
      <c r="AH223" s="109">
        <v>4</v>
      </c>
      <c r="AI223" s="109" t="str">
        <f>IF(E212="SS",COUNTIFS(C222:C246,"TCF",E222:E246,"4"),"")</f>
        <v/>
      </c>
      <c r="AJ223" s="109">
        <f>IF(E212="RPX",COUNTIFS(C222:C246,"TCF",E222:E246,"4"),"")</f>
        <v>0</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8">
        <f>MOD(SUM(E222:E223),12)</f>
        <v>0</v>
      </c>
    </row>
    <row r="224" spans="1:53" ht="15.75" thickBot="1" x14ac:dyDescent="0.3">
      <c r="A224" s="88"/>
      <c r="B224" s="74" t="s">
        <v>280</v>
      </c>
      <c r="C224" s="67" t="s">
        <v>484</v>
      </c>
      <c r="D224" s="102" t="s">
        <v>746</v>
      </c>
      <c r="E224" s="32">
        <v>4</v>
      </c>
      <c r="F224" s="32" t="s">
        <v>483</v>
      </c>
      <c r="G224" s="75" t="s">
        <v>277</v>
      </c>
      <c r="H224" s="69">
        <f t="shared" si="94"/>
        <v>813</v>
      </c>
      <c r="I224" s="70">
        <f t="shared" si="95"/>
        <v>816</v>
      </c>
      <c r="J224" s="73" t="str">
        <f t="shared" ref="J224:J246" si="96">IF(C224="","--",IF(AND(C224&lt;&gt;"FST",C224&lt;&gt;"TCF",BA223&lt;&gt;0),BA223,"--"))</f>
        <v>--</v>
      </c>
      <c r="K224" s="32"/>
      <c r="L224" s="232"/>
      <c r="M224" s="278"/>
      <c r="N224" s="278"/>
      <c r="O224" s="278"/>
      <c r="P224" s="278"/>
      <c r="Q224" s="278"/>
      <c r="R224" s="278"/>
      <c r="S224" s="278"/>
      <c r="T224" s="278"/>
      <c r="U224" s="279"/>
      <c r="V224" s="103"/>
      <c r="W224" s="72"/>
      <c r="X224" s="72"/>
      <c r="Y224" s="72"/>
      <c r="Z224" s="45">
        <v>11</v>
      </c>
      <c r="AA224" s="46">
        <v>121</v>
      </c>
      <c r="AB224" s="46">
        <v>132</v>
      </c>
      <c r="AC224" s="72">
        <f t="shared" si="85"/>
        <v>1</v>
      </c>
      <c r="AD224" s="72">
        <f t="shared" si="86"/>
        <v>0</v>
      </c>
      <c r="AE224" s="109" t="str">
        <f t="shared" si="87"/>
        <v>813-816</v>
      </c>
      <c r="AF224" s="109" t="str">
        <f t="shared" si="88"/>
        <v>Y</v>
      </c>
      <c r="AG224" s="109" t="str">
        <f t="shared" si="89"/>
        <v>A</v>
      </c>
      <c r="AH224" s="109">
        <v>6</v>
      </c>
      <c r="AI224" s="109" t="str">
        <f>IF(E212="SS",COUNTIFS(C222:C246,"TCF",E222:E246,"6"),"")</f>
        <v/>
      </c>
      <c r="AJ224" s="109">
        <f>IF(E212="RPX",COUNTIFS(C222:C246,"TCF",E222:E246,"6"),"")</f>
        <v>0</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8">
        <f>MOD(SUM(E222:E225),12)</f>
        <v>0</v>
      </c>
    </row>
    <row r="225" spans="1:53" ht="15.75" thickBot="1" x14ac:dyDescent="0.3">
      <c r="A225" s="88"/>
      <c r="B225" s="66" t="s">
        <v>281</v>
      </c>
      <c r="C225" s="67" t="s">
        <v>484</v>
      </c>
      <c r="D225" s="102" t="s">
        <v>747</v>
      </c>
      <c r="E225" s="32">
        <v>8</v>
      </c>
      <c r="F225" s="32" t="s">
        <v>483</v>
      </c>
      <c r="G225" s="68" t="s">
        <v>277</v>
      </c>
      <c r="H225" s="69">
        <f t="shared" si="94"/>
        <v>805</v>
      </c>
      <c r="I225" s="70">
        <f t="shared" si="95"/>
        <v>812</v>
      </c>
      <c r="J225" s="73" t="str">
        <f t="shared" si="96"/>
        <v>--</v>
      </c>
      <c r="K225" s="32"/>
      <c r="L225" s="232"/>
      <c r="M225" s="278"/>
      <c r="N225" s="278"/>
      <c r="O225" s="278"/>
      <c r="P225" s="278"/>
      <c r="Q225" s="278"/>
      <c r="R225" s="278"/>
      <c r="S225" s="278"/>
      <c r="T225" s="278"/>
      <c r="U225" s="279"/>
      <c r="V225" s="103"/>
      <c r="W225" s="72"/>
      <c r="X225" s="72"/>
      <c r="Y225" s="72"/>
      <c r="Z225" s="45">
        <v>12</v>
      </c>
      <c r="AA225" s="76">
        <v>133</v>
      </c>
      <c r="AB225" s="76">
        <v>144</v>
      </c>
      <c r="AC225" s="72">
        <f t="shared" si="85"/>
        <v>1</v>
      </c>
      <c r="AD225" s="72">
        <f t="shared" si="86"/>
        <v>0</v>
      </c>
      <c r="AE225" s="109" t="str">
        <f t="shared" si="87"/>
        <v>805-812</v>
      </c>
      <c r="AF225" s="109" t="str">
        <f t="shared" si="88"/>
        <v>Y</v>
      </c>
      <c r="AG225" s="109" t="str">
        <f t="shared" si="89"/>
        <v>A</v>
      </c>
      <c r="AH225" s="109">
        <v>8</v>
      </c>
      <c r="AI225" s="109" t="str">
        <f>IF(E212="SS",COUNTIFS(C222:C246,"TCF",E222:E246,"8"),"")</f>
        <v/>
      </c>
      <c r="AJ225" s="109">
        <f>IF(E212="RPX",COUNTIFS(C222:C246,"TCF",E222:E246,"8"),"")</f>
        <v>0</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8">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2"/>
      <c r="M226" s="278"/>
      <c r="N226" s="278"/>
      <c r="O226" s="278"/>
      <c r="P226" s="278"/>
      <c r="Q226" s="278"/>
      <c r="R226" s="278"/>
      <c r="S226" s="278"/>
      <c r="T226" s="278"/>
      <c r="U226" s="279"/>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A</v>
      </c>
      <c r="AH226" s="109">
        <v>12</v>
      </c>
      <c r="AI226" s="109" t="str">
        <f>IF(E212="SS",COUNTIFS(C222:C246,"TCF",E222:E246,"12"),"")</f>
        <v/>
      </c>
      <c r="AJ226" s="109">
        <f>IF(E212="RPX",COUNTIFS(C222:C246,"TCF",E222:E246,"12"),"")</f>
        <v>0</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8">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2"/>
      <c r="M227" s="278"/>
      <c r="N227" s="278"/>
      <c r="O227" s="278"/>
      <c r="P227" s="278"/>
      <c r="Q227" s="278"/>
      <c r="R227" s="278"/>
      <c r="S227" s="278"/>
      <c r="T227" s="278"/>
      <c r="U227" s="279"/>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A</v>
      </c>
      <c r="AM227" s="109">
        <f t="shared" si="90"/>
        <v>0</v>
      </c>
      <c r="AN227" s="109">
        <f t="shared" si="91"/>
        <v>0</v>
      </c>
      <c r="AO227" s="109" t="str">
        <f t="shared" si="92"/>
        <v/>
      </c>
      <c r="AQ227" s="109" t="str">
        <f t="shared" si="93"/>
        <v/>
      </c>
      <c r="BA227" s="228">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2"/>
      <c r="M228" s="278"/>
      <c r="N228" s="278"/>
      <c r="O228" s="278"/>
      <c r="P228" s="278"/>
      <c r="Q228" s="278"/>
      <c r="R228" s="278"/>
      <c r="S228" s="278"/>
      <c r="T228" s="278"/>
      <c r="U228" s="279"/>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A</v>
      </c>
      <c r="AM228" s="109">
        <f t="shared" si="90"/>
        <v>0</v>
      </c>
      <c r="AN228" s="109">
        <f t="shared" si="91"/>
        <v>0</v>
      </c>
      <c r="AO228" s="109" t="str">
        <f t="shared" si="92"/>
        <v/>
      </c>
      <c r="AQ228" s="109" t="str">
        <f t="shared" si="93"/>
        <v/>
      </c>
      <c r="BA228" s="228">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2"/>
      <c r="M229" s="278"/>
      <c r="N229" s="278"/>
      <c r="O229" s="278"/>
      <c r="P229" s="278"/>
      <c r="Q229" s="278"/>
      <c r="R229" s="278"/>
      <c r="S229" s="278"/>
      <c r="T229" s="278"/>
      <c r="U229" s="279"/>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A</v>
      </c>
      <c r="AM229" s="109">
        <f t="shared" si="90"/>
        <v>0</v>
      </c>
      <c r="AN229" s="109">
        <f t="shared" si="91"/>
        <v>0</v>
      </c>
      <c r="AO229" s="109" t="str">
        <f t="shared" si="92"/>
        <v/>
      </c>
      <c r="AQ229" s="109" t="str">
        <f t="shared" si="93"/>
        <v/>
      </c>
      <c r="BA229" s="228">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2"/>
      <c r="M230" s="278"/>
      <c r="N230" s="278"/>
      <c r="O230" s="278"/>
      <c r="P230" s="278"/>
      <c r="Q230" s="278"/>
      <c r="R230" s="278"/>
      <c r="S230" s="278"/>
      <c r="T230" s="278"/>
      <c r="U230" s="279"/>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A</v>
      </c>
      <c r="AM230" s="109">
        <f t="shared" si="90"/>
        <v>0</v>
      </c>
      <c r="AN230" s="109">
        <f t="shared" si="91"/>
        <v>0</v>
      </c>
      <c r="AO230" s="109" t="str">
        <f t="shared" si="92"/>
        <v/>
      </c>
      <c r="AQ230" s="109" t="str">
        <f t="shared" si="93"/>
        <v/>
      </c>
      <c r="BA230" s="228">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2"/>
      <c r="M231" s="278"/>
      <c r="N231" s="278"/>
      <c r="O231" s="278"/>
      <c r="P231" s="278"/>
      <c r="Q231" s="278"/>
      <c r="R231" s="278"/>
      <c r="S231" s="278"/>
      <c r="T231" s="278"/>
      <c r="U231" s="279"/>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A</v>
      </c>
      <c r="AM231" s="109">
        <f t="shared" si="90"/>
        <v>0</v>
      </c>
      <c r="AN231" s="109">
        <f t="shared" si="91"/>
        <v>0</v>
      </c>
      <c r="AO231" s="109" t="str">
        <f t="shared" si="92"/>
        <v/>
      </c>
      <c r="AQ231" s="109" t="str">
        <f t="shared" si="93"/>
        <v/>
      </c>
      <c r="BA231" s="228">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2"/>
      <c r="M232" s="278"/>
      <c r="N232" s="278"/>
      <c r="O232" s="278"/>
      <c r="P232" s="278"/>
      <c r="Q232" s="278"/>
      <c r="R232" s="278"/>
      <c r="S232" s="278"/>
      <c r="T232" s="278"/>
      <c r="U232" s="279"/>
      <c r="V232" s="103"/>
      <c r="W232" s="84"/>
      <c r="X232" s="84"/>
      <c r="Y232" s="72"/>
      <c r="Z232" s="72"/>
      <c r="AA232" s="72"/>
      <c r="AB232" s="72"/>
      <c r="AC232" s="72">
        <f t="shared" si="85"/>
        <v>1</v>
      </c>
      <c r="AD232" s="72">
        <f t="shared" si="86"/>
        <v>1</v>
      </c>
      <c r="AE232" s="109" t="str">
        <f t="shared" si="87"/>
        <v>0-0</v>
      </c>
      <c r="AF232" s="109" t="str">
        <f t="shared" si="88"/>
        <v>Y</v>
      </c>
      <c r="AG232" s="109" t="str">
        <f t="shared" si="89"/>
        <v>A</v>
      </c>
      <c r="AM232" s="109">
        <f t="shared" si="90"/>
        <v>0</v>
      </c>
      <c r="AN232" s="109">
        <f t="shared" si="91"/>
        <v>0</v>
      </c>
      <c r="AO232" s="109" t="str">
        <f t="shared" si="92"/>
        <v/>
      </c>
      <c r="AQ232" s="109" t="str">
        <f t="shared" si="93"/>
        <v/>
      </c>
      <c r="BA232" s="228">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2"/>
      <c r="M233" s="278"/>
      <c r="N233" s="278"/>
      <c r="O233" s="278"/>
      <c r="P233" s="278"/>
      <c r="Q233" s="278"/>
      <c r="R233" s="278"/>
      <c r="S233" s="278"/>
      <c r="T233" s="278"/>
      <c r="U233" s="279"/>
      <c r="V233" s="103"/>
      <c r="W233" s="84">
        <f>Y233+1</f>
        <v>25</v>
      </c>
      <c r="X233" s="84"/>
      <c r="Y233" s="78">
        <f>SUM(E222:E233)</f>
        <v>24</v>
      </c>
      <c r="Z233" s="72"/>
      <c r="AA233" s="72"/>
      <c r="AB233" s="72"/>
      <c r="AC233" s="72">
        <f t="shared" si="85"/>
        <v>1</v>
      </c>
      <c r="AD233" s="72">
        <f t="shared" si="86"/>
        <v>1</v>
      </c>
      <c r="AE233" s="109" t="str">
        <f t="shared" si="87"/>
        <v>0-0</v>
      </c>
      <c r="AF233" s="109" t="str">
        <f t="shared" si="88"/>
        <v>Y</v>
      </c>
      <c r="AG233" s="109" t="str">
        <f t="shared" si="89"/>
        <v>A</v>
      </c>
      <c r="AM233" s="109">
        <f t="shared" si="90"/>
        <v>0</v>
      </c>
      <c r="AN233" s="109">
        <f t="shared" si="91"/>
        <v>0</v>
      </c>
      <c r="AO233" s="109" t="str">
        <f t="shared" si="92"/>
        <v/>
      </c>
      <c r="AQ233" s="109" t="str">
        <f t="shared" si="93"/>
        <v/>
      </c>
      <c r="BA233" s="228">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2"/>
      <c r="M234" s="278"/>
      <c r="N234" s="278"/>
      <c r="O234" s="278"/>
      <c r="P234" s="278"/>
      <c r="Q234" s="278"/>
      <c r="R234" s="278"/>
      <c r="S234" s="278"/>
      <c r="T234" s="278"/>
      <c r="U234" s="279"/>
      <c r="V234" s="103"/>
      <c r="W234" s="84">
        <f>Y234+1</f>
        <v>25</v>
      </c>
      <c r="X234" s="84"/>
      <c r="Y234" s="78">
        <f>SUM(E222:E234)</f>
        <v>24</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A</v>
      </c>
      <c r="AM234" s="109">
        <f t="shared" si="90"/>
        <v>0</v>
      </c>
      <c r="AN234" s="109">
        <f t="shared" si="91"/>
        <v>0</v>
      </c>
      <c r="AO234" s="109" t="str">
        <f t="shared" si="92"/>
        <v/>
      </c>
      <c r="AQ234" s="109" t="str">
        <f t="shared" si="93"/>
        <v/>
      </c>
      <c r="BA234" s="228">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2"/>
      <c r="M235" s="278"/>
      <c r="N235" s="278"/>
      <c r="O235" s="278"/>
      <c r="P235" s="278"/>
      <c r="Q235" s="278"/>
      <c r="R235" s="278"/>
      <c r="S235" s="278"/>
      <c r="T235" s="278"/>
      <c r="U235" s="279"/>
      <c r="V235" s="103"/>
      <c r="W235" s="84">
        <f>Y235+1</f>
        <v>25</v>
      </c>
      <c r="X235" s="84"/>
      <c r="Y235" s="78">
        <f>SUM(E222:E235)</f>
        <v>24</v>
      </c>
      <c r="Z235" s="72" t="str">
        <f t="shared" si="99"/>
        <v/>
      </c>
      <c r="AA235" s="72"/>
      <c r="AB235" s="72"/>
      <c r="AC235" s="72">
        <f t="shared" si="85"/>
        <v>1</v>
      </c>
      <c r="AD235" s="72">
        <f t="shared" si="86"/>
        <v>1</v>
      </c>
      <c r="AE235" s="109" t="str">
        <f t="shared" si="87"/>
        <v>0-0</v>
      </c>
      <c r="AF235" s="109" t="str">
        <f t="shared" si="88"/>
        <v>Y</v>
      </c>
      <c r="AG235" s="109" t="str">
        <f t="shared" si="89"/>
        <v>A</v>
      </c>
      <c r="AM235" s="109">
        <f t="shared" si="90"/>
        <v>0</v>
      </c>
      <c r="AN235" s="109">
        <f t="shared" si="91"/>
        <v>0</v>
      </c>
      <c r="AO235" s="109" t="str">
        <f t="shared" si="92"/>
        <v/>
      </c>
      <c r="AQ235" s="109" t="str">
        <f t="shared" si="93"/>
        <v/>
      </c>
      <c r="BA235" s="228">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2"/>
      <c r="M236" s="278"/>
      <c r="N236" s="278"/>
      <c r="O236" s="278"/>
      <c r="P236" s="278"/>
      <c r="Q236" s="278"/>
      <c r="R236" s="278"/>
      <c r="S236" s="278"/>
      <c r="T236" s="278"/>
      <c r="U236" s="279"/>
      <c r="V236" s="103"/>
      <c r="W236" s="84">
        <f>Y236+1</f>
        <v>25</v>
      </c>
      <c r="X236" s="84"/>
      <c r="Y236" s="78">
        <f>SUM(E222:E236)</f>
        <v>24</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A</v>
      </c>
      <c r="AM236" s="109">
        <f t="shared" si="90"/>
        <v>0</v>
      </c>
      <c r="AN236" s="109">
        <f t="shared" si="91"/>
        <v>0</v>
      </c>
      <c r="AO236" s="109" t="str">
        <f t="shared" si="92"/>
        <v/>
      </c>
      <c r="AQ236" s="109" t="str">
        <f t="shared" si="93"/>
        <v/>
      </c>
      <c r="BA236" s="228">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2"/>
      <c r="M237" s="278"/>
      <c r="N237" s="278"/>
      <c r="O237" s="278"/>
      <c r="P237" s="278"/>
      <c r="Q237" s="278"/>
      <c r="R237" s="278"/>
      <c r="S237" s="278"/>
      <c r="T237" s="278"/>
      <c r="U237" s="279"/>
      <c r="V237" s="103"/>
      <c r="W237" s="84">
        <f t="shared" ref="W237:W245" si="101">Y237+1</f>
        <v>25</v>
      </c>
      <c r="X237" s="84"/>
      <c r="Y237" s="78">
        <f>SUM(E222:E237)</f>
        <v>24</v>
      </c>
      <c r="Z237" s="72" t="str">
        <f t="shared" si="99"/>
        <v/>
      </c>
      <c r="AA237" s="72" t="str">
        <f t="shared" si="100"/>
        <v/>
      </c>
      <c r="AB237" s="72"/>
      <c r="AC237" s="72">
        <f t="shared" si="85"/>
        <v>1</v>
      </c>
      <c r="AD237" s="72">
        <f t="shared" si="86"/>
        <v>1</v>
      </c>
      <c r="AE237" s="109" t="str">
        <f t="shared" si="87"/>
        <v>0-0</v>
      </c>
      <c r="AF237" s="109" t="str">
        <f t="shared" si="88"/>
        <v>Y</v>
      </c>
      <c r="AG237" s="109" t="str">
        <f t="shared" si="89"/>
        <v>A</v>
      </c>
      <c r="AM237" s="109">
        <f t="shared" si="90"/>
        <v>0</v>
      </c>
      <c r="AN237" s="109">
        <f t="shared" si="91"/>
        <v>0</v>
      </c>
      <c r="AO237" s="109" t="str">
        <f t="shared" si="92"/>
        <v/>
      </c>
      <c r="AQ237" s="109" t="str">
        <f t="shared" si="93"/>
        <v/>
      </c>
      <c r="BA237" s="228">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2"/>
      <c r="M238" s="278"/>
      <c r="N238" s="278"/>
      <c r="O238" s="278"/>
      <c r="P238" s="278"/>
      <c r="Q238" s="278"/>
      <c r="R238" s="278"/>
      <c r="S238" s="278"/>
      <c r="T238" s="278"/>
      <c r="U238" s="279"/>
      <c r="V238" s="103"/>
      <c r="W238" s="84">
        <f t="shared" si="101"/>
        <v>25</v>
      </c>
      <c r="X238" s="84"/>
      <c r="Y238" s="78">
        <f>SUM(E222:E238)</f>
        <v>24</v>
      </c>
      <c r="Z238" s="72" t="str">
        <f t="shared" si="99"/>
        <v/>
      </c>
      <c r="AA238" s="72" t="str">
        <f t="shared" si="100"/>
        <v/>
      </c>
      <c r="AB238" s="72"/>
      <c r="AC238" s="72">
        <f t="shared" si="85"/>
        <v>1</v>
      </c>
      <c r="AD238" s="72">
        <f t="shared" si="86"/>
        <v>1</v>
      </c>
      <c r="AE238" s="109" t="str">
        <f t="shared" si="87"/>
        <v>0-0</v>
      </c>
      <c r="AF238" s="109" t="str">
        <f t="shared" si="88"/>
        <v>Y</v>
      </c>
      <c r="AG238" s="109" t="str">
        <f t="shared" si="89"/>
        <v>A</v>
      </c>
      <c r="AM238" s="109">
        <f t="shared" si="90"/>
        <v>0</v>
      </c>
      <c r="AN238" s="109">
        <f t="shared" si="91"/>
        <v>0</v>
      </c>
      <c r="AO238" s="109" t="str">
        <f t="shared" si="92"/>
        <v/>
      </c>
      <c r="AQ238" s="109" t="str">
        <f t="shared" si="93"/>
        <v/>
      </c>
      <c r="BA238" s="228">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2"/>
      <c r="M239" s="278"/>
      <c r="N239" s="278"/>
      <c r="O239" s="278"/>
      <c r="P239" s="278"/>
      <c r="Q239" s="278"/>
      <c r="R239" s="278"/>
      <c r="S239" s="278"/>
      <c r="T239" s="278"/>
      <c r="U239" s="279"/>
      <c r="V239" s="103"/>
      <c r="W239" s="84">
        <f t="shared" si="101"/>
        <v>25</v>
      </c>
      <c r="X239" s="84"/>
      <c r="Y239" s="78">
        <f>SUM(E222:E239)</f>
        <v>24</v>
      </c>
      <c r="Z239" s="72" t="str">
        <f t="shared" si="99"/>
        <v/>
      </c>
      <c r="AA239" s="72" t="str">
        <f t="shared" si="100"/>
        <v/>
      </c>
      <c r="AB239" s="72"/>
      <c r="AC239" s="72">
        <f t="shared" si="85"/>
        <v>1</v>
      </c>
      <c r="AD239" s="72">
        <f t="shared" si="86"/>
        <v>1</v>
      </c>
      <c r="AE239" s="109" t="str">
        <f t="shared" si="87"/>
        <v>0-0</v>
      </c>
      <c r="AF239" s="109" t="str">
        <f t="shared" si="88"/>
        <v>Y</v>
      </c>
      <c r="AG239" s="109" t="str">
        <f t="shared" si="89"/>
        <v>A</v>
      </c>
      <c r="AM239" s="109">
        <f t="shared" si="90"/>
        <v>0</v>
      </c>
      <c r="AN239" s="109">
        <f t="shared" si="91"/>
        <v>0</v>
      </c>
      <c r="AO239" s="109" t="str">
        <f t="shared" si="92"/>
        <v/>
      </c>
      <c r="AQ239" s="109" t="str">
        <f t="shared" si="93"/>
        <v/>
      </c>
      <c r="BA239" s="228">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2"/>
      <c r="M240" s="278"/>
      <c r="N240" s="278"/>
      <c r="O240" s="278"/>
      <c r="P240" s="278"/>
      <c r="Q240" s="278"/>
      <c r="R240" s="278"/>
      <c r="S240" s="278"/>
      <c r="T240" s="278"/>
      <c r="U240" s="279"/>
      <c r="V240" s="103"/>
      <c r="W240" s="84">
        <f t="shared" si="101"/>
        <v>25</v>
      </c>
      <c r="X240" s="84"/>
      <c r="Y240" s="78">
        <f>SUM(E222:E240)</f>
        <v>24</v>
      </c>
      <c r="Z240" s="72" t="str">
        <f t="shared" si="99"/>
        <v/>
      </c>
      <c r="AA240" s="72" t="str">
        <f t="shared" si="100"/>
        <v/>
      </c>
      <c r="AB240" s="72"/>
      <c r="AC240" s="72">
        <f t="shared" si="85"/>
        <v>1</v>
      </c>
      <c r="AD240" s="72">
        <f t="shared" si="86"/>
        <v>1</v>
      </c>
      <c r="AE240" s="109" t="str">
        <f t="shared" si="87"/>
        <v>0-0</v>
      </c>
      <c r="AF240" s="109" t="str">
        <f t="shared" si="88"/>
        <v>Y</v>
      </c>
      <c r="AG240" s="109" t="str">
        <f t="shared" si="89"/>
        <v>A</v>
      </c>
      <c r="AM240" s="109">
        <f t="shared" si="90"/>
        <v>0</v>
      </c>
      <c r="AN240" s="109">
        <f t="shared" si="91"/>
        <v>0</v>
      </c>
      <c r="AO240" s="109" t="str">
        <f t="shared" si="92"/>
        <v/>
      </c>
      <c r="AQ240" s="109" t="str">
        <f t="shared" si="93"/>
        <v/>
      </c>
      <c r="BA240" s="228">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2"/>
      <c r="M241" s="278"/>
      <c r="N241" s="278"/>
      <c r="O241" s="278"/>
      <c r="P241" s="278"/>
      <c r="Q241" s="278"/>
      <c r="R241" s="278"/>
      <c r="S241" s="278"/>
      <c r="T241" s="278"/>
      <c r="U241" s="279"/>
      <c r="V241" s="103"/>
      <c r="W241" s="84">
        <f t="shared" si="101"/>
        <v>25</v>
      </c>
      <c r="X241" s="84"/>
      <c r="Y241" s="78">
        <f>SUM(E222:E241)</f>
        <v>24</v>
      </c>
      <c r="Z241" s="72" t="str">
        <f t="shared" si="99"/>
        <v/>
      </c>
      <c r="AA241" s="72" t="str">
        <f t="shared" si="100"/>
        <v/>
      </c>
      <c r="AB241" s="72"/>
      <c r="AC241" s="72">
        <f t="shared" si="85"/>
        <v>1</v>
      </c>
      <c r="AD241" s="72">
        <f t="shared" si="86"/>
        <v>1</v>
      </c>
      <c r="AE241" s="109" t="str">
        <f t="shared" si="87"/>
        <v>0-0</v>
      </c>
      <c r="AF241" s="109" t="str">
        <f t="shared" si="88"/>
        <v>Y</v>
      </c>
      <c r="AG241" s="109" t="str">
        <f t="shared" si="89"/>
        <v>A</v>
      </c>
      <c r="AM241" s="109">
        <f t="shared" si="90"/>
        <v>0</v>
      </c>
      <c r="AN241" s="109">
        <f t="shared" si="91"/>
        <v>0</v>
      </c>
      <c r="AO241" s="109" t="str">
        <f t="shared" si="92"/>
        <v/>
      </c>
      <c r="AQ241" s="109" t="str">
        <f t="shared" si="93"/>
        <v/>
      </c>
      <c r="BA241" s="228">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2"/>
      <c r="M242" s="278"/>
      <c r="N242" s="278"/>
      <c r="O242" s="278"/>
      <c r="P242" s="278"/>
      <c r="Q242" s="278"/>
      <c r="R242" s="278"/>
      <c r="S242" s="278"/>
      <c r="T242" s="278"/>
      <c r="U242" s="279"/>
      <c r="V242" s="103"/>
      <c r="W242" s="84">
        <f t="shared" si="101"/>
        <v>25</v>
      </c>
      <c r="X242" s="84"/>
      <c r="Y242" s="78">
        <f>SUM(E222:E242)</f>
        <v>24</v>
      </c>
      <c r="Z242" s="72" t="str">
        <f t="shared" si="99"/>
        <v/>
      </c>
      <c r="AA242" s="72" t="str">
        <f t="shared" si="100"/>
        <v/>
      </c>
      <c r="AB242" s="72"/>
      <c r="AC242" s="72">
        <f t="shared" si="85"/>
        <v>1</v>
      </c>
      <c r="AD242" s="72">
        <f t="shared" si="86"/>
        <v>1</v>
      </c>
      <c r="AE242" s="109" t="str">
        <f t="shared" si="87"/>
        <v>0-0</v>
      </c>
      <c r="AF242" s="109" t="str">
        <f t="shared" si="88"/>
        <v>Y</v>
      </c>
      <c r="AG242" s="109" t="str">
        <f t="shared" si="89"/>
        <v>A</v>
      </c>
      <c r="AM242" s="109">
        <f t="shared" si="90"/>
        <v>0</v>
      </c>
      <c r="AN242" s="109">
        <f t="shared" si="91"/>
        <v>0</v>
      </c>
      <c r="AO242" s="109" t="str">
        <f t="shared" si="92"/>
        <v/>
      </c>
      <c r="AQ242" s="109" t="str">
        <f t="shared" si="93"/>
        <v/>
      </c>
      <c r="BA242" s="228">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2"/>
      <c r="M243" s="278"/>
      <c r="N243" s="278"/>
      <c r="O243" s="278"/>
      <c r="P243" s="278"/>
      <c r="Q243" s="278"/>
      <c r="R243" s="278"/>
      <c r="S243" s="278"/>
      <c r="T243" s="278"/>
      <c r="U243" s="279"/>
      <c r="V243" s="103"/>
      <c r="W243" s="84">
        <f t="shared" si="101"/>
        <v>25</v>
      </c>
      <c r="X243" s="84"/>
      <c r="Y243" s="78">
        <f>SUM(E222:E243)</f>
        <v>24</v>
      </c>
      <c r="Z243" s="72" t="str">
        <f t="shared" si="99"/>
        <v/>
      </c>
      <c r="AA243" s="72" t="str">
        <f t="shared" si="100"/>
        <v/>
      </c>
      <c r="AB243" s="72"/>
      <c r="AC243" s="72">
        <f t="shared" si="85"/>
        <v>1</v>
      </c>
      <c r="AD243" s="72">
        <f t="shared" si="86"/>
        <v>1</v>
      </c>
      <c r="AE243" s="109" t="str">
        <f t="shared" si="87"/>
        <v>0-0</v>
      </c>
      <c r="AF243" s="109" t="str">
        <f t="shared" si="88"/>
        <v>Y</v>
      </c>
      <c r="AG243" s="109" t="str">
        <f t="shared" si="89"/>
        <v>A</v>
      </c>
      <c r="AM243" s="109">
        <f t="shared" si="90"/>
        <v>0</v>
      </c>
      <c r="AN243" s="109">
        <f t="shared" si="91"/>
        <v>0</v>
      </c>
      <c r="AO243" s="109" t="str">
        <f t="shared" si="92"/>
        <v/>
      </c>
      <c r="AQ243" s="109" t="str">
        <f t="shared" si="93"/>
        <v/>
      </c>
      <c r="BA243" s="228">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2"/>
      <c r="M244" s="278"/>
      <c r="N244" s="278"/>
      <c r="O244" s="278"/>
      <c r="P244" s="278"/>
      <c r="Q244" s="278"/>
      <c r="R244" s="278"/>
      <c r="S244" s="278"/>
      <c r="T244" s="278"/>
      <c r="U244" s="279"/>
      <c r="V244" s="103"/>
      <c r="W244" s="84">
        <f t="shared" si="101"/>
        <v>25</v>
      </c>
      <c r="X244" s="84"/>
      <c r="Y244" s="78">
        <f>SUM(E222:E244)</f>
        <v>24</v>
      </c>
      <c r="Z244" s="72" t="str">
        <f t="shared" si="99"/>
        <v/>
      </c>
      <c r="AA244" s="72" t="str">
        <f t="shared" si="100"/>
        <v/>
      </c>
      <c r="AB244" s="72"/>
      <c r="AC244" s="72">
        <f t="shared" si="85"/>
        <v>1</v>
      </c>
      <c r="AD244" s="72">
        <f t="shared" si="86"/>
        <v>1</v>
      </c>
      <c r="AE244" s="109" t="str">
        <f t="shared" si="87"/>
        <v>0-0</v>
      </c>
      <c r="AF244" s="109" t="str">
        <f t="shared" si="88"/>
        <v>Y</v>
      </c>
      <c r="AG244" s="109" t="str">
        <f t="shared" si="89"/>
        <v>A</v>
      </c>
      <c r="AM244" s="109">
        <f t="shared" si="90"/>
        <v>0</v>
      </c>
      <c r="AN244" s="109">
        <f t="shared" si="91"/>
        <v>0</v>
      </c>
      <c r="AO244" s="109" t="str">
        <f t="shared" si="92"/>
        <v/>
      </c>
      <c r="AQ244" s="109" t="str">
        <f t="shared" si="93"/>
        <v/>
      </c>
      <c r="BA244" s="228">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2"/>
      <c r="M245" s="278"/>
      <c r="N245" s="278"/>
      <c r="O245" s="278"/>
      <c r="P245" s="278"/>
      <c r="Q245" s="278"/>
      <c r="R245" s="278"/>
      <c r="S245" s="278"/>
      <c r="T245" s="278"/>
      <c r="U245" s="279"/>
      <c r="V245" s="103"/>
      <c r="W245" s="84">
        <f t="shared" si="101"/>
        <v>25</v>
      </c>
      <c r="X245" s="84"/>
      <c r="Y245" s="78">
        <f>SUM(E222:E245)</f>
        <v>24</v>
      </c>
      <c r="Z245" s="72" t="str">
        <f t="shared" si="99"/>
        <v/>
      </c>
      <c r="AA245" s="72" t="str">
        <f t="shared" si="100"/>
        <v/>
      </c>
      <c r="AB245" s="72"/>
      <c r="AC245" s="72">
        <f t="shared" si="85"/>
        <v>1</v>
      </c>
      <c r="AD245" s="72">
        <f t="shared" si="86"/>
        <v>1</v>
      </c>
      <c r="AE245" s="109" t="str">
        <f t="shared" si="87"/>
        <v>0-0</v>
      </c>
      <c r="AF245" s="109" t="str">
        <f t="shared" si="88"/>
        <v>Y</v>
      </c>
      <c r="AG245" s="109" t="str">
        <f t="shared" si="89"/>
        <v>A</v>
      </c>
      <c r="AM245" s="109">
        <f t="shared" si="90"/>
        <v>0</v>
      </c>
      <c r="AN245" s="109">
        <f t="shared" si="91"/>
        <v>0</v>
      </c>
      <c r="AO245" s="109" t="str">
        <f t="shared" si="92"/>
        <v/>
      </c>
      <c r="AQ245" s="109" t="str">
        <f t="shared" si="93"/>
        <v/>
      </c>
      <c r="BA245" s="228">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3"/>
      <c r="M246" s="278"/>
      <c r="N246" s="278"/>
      <c r="O246" s="278"/>
      <c r="P246" s="278"/>
      <c r="Q246" s="278"/>
      <c r="R246" s="278"/>
      <c r="S246" s="278"/>
      <c r="T246" s="278"/>
      <c r="U246" s="279"/>
      <c r="V246" s="103"/>
      <c r="W246" s="72"/>
      <c r="X246" s="72"/>
      <c r="Y246" s="78">
        <f>SUM(E222:E246)</f>
        <v>24</v>
      </c>
      <c r="Z246" s="72" t="str">
        <f t="shared" si="99"/>
        <v/>
      </c>
      <c r="AA246" s="72" t="str">
        <f t="shared" si="100"/>
        <v/>
      </c>
      <c r="AB246" s="72"/>
      <c r="AC246" s="72">
        <f t="shared" si="85"/>
        <v>1</v>
      </c>
      <c r="AD246" s="72">
        <f t="shared" si="86"/>
        <v>1</v>
      </c>
      <c r="AE246" s="109" t="str">
        <f t="shared" si="87"/>
        <v>0-0</v>
      </c>
      <c r="AF246" s="109" t="str">
        <f t="shared" si="88"/>
        <v>Y</v>
      </c>
      <c r="AG246" s="109" t="str">
        <f t="shared" si="89"/>
        <v>A</v>
      </c>
      <c r="AM246" s="109">
        <f t="shared" si="90"/>
        <v>0</v>
      </c>
      <c r="AN246" s="109">
        <f t="shared" si="91"/>
        <v>0</v>
      </c>
      <c r="AO246" s="109" t="str">
        <f t="shared" si="92"/>
        <v/>
      </c>
      <c r="AQ246" s="109" t="str">
        <f t="shared" si="93"/>
        <v/>
      </c>
      <c r="BA246" s="227"/>
    </row>
    <row r="247" spans="1:53" ht="16.5" thickBot="1" x14ac:dyDescent="0.3">
      <c r="A247" s="88"/>
      <c r="B247" s="319" t="s">
        <v>315</v>
      </c>
      <c r="C247" s="320"/>
      <c r="D247" s="79"/>
      <c r="E247" s="80"/>
      <c r="F247" s="80"/>
      <c r="G247" s="81"/>
      <c r="H247" s="191"/>
      <c r="I247" s="191"/>
      <c r="J247" s="191"/>
      <c r="K247" s="82"/>
      <c r="L247" s="319" t="s">
        <v>306</v>
      </c>
      <c r="M247" s="330"/>
      <c r="N247" s="330"/>
      <c r="O247" s="330"/>
      <c r="P247" s="330"/>
      <c r="Q247" s="330"/>
      <c r="R247" s="330"/>
      <c r="S247" s="330"/>
      <c r="T247" s="330"/>
      <c r="U247" s="320"/>
      <c r="V247" s="104"/>
      <c r="W247" s="72"/>
      <c r="X247" s="72"/>
      <c r="Y247" s="72"/>
      <c r="Z247" s="72"/>
      <c r="AA247" s="72" t="str">
        <f t="shared" si="100"/>
        <v/>
      </c>
      <c r="AB247" s="72"/>
      <c r="AC247" s="72">
        <f>SUM(AC222:AC246)</f>
        <v>25</v>
      </c>
      <c r="AD247" s="72">
        <f>SUM(AD222:AD246)</f>
        <v>21</v>
      </c>
      <c r="AM247" s="109">
        <f>SUM(AM222:AM246)</f>
        <v>0</v>
      </c>
      <c r="AN247" s="109">
        <f>SUM(AN222:AN246)</f>
        <v>0</v>
      </c>
      <c r="AO247" s="109">
        <f>((COUNTIF(AO222:AO246,"Y")/3)*2)</f>
        <v>0</v>
      </c>
      <c r="AP247" s="109">
        <f>(COUNTIF(AO222:AO246,"Y")/3)</f>
        <v>0</v>
      </c>
      <c r="AQ247" s="109">
        <f>(COUNTIF(AQ222:AQ246,"Y")/2)</f>
        <v>0</v>
      </c>
      <c r="AR247" s="109">
        <f>(COUNTIF(AQ222:AQ246,"Y")/2)</f>
        <v>0</v>
      </c>
      <c r="BA247" s="227"/>
    </row>
    <row r="248" spans="1:53" ht="16.5" thickBot="1" x14ac:dyDescent="0.3">
      <c r="A248" s="88"/>
      <c r="B248" s="319" t="s">
        <v>307</v>
      </c>
      <c r="C248" s="320"/>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5"/>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5" t="s">
        <v>210</v>
      </c>
      <c r="N251" s="195" t="s">
        <v>211</v>
      </c>
      <c r="O251" s="195" t="s">
        <v>212</v>
      </c>
      <c r="P251" s="195" t="s">
        <v>213</v>
      </c>
      <c r="Q251" s="195" t="s">
        <v>214</v>
      </c>
      <c r="R251" s="195" t="s">
        <v>215</v>
      </c>
      <c r="S251" s="195" t="s">
        <v>216</v>
      </c>
      <c r="T251" s="195" t="s">
        <v>217</v>
      </c>
      <c r="U251" s="195" t="s">
        <v>218</v>
      </c>
      <c r="V251" s="195" t="s">
        <v>219</v>
      </c>
      <c r="W251" s="113" t="s">
        <v>220</v>
      </c>
      <c r="X251" s="195" t="s">
        <v>221</v>
      </c>
      <c r="Y251" s="25"/>
      <c r="Z251" s="25"/>
      <c r="AA251" s="25"/>
      <c r="AB251" s="25"/>
      <c r="AC251" s="25"/>
      <c r="AD251" s="25"/>
      <c r="BA251" s="225"/>
    </row>
    <row r="252" spans="1:53" ht="16.5" thickTop="1" thickBot="1" x14ac:dyDescent="0.3">
      <c r="A252" s="88"/>
      <c r="B252" s="312" t="s">
        <v>222</v>
      </c>
      <c r="C252" s="313"/>
      <c r="D252" s="314" t="s">
        <v>223</v>
      </c>
      <c r="E252" s="305"/>
      <c r="F252" s="88"/>
      <c r="G252" s="315" t="s">
        <v>224</v>
      </c>
      <c r="H252" s="316"/>
      <c r="I252" s="28">
        <f>SUM(E263:E287)</f>
        <v>96</v>
      </c>
      <c r="J252" s="317" t="s">
        <v>225</v>
      </c>
      <c r="K252" s="318"/>
      <c r="L252" s="305"/>
      <c r="M252" s="195">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5" t="s">
        <v>226</v>
      </c>
      <c r="AA252" s="296"/>
      <c r="AB252" s="297"/>
      <c r="AC252" s="25"/>
      <c r="AD252" s="25"/>
      <c r="AH252" s="109">
        <v>2</v>
      </c>
      <c r="AI252" s="109" t="str">
        <f>IF($E253="SS",COUNTIFS($C263:$C287,"FST",$E263:$E287,"2"),"0")</f>
        <v>0</v>
      </c>
      <c r="AJ252" s="109">
        <f>IF($E253="RPX",COUNTIFS($C263:$C287,"FST",$E263:$E287,"2"),"0")</f>
        <v>0</v>
      </c>
      <c r="AK252" s="109" t="str">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5"/>
    </row>
    <row r="253" spans="1:53" ht="16.5" customHeight="1" thickTop="1" thickBot="1" x14ac:dyDescent="0.3">
      <c r="A253" s="88"/>
      <c r="B253" s="29" t="s">
        <v>228</v>
      </c>
      <c r="C253" s="30">
        <v>12</v>
      </c>
      <c r="D253" s="31" t="s">
        <v>229</v>
      </c>
      <c r="E253" s="66" t="str">
        <f>TEXT(IF('Cable Calculator'!AH7="","",'Cable Calculator'!AH7),)</f>
        <v>RPX</v>
      </c>
      <c r="F253" s="88"/>
      <c r="G253" s="304" t="s">
        <v>230</v>
      </c>
      <c r="H253" s="305"/>
      <c r="I253" s="33">
        <f>E254-I252</f>
        <v>48</v>
      </c>
      <c r="J253" s="289" t="s">
        <v>231</v>
      </c>
      <c r="K253" s="290"/>
      <c r="L253" s="34">
        <f>I257</f>
        <v>697</v>
      </c>
      <c r="M253" s="195">
        <v>4</v>
      </c>
      <c r="N253" s="35">
        <f>SUM(AI253,AI264)</f>
        <v>0</v>
      </c>
      <c r="O253" s="35">
        <v>0</v>
      </c>
      <c r="P253" s="35">
        <f>SUM(AJ253,AJ264)</f>
        <v>1</v>
      </c>
      <c r="Q253" s="35">
        <v>0</v>
      </c>
      <c r="R253" s="35">
        <f>COUNTIFS($E263:$E287,"4",$F263:$F287,"Pole",$C263:$C287,"FST")</f>
        <v>1</v>
      </c>
      <c r="S253" s="35">
        <f>SUM(AL253,AK264)</f>
        <v>0</v>
      </c>
      <c r="T253" s="35">
        <v>0</v>
      </c>
      <c r="U253" s="35">
        <f>SUM(AK253,AL264)</f>
        <v>0</v>
      </c>
      <c r="V253" s="35">
        <v>0</v>
      </c>
      <c r="W253" s="34">
        <f>COUNTIFS($E263:$E287,"4",$F263:$F287,"HH",$C263:$C287,"FST")</f>
        <v>0</v>
      </c>
      <c r="X253" s="35">
        <f>COUNTIFS($E263:$E287,"4",$F263:$F287,"Ped",$C263:$C287,"FST")</f>
        <v>0</v>
      </c>
      <c r="Y253" s="25"/>
      <c r="Z253" s="298" t="s">
        <v>232</v>
      </c>
      <c r="AA253" s="300" t="s">
        <v>233</v>
      </c>
      <c r="AB253" s="301"/>
      <c r="AC253" s="25"/>
      <c r="AD253" s="25"/>
      <c r="AH253" s="109">
        <v>4</v>
      </c>
      <c r="AI253" s="109" t="str">
        <f>IF($E253="SS",COUNTIFS($C263:$C287,"FST",$E263:$E287,"4"),"0")</f>
        <v>0</v>
      </c>
      <c r="AJ253" s="109">
        <f>IF($E253="RPX",COUNTIFS($C263:$C287,"FST",$E263:$E287,"4"),"0")</f>
        <v>1</v>
      </c>
      <c r="AK253" s="109" t="str">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6"/>
    </row>
    <row r="254" spans="1:53" ht="16.5" thickTop="1" thickBot="1" x14ac:dyDescent="0.3">
      <c r="A254" s="88"/>
      <c r="B254" s="36" t="s">
        <v>235</v>
      </c>
      <c r="C254" s="37">
        <v>0</v>
      </c>
      <c r="D254" s="38" t="s">
        <v>236</v>
      </c>
      <c r="E254" s="32">
        <v>144</v>
      </c>
      <c r="F254" s="88"/>
      <c r="G254" s="291" t="s">
        <v>237</v>
      </c>
      <c r="H254" s="292"/>
      <c r="I254" s="35">
        <f>IF(E254=0,0,12-(MOD(I252,12)))</f>
        <v>12</v>
      </c>
      <c r="J254" s="289" t="s">
        <v>238</v>
      </c>
      <c r="K254" s="290"/>
      <c r="L254" s="39">
        <f>I258-I252</f>
        <v>708</v>
      </c>
      <c r="M254" s="195">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299"/>
      <c r="AA254" s="302"/>
      <c r="AB254" s="303"/>
      <c r="AC254" s="25"/>
      <c r="AD254" s="25"/>
      <c r="AH254" s="109">
        <v>6</v>
      </c>
      <c r="AI254" s="109" t="str">
        <f>IF($E253="SS",COUNTIFS($C263:$C287,"FST",$E263:$E287,"6"),"0")</f>
        <v>0</v>
      </c>
      <c r="AJ254" s="109">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6"/>
    </row>
    <row r="255" spans="1:53" ht="16.5" customHeight="1" thickTop="1" thickBot="1" x14ac:dyDescent="0.3">
      <c r="A255" s="88"/>
      <c r="B255" s="40" t="s">
        <v>240</v>
      </c>
      <c r="C255" s="30">
        <v>0</v>
      </c>
      <c r="D255" s="41" t="s">
        <v>241</v>
      </c>
      <c r="E255" s="42">
        <v>36</v>
      </c>
      <c r="F255" s="88"/>
      <c r="G255" s="321" t="s">
        <v>242</v>
      </c>
      <c r="H255" s="43" t="s">
        <v>243</v>
      </c>
      <c r="I255" s="35">
        <f>IF(E255&lt;&gt;0,1,0)</f>
        <v>1</v>
      </c>
      <c r="J255" s="291" t="s">
        <v>244</v>
      </c>
      <c r="K255" s="292"/>
      <c r="L255" s="44">
        <f>'Cable Calculator'!AH3</f>
        <v>2989</v>
      </c>
      <c r="M255" s="195">
        <v>8</v>
      </c>
      <c r="N255" s="35">
        <f>SUM(AI255,AI266)</f>
        <v>0</v>
      </c>
      <c r="O255" s="35">
        <v>0</v>
      </c>
      <c r="P255" s="35">
        <f>SUM(AJ255,AJ266)</f>
        <v>1</v>
      </c>
      <c r="Q255" s="35">
        <v>0</v>
      </c>
      <c r="R255" s="35">
        <f>COUNTIFS($E263:$E287,"8",$F263:$F287,"Pole",$C263:$C287,"FST")</f>
        <v>1</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f>IF($E253="RPX",COUNTIFS($C263:$C287,"FST",$E263:$E287,"8"),"0")</f>
        <v>1</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6"/>
    </row>
    <row r="256" spans="1:53" ht="16.5" thickTop="1" thickBot="1" x14ac:dyDescent="0.3">
      <c r="A256" s="88"/>
      <c r="B256" s="29" t="s">
        <v>246</v>
      </c>
      <c r="C256" s="37">
        <v>0</v>
      </c>
      <c r="D256" s="41" t="s">
        <v>247</v>
      </c>
      <c r="E256" s="42">
        <v>697</v>
      </c>
      <c r="F256" s="88"/>
      <c r="G256" s="322"/>
      <c r="H256" s="47" t="s">
        <v>248</v>
      </c>
      <c r="I256" s="35">
        <f>IF(E255&lt;&gt;0,E255,0)</f>
        <v>36</v>
      </c>
      <c r="J256" s="193"/>
      <c r="K256" s="194"/>
      <c r="L256" s="48"/>
      <c r="M256" s="195">
        <v>12</v>
      </c>
      <c r="N256" s="35" t="str">
        <f>IF($E253="SS",SUM(AI256,AJ267,AM288,AO288,AQ288),"0")</f>
        <v>0</v>
      </c>
      <c r="O256" s="35" t="str">
        <f>IF($E253="SS",SUM(AN288,AP288,AR288),"0")</f>
        <v>0</v>
      </c>
      <c r="P256" s="35">
        <f>IF($E253="RPX",SUM(AJ256,AJ267,AM288,AO288,AQ288),"0")</f>
        <v>0</v>
      </c>
      <c r="Q256" s="35">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f>IF($E253="RPX",COUNTIFS($C263:$C287,"FST",$E263:$E287,"12"),"0")</f>
        <v>0</v>
      </c>
      <c r="AK256" s="109" t="str">
        <f>IF($E253="EUC",COUNTIFS($C263:$C287,"FST",$E263:$E287,"12"),"0")</f>
        <v>0</v>
      </c>
      <c r="AL256" s="109" t="str">
        <f>IF($E253="RPX-T",COUNTIFS($C263:$C287,"FST",$E263:$E287,"12"),"0")</f>
        <v>0</v>
      </c>
      <c r="BA256" s="226"/>
    </row>
    <row r="257" spans="1:53" ht="16.5" customHeight="1" thickTop="1" thickBot="1" x14ac:dyDescent="0.3">
      <c r="A257" s="88"/>
      <c r="B257" s="36" t="s">
        <v>249</v>
      </c>
      <c r="C257" s="30">
        <v>0</v>
      </c>
      <c r="D257" s="49" t="s">
        <v>250</v>
      </c>
      <c r="E257" s="50">
        <f>E254/12</f>
        <v>12</v>
      </c>
      <c r="F257" s="88"/>
      <c r="G257" s="321" t="s">
        <v>251</v>
      </c>
      <c r="H257" s="51" t="s">
        <v>252</v>
      </c>
      <c r="I257" s="112">
        <f>E256</f>
        <v>697</v>
      </c>
      <c r="J257" s="323" t="s">
        <v>253</v>
      </c>
      <c r="K257" s="324"/>
      <c r="L257" s="325"/>
      <c r="M257" s="52" t="s">
        <v>254</v>
      </c>
      <c r="N257" s="106"/>
      <c r="O257" s="106"/>
      <c r="P257" s="191"/>
      <c r="Q257" s="191"/>
      <c r="R257" s="191"/>
      <c r="S257" s="191"/>
      <c r="T257" s="191"/>
      <c r="U257" s="191"/>
      <c r="V257" s="191"/>
      <c r="W257" s="53">
        <f>SUM(P257:U257)</f>
        <v>0</v>
      </c>
      <c r="X257" s="54"/>
      <c r="Y257" s="25"/>
      <c r="Z257" s="45">
        <v>3</v>
      </c>
      <c r="AA257" s="46">
        <v>25</v>
      </c>
      <c r="AB257" s="46">
        <v>36</v>
      </c>
      <c r="AC257" s="25"/>
      <c r="AD257" s="25"/>
      <c r="BA257" s="226"/>
    </row>
    <row r="258" spans="1:53" ht="16.5" thickTop="1" thickBot="1" x14ac:dyDescent="0.3">
      <c r="A258" s="88"/>
      <c r="B258" s="36" t="s">
        <v>255</v>
      </c>
      <c r="C258" s="30">
        <v>0</v>
      </c>
      <c r="D258" s="31" t="s">
        <v>256</v>
      </c>
      <c r="E258" s="101" t="str">
        <f>IF('Cable Calculator'!AH5="","",'Cable Calculator'!AH5)</f>
        <v>N</v>
      </c>
      <c r="F258" s="88"/>
      <c r="G258" s="322"/>
      <c r="H258" s="47" t="s">
        <v>257</v>
      </c>
      <c r="I258" s="35">
        <f>IF(E256="","0",IF(AND(E253="EUC",E254=432), I257+(203-E255),IF(E256=0,0,(E256+(E254-E255)-1))))</f>
        <v>804</v>
      </c>
      <c r="J258" s="286" t="str">
        <f>IFERROR(IF(OR(E253="EUC",E253="SS"),"---",IF(OR(P252,S252),"NO 2F Tethers for RPX!",IF(OR(P254,S254),"NO 6F Tethers for RPX!","---"))),"---")</f>
        <v>---</v>
      </c>
      <c r="K258" s="287"/>
      <c r="L258" s="288"/>
      <c r="M258" s="286" t="str">
        <f>IF(E255&gt;60,"Dead Count &gt;60: Consider Downsize","---")</f>
        <v>---</v>
      </c>
      <c r="N258" s="287"/>
      <c r="O258" s="287"/>
      <c r="P258" s="287"/>
      <c r="Q258" s="287"/>
      <c r="R258" s="287"/>
      <c r="S258" s="287"/>
      <c r="T258" s="287"/>
      <c r="U258" s="288"/>
      <c r="V258" s="100"/>
      <c r="W258" s="54">
        <f>SUM(P258:U258)</f>
        <v>0</v>
      </c>
      <c r="X258" s="54"/>
      <c r="Y258" s="25"/>
      <c r="Z258" s="45">
        <v>4</v>
      </c>
      <c r="AA258" s="46">
        <v>37</v>
      </c>
      <c r="AB258" s="46">
        <v>48</v>
      </c>
      <c r="AC258" s="25"/>
      <c r="AD258" s="25"/>
      <c r="BA258" s="226"/>
    </row>
    <row r="259" spans="1:53" ht="16.5" thickTop="1" thickBot="1" x14ac:dyDescent="0.3">
      <c r="A259" s="88"/>
      <c r="B259" s="55" t="s">
        <v>258</v>
      </c>
      <c r="C259" s="56">
        <f>SUM(C253:C258)+I252</f>
        <v>108</v>
      </c>
      <c r="D259" s="31" t="s">
        <v>259</v>
      </c>
      <c r="E259" s="101" t="str">
        <f>IF(AS253="Y","DBL",IF(AS254="Y","TRPL",IF(AS255="Y","QUAD","")))</f>
        <v/>
      </c>
      <c r="F259" s="88"/>
      <c r="G259" s="191"/>
      <c r="H259" s="57"/>
      <c r="I259" s="191"/>
      <c r="J259" s="286"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7"/>
      <c r="L259" s="288"/>
      <c r="M259" s="286" t="str">
        <f>IF(AND(OR(E253="SS",E253="RPX",E253="EUC",E253="RPX-T"),(OR(C263="",C263="Field SPL"))),"Cannot have FlexNap cables without tethers","---")</f>
        <v>---</v>
      </c>
      <c r="N259" s="287"/>
      <c r="O259" s="287"/>
      <c r="P259" s="287"/>
      <c r="Q259" s="287"/>
      <c r="R259" s="287"/>
      <c r="S259" s="287"/>
      <c r="T259" s="287"/>
      <c r="U259" s="288"/>
      <c r="V259" s="25"/>
      <c r="W259" s="58"/>
      <c r="X259" s="58"/>
      <c r="Y259" s="25"/>
      <c r="Z259" s="45">
        <v>5</v>
      </c>
      <c r="AA259" s="46">
        <v>49</v>
      </c>
      <c r="AB259" s="46">
        <v>60</v>
      </c>
      <c r="AC259" s="25"/>
      <c r="AD259" s="25"/>
      <c r="BA259" s="226"/>
    </row>
    <row r="260" spans="1:53" ht="16.5" thickTop="1" thickBot="1" x14ac:dyDescent="0.3">
      <c r="A260" s="88"/>
      <c r="B260" s="59"/>
      <c r="C260" s="60"/>
      <c r="D260" s="61"/>
      <c r="E260" s="62"/>
      <c r="F260" s="88"/>
      <c r="G260" s="63"/>
      <c r="H260" s="64"/>
      <c r="I260" s="63"/>
      <c r="J260" s="286" t="str">
        <f>IF(AND(OR(E253="RPX", E253="RPX-T", E253="SS"),E254=216),"NO 216 For RPX, RPX-T, OR SS CABLE","---")</f>
        <v>---</v>
      </c>
      <c r="K260" s="287"/>
      <c r="L260" s="288"/>
      <c r="M260" s="286" t="str" cm="1">
        <f t="array" ref="M260">IF(AND(E253="",OR(C263:C287="FST",C263:C287="REV T",C263:C287="DBL REV",C263:C287="TPL REV", C263:C287="QD REV")),"Non-FlexNap cables cannot have tethers","---")</f>
        <v>---</v>
      </c>
      <c r="N260" s="287"/>
      <c r="O260" s="287"/>
      <c r="P260" s="287"/>
      <c r="Q260" s="287"/>
      <c r="R260" s="287"/>
      <c r="S260" s="287"/>
      <c r="T260" s="287"/>
      <c r="U260" s="288"/>
      <c r="V260" s="25"/>
      <c r="W260" s="58"/>
      <c r="X260" s="58"/>
      <c r="Y260" s="25"/>
      <c r="Z260" s="45">
        <v>6</v>
      </c>
      <c r="AA260" s="65">
        <v>61</v>
      </c>
      <c r="AB260" s="65">
        <v>72</v>
      </c>
      <c r="AC260" s="25"/>
      <c r="AD260" s="25"/>
      <c r="BA260" s="225"/>
    </row>
    <row r="261" spans="1:53" ht="15.75" customHeight="1" thickBot="1" x14ac:dyDescent="0.3">
      <c r="A261" s="88"/>
      <c r="B261" s="321" t="s">
        <v>260</v>
      </c>
      <c r="C261" s="293" t="s">
        <v>261</v>
      </c>
      <c r="D261" s="293" t="s">
        <v>262</v>
      </c>
      <c r="E261" s="306" t="s">
        <v>263</v>
      </c>
      <c r="F261" s="293" t="s">
        <v>264</v>
      </c>
      <c r="G261" s="308" t="s">
        <v>265</v>
      </c>
      <c r="H261" s="308" t="s">
        <v>266</v>
      </c>
      <c r="I261" s="308" t="s">
        <v>267</v>
      </c>
      <c r="J261" s="310" t="s">
        <v>268</v>
      </c>
      <c r="K261" s="293" t="s">
        <v>269</v>
      </c>
      <c r="L261" s="280" t="s">
        <v>270</v>
      </c>
      <c r="M261" s="282" t="s">
        <v>271</v>
      </c>
      <c r="N261" s="282"/>
      <c r="O261" s="282"/>
      <c r="P261" s="282"/>
      <c r="Q261" s="282"/>
      <c r="R261" s="282"/>
      <c r="S261" s="282"/>
      <c r="T261" s="282"/>
      <c r="U261" s="283"/>
      <c r="V261" s="107"/>
      <c r="W261" s="72"/>
      <c r="X261" s="72"/>
      <c r="Y261" s="72"/>
      <c r="Z261" s="45">
        <v>7</v>
      </c>
      <c r="AA261" s="65">
        <v>73</v>
      </c>
      <c r="AB261" s="65">
        <v>84</v>
      </c>
      <c r="AC261" s="25"/>
      <c r="AD261" s="25"/>
      <c r="BA261" s="227"/>
    </row>
    <row r="262" spans="1:53" ht="15.75" thickBot="1" x14ac:dyDescent="0.3">
      <c r="A262" s="88"/>
      <c r="B262" s="322"/>
      <c r="C262" s="294"/>
      <c r="D262" s="294"/>
      <c r="E262" s="307"/>
      <c r="F262" s="294"/>
      <c r="G262" s="309"/>
      <c r="H262" s="309"/>
      <c r="I262" s="309"/>
      <c r="J262" s="311"/>
      <c r="K262" s="294"/>
      <c r="L262" s="281"/>
      <c r="M262" s="284"/>
      <c r="N262" s="284"/>
      <c r="O262" s="284"/>
      <c r="P262" s="284"/>
      <c r="Q262" s="284"/>
      <c r="R262" s="284"/>
      <c r="S262" s="284"/>
      <c r="T262" s="284"/>
      <c r="U262" s="285"/>
      <c r="V262" s="107"/>
      <c r="W262" s="72"/>
      <c r="X262" s="72"/>
      <c r="Y262" s="72"/>
      <c r="Z262" s="45">
        <v>8</v>
      </c>
      <c r="AA262" s="46">
        <v>85</v>
      </c>
      <c r="AB262" s="46">
        <v>96</v>
      </c>
      <c r="AC262" s="25"/>
      <c r="AD262" s="25"/>
      <c r="AI262" s="109" t="s">
        <v>272</v>
      </c>
      <c r="AJ262" s="109" t="s">
        <v>273</v>
      </c>
      <c r="AK262" s="109" t="s">
        <v>274</v>
      </c>
      <c r="AL262" s="109" t="s">
        <v>275</v>
      </c>
      <c r="BA262" s="227"/>
    </row>
    <row r="263" spans="1:53" ht="15.75" thickBot="1" x14ac:dyDescent="0.3">
      <c r="A263" s="88"/>
      <c r="B263" s="66" t="s">
        <v>276</v>
      </c>
      <c r="C263" s="67" t="s">
        <v>484</v>
      </c>
      <c r="D263" s="102" t="s">
        <v>748</v>
      </c>
      <c r="E263" s="32">
        <v>4</v>
      </c>
      <c r="F263" s="32" t="s">
        <v>483</v>
      </c>
      <c r="G263" s="68" t="s">
        <v>277</v>
      </c>
      <c r="H263" s="69">
        <f>IF(I263=0,0,I263-(E263-1))</f>
        <v>801</v>
      </c>
      <c r="I263" s="70">
        <f>IF(E263=0,0,I258)</f>
        <v>804</v>
      </c>
      <c r="J263" s="71" t="s">
        <v>278</v>
      </c>
      <c r="K263" s="32"/>
      <c r="L263" s="232"/>
      <c r="M263" s="278"/>
      <c r="N263" s="278"/>
      <c r="O263" s="278"/>
      <c r="P263" s="278"/>
      <c r="Q263" s="278"/>
      <c r="R263" s="278"/>
      <c r="S263" s="278"/>
      <c r="T263" s="278"/>
      <c r="U263" s="279"/>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801-804</v>
      </c>
      <c r="AF263" s="109" t="str">
        <f t="shared" ref="AF263:AF287" si="105">IF(C263="Field SPL","N","Y")</f>
        <v>Y</v>
      </c>
      <c r="AG263" s="109" t="str">
        <f t="shared" ref="AG263:AG287" si="106">IF(OR(E$253="RPX",E$253="SS"),"A","B")</f>
        <v>A</v>
      </c>
      <c r="AH263" s="109">
        <v>2</v>
      </c>
      <c r="AI263" s="109" t="str">
        <f>IF(E253="SS",COUNTIFS(C263:C287,"TCF",E263:E287,"2"),"")</f>
        <v/>
      </c>
      <c r="AJ263" s="109">
        <f>IF(E253="RPX",COUNTIFS(C263:C287,"TCF",E263:E287,"2"),"")</f>
        <v>0</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8">
        <f>MOD(E263,12)</f>
        <v>4</v>
      </c>
    </row>
    <row r="264" spans="1:53" ht="15.75" thickBot="1" x14ac:dyDescent="0.3">
      <c r="A264" s="88"/>
      <c r="B264" s="66" t="s">
        <v>279</v>
      </c>
      <c r="C264" s="67" t="s">
        <v>484</v>
      </c>
      <c r="D264" s="102" t="s">
        <v>782</v>
      </c>
      <c r="E264" s="32">
        <v>8</v>
      </c>
      <c r="F264" s="32" t="s">
        <v>483</v>
      </c>
      <c r="G264" s="68" t="s">
        <v>277</v>
      </c>
      <c r="H264" s="69">
        <f t="shared" ref="H264:H287" si="111">IF(E264=0,0,I264-(E264-1))</f>
        <v>793</v>
      </c>
      <c r="I264" s="70">
        <f t="shared" ref="I264:I287" si="112">IF(E264=0,0,H263-1)</f>
        <v>800</v>
      </c>
      <c r="J264" s="73" t="str">
        <f>IF(C264="","--",IF(AND(C264&lt;&gt;"FST",C264&lt;&gt;"TCF",BA263&lt;&gt;0),BA263,"--"))</f>
        <v>--</v>
      </c>
      <c r="K264" s="32"/>
      <c r="L264" s="232"/>
      <c r="M264" s="278"/>
      <c r="N264" s="278"/>
      <c r="O264" s="278"/>
      <c r="P264" s="278"/>
      <c r="Q264" s="278"/>
      <c r="R264" s="278"/>
      <c r="S264" s="278"/>
      <c r="T264" s="278"/>
      <c r="U264" s="279"/>
      <c r="V264" s="103"/>
      <c r="W264" s="72"/>
      <c r="X264" s="72"/>
      <c r="Y264" s="72"/>
      <c r="Z264" s="45">
        <v>10</v>
      </c>
      <c r="AA264" s="46">
        <v>109</v>
      </c>
      <c r="AB264" s="46">
        <v>120</v>
      </c>
      <c r="AC264" s="72">
        <f t="shared" si="102"/>
        <v>1</v>
      </c>
      <c r="AD264" s="72">
        <f t="shared" si="103"/>
        <v>0</v>
      </c>
      <c r="AE264" s="109" t="str">
        <f t="shared" si="104"/>
        <v>793-800</v>
      </c>
      <c r="AF264" s="109" t="str">
        <f t="shared" si="105"/>
        <v>Y</v>
      </c>
      <c r="AG264" s="109" t="str">
        <f t="shared" si="106"/>
        <v>A</v>
      </c>
      <c r="AH264" s="109">
        <v>4</v>
      </c>
      <c r="AI264" s="109" t="str">
        <f>IF(E253="SS",COUNTIFS(C263:C287,"TCF",E263:E287,"4"),"")</f>
        <v/>
      </c>
      <c r="AJ264" s="109">
        <f>IF(E253="RPX",COUNTIFS(C263:C287,"TCF",E263:E287,"4"),"")</f>
        <v>0</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8">
        <f>MOD(SUM(E263:E264),12)</f>
        <v>0</v>
      </c>
    </row>
    <row r="265" spans="1:53" ht="15.75" thickBot="1" x14ac:dyDescent="0.3">
      <c r="A265" s="88"/>
      <c r="B265" s="74" t="s">
        <v>280</v>
      </c>
      <c r="C265" s="67" t="s">
        <v>502</v>
      </c>
      <c r="D265" s="102"/>
      <c r="E265" s="32">
        <v>84</v>
      </c>
      <c r="F265" s="32"/>
      <c r="G265" s="75" t="s">
        <v>277</v>
      </c>
      <c r="H265" s="69">
        <f t="shared" si="111"/>
        <v>709</v>
      </c>
      <c r="I265" s="70">
        <f t="shared" si="112"/>
        <v>792</v>
      </c>
      <c r="J265" s="73" t="str">
        <f t="shared" ref="J265:J287" si="113">IF(C265="","--",IF(AND(C265&lt;&gt;"FST",C265&lt;&gt;"TCF",BA264&lt;&gt;0),BA264,"--"))</f>
        <v>--</v>
      </c>
      <c r="K265" s="32"/>
      <c r="L265" s="232"/>
      <c r="M265" s="278" t="s">
        <v>411</v>
      </c>
      <c r="N265" s="278"/>
      <c r="O265" s="278"/>
      <c r="P265" s="278"/>
      <c r="Q265" s="278"/>
      <c r="R265" s="278"/>
      <c r="S265" s="278"/>
      <c r="T265" s="278"/>
      <c r="U265" s="279"/>
      <c r="V265" s="103"/>
      <c r="W265" s="72"/>
      <c r="X265" s="72"/>
      <c r="Y265" s="72"/>
      <c r="Z265" s="45">
        <v>11</v>
      </c>
      <c r="AA265" s="46">
        <v>121</v>
      </c>
      <c r="AB265" s="46">
        <v>132</v>
      </c>
      <c r="AC265" s="72">
        <f t="shared" si="102"/>
        <v>1</v>
      </c>
      <c r="AD265" s="72">
        <f t="shared" si="103"/>
        <v>1</v>
      </c>
      <c r="AE265" s="109" t="str">
        <f t="shared" si="104"/>
        <v>709-792</v>
      </c>
      <c r="AF265" s="109" t="str">
        <f t="shared" si="105"/>
        <v>N</v>
      </c>
      <c r="AG265" s="109" t="str">
        <f t="shared" si="106"/>
        <v>A</v>
      </c>
      <c r="AH265" s="109">
        <v>6</v>
      </c>
      <c r="AI265" s="109" t="str">
        <f>IF(E253="SS",COUNTIFS(C263:C287,"TCF",E263:E287,"6"),"")</f>
        <v/>
      </c>
      <c r="AJ265" s="109">
        <f>IF(E253="RPX",COUNTIFS(C263:C287,"TCF",E263:E287,"6"),"")</f>
        <v>0</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8">
        <f>MOD(SUM(E263:E266),12)</f>
        <v>0</v>
      </c>
    </row>
    <row r="266" spans="1:53" ht="15.75" thickBot="1" x14ac:dyDescent="0.3">
      <c r="A266" s="88"/>
      <c r="B266" s="66" t="s">
        <v>281</v>
      </c>
      <c r="C266" s="67"/>
      <c r="D266" s="102"/>
      <c r="E266" s="32"/>
      <c r="F266" s="32"/>
      <c r="G266" s="68" t="s">
        <v>277</v>
      </c>
      <c r="H266" s="69">
        <f t="shared" si="111"/>
        <v>0</v>
      </c>
      <c r="I266" s="70">
        <f t="shared" si="112"/>
        <v>0</v>
      </c>
      <c r="J266" s="73" t="str">
        <f t="shared" si="113"/>
        <v>--</v>
      </c>
      <c r="K266" s="32"/>
      <c r="L266" s="232"/>
      <c r="M266" s="278"/>
      <c r="N266" s="278"/>
      <c r="O266" s="278"/>
      <c r="P266" s="278"/>
      <c r="Q266" s="278"/>
      <c r="R266" s="278"/>
      <c r="S266" s="278"/>
      <c r="T266" s="278"/>
      <c r="U266" s="279"/>
      <c r="V266" s="103"/>
      <c r="W266" s="72"/>
      <c r="X266" s="72"/>
      <c r="Y266" s="72"/>
      <c r="Z266" s="45">
        <v>12</v>
      </c>
      <c r="AA266" s="76">
        <v>133</v>
      </c>
      <c r="AB266" s="76">
        <v>144</v>
      </c>
      <c r="AC266" s="72">
        <f t="shared" si="102"/>
        <v>1</v>
      </c>
      <c r="AD266" s="72">
        <f t="shared" si="103"/>
        <v>1</v>
      </c>
      <c r="AE266" s="109" t="str">
        <f t="shared" si="104"/>
        <v>0-0</v>
      </c>
      <c r="AF266" s="109" t="str">
        <f t="shared" si="105"/>
        <v>Y</v>
      </c>
      <c r="AG266" s="109" t="str">
        <f t="shared" si="106"/>
        <v>A</v>
      </c>
      <c r="AH266" s="109">
        <v>8</v>
      </c>
      <c r="AI266" s="109" t="str">
        <f>IF(E253="SS",COUNTIFS(C263:C287,"TCF",E263:E287,"8"),"")</f>
        <v/>
      </c>
      <c r="AJ266" s="109">
        <f>IF(E253="RPX",COUNTIFS(C263:C287,"TCF",E263:E287,"8"),"")</f>
        <v>0</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8">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2"/>
      <c r="M267" s="278"/>
      <c r="N267" s="278"/>
      <c r="O267" s="278"/>
      <c r="P267" s="278"/>
      <c r="Q267" s="278"/>
      <c r="R267" s="278"/>
      <c r="S267" s="278"/>
      <c r="T267" s="278"/>
      <c r="U267" s="279"/>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A</v>
      </c>
      <c r="AH267" s="109">
        <v>12</v>
      </c>
      <c r="AI267" s="109" t="str">
        <f>IF(E253="SS",COUNTIFS(C263:C287,"TCF",E263:E287,"12"),"")</f>
        <v/>
      </c>
      <c r="AJ267" s="109">
        <f>IF(E253="RPX",COUNTIFS(C263:C287,"TCF",E263:E287,"12"),"")</f>
        <v>0</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8">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2"/>
      <c r="M268" s="278"/>
      <c r="N268" s="278"/>
      <c r="O268" s="278"/>
      <c r="P268" s="278"/>
      <c r="Q268" s="278"/>
      <c r="R268" s="278"/>
      <c r="S268" s="278"/>
      <c r="T268" s="278"/>
      <c r="U268" s="279"/>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A</v>
      </c>
      <c r="AM268" s="109">
        <f t="shared" si="107"/>
        <v>0</v>
      </c>
      <c r="AN268" s="109">
        <f t="shared" si="108"/>
        <v>0</v>
      </c>
      <c r="AO268" s="109" t="str">
        <f t="shared" si="109"/>
        <v/>
      </c>
      <c r="AQ268" s="109" t="str">
        <f t="shared" si="110"/>
        <v/>
      </c>
      <c r="BA268" s="228">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2"/>
      <c r="M269" s="278"/>
      <c r="N269" s="278"/>
      <c r="O269" s="278"/>
      <c r="P269" s="278"/>
      <c r="Q269" s="278"/>
      <c r="R269" s="278"/>
      <c r="S269" s="278"/>
      <c r="T269" s="278"/>
      <c r="U269" s="279"/>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A</v>
      </c>
      <c r="AM269" s="109">
        <f t="shared" si="107"/>
        <v>0</v>
      </c>
      <c r="AN269" s="109">
        <f t="shared" si="108"/>
        <v>0</v>
      </c>
      <c r="AO269" s="109" t="str">
        <f t="shared" si="109"/>
        <v/>
      </c>
      <c r="AQ269" s="109" t="str">
        <f t="shared" si="110"/>
        <v/>
      </c>
      <c r="BA269" s="228">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2"/>
      <c r="M270" s="278"/>
      <c r="N270" s="278"/>
      <c r="O270" s="278"/>
      <c r="P270" s="278"/>
      <c r="Q270" s="278"/>
      <c r="R270" s="278"/>
      <c r="S270" s="278"/>
      <c r="T270" s="278"/>
      <c r="U270" s="279"/>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A</v>
      </c>
      <c r="AM270" s="109">
        <f t="shared" si="107"/>
        <v>0</v>
      </c>
      <c r="AN270" s="109">
        <f t="shared" si="108"/>
        <v>0</v>
      </c>
      <c r="AO270" s="109" t="str">
        <f t="shared" si="109"/>
        <v/>
      </c>
      <c r="AQ270" s="109" t="str">
        <f t="shared" si="110"/>
        <v/>
      </c>
      <c r="BA270" s="228">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2"/>
      <c r="M271" s="278"/>
      <c r="N271" s="278"/>
      <c r="O271" s="278"/>
      <c r="P271" s="278"/>
      <c r="Q271" s="278"/>
      <c r="R271" s="278"/>
      <c r="S271" s="278"/>
      <c r="T271" s="278"/>
      <c r="U271" s="279"/>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A</v>
      </c>
      <c r="AM271" s="109">
        <f t="shared" si="107"/>
        <v>0</v>
      </c>
      <c r="AN271" s="109">
        <f t="shared" si="108"/>
        <v>0</v>
      </c>
      <c r="AO271" s="109" t="str">
        <f t="shared" si="109"/>
        <v/>
      </c>
      <c r="AQ271" s="109" t="str">
        <f t="shared" si="110"/>
        <v/>
      </c>
      <c r="BA271" s="228">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2"/>
      <c r="M272" s="278"/>
      <c r="N272" s="278"/>
      <c r="O272" s="278"/>
      <c r="P272" s="278"/>
      <c r="Q272" s="278"/>
      <c r="R272" s="278"/>
      <c r="S272" s="278"/>
      <c r="T272" s="278"/>
      <c r="U272" s="279"/>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A</v>
      </c>
      <c r="AM272" s="109">
        <f t="shared" si="107"/>
        <v>0</v>
      </c>
      <c r="AN272" s="109">
        <f t="shared" si="108"/>
        <v>0</v>
      </c>
      <c r="AO272" s="109" t="str">
        <f t="shared" si="109"/>
        <v/>
      </c>
      <c r="AQ272" s="109" t="str">
        <f t="shared" si="110"/>
        <v/>
      </c>
      <c r="BA272" s="228">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2"/>
      <c r="M273" s="278"/>
      <c r="N273" s="278"/>
      <c r="O273" s="278"/>
      <c r="P273" s="278"/>
      <c r="Q273" s="278"/>
      <c r="R273" s="278"/>
      <c r="S273" s="278"/>
      <c r="T273" s="278"/>
      <c r="U273" s="279"/>
      <c r="V273" s="103"/>
      <c r="W273" s="84"/>
      <c r="X273" s="84"/>
      <c r="Y273" s="72"/>
      <c r="Z273" s="72"/>
      <c r="AA273" s="72"/>
      <c r="AB273" s="72"/>
      <c r="AC273" s="72">
        <f t="shared" si="102"/>
        <v>1</v>
      </c>
      <c r="AD273" s="72">
        <f t="shared" si="103"/>
        <v>1</v>
      </c>
      <c r="AE273" s="109" t="str">
        <f t="shared" si="104"/>
        <v>0-0</v>
      </c>
      <c r="AF273" s="109" t="str">
        <f t="shared" si="105"/>
        <v>Y</v>
      </c>
      <c r="AG273" s="109" t="str">
        <f t="shared" si="106"/>
        <v>A</v>
      </c>
      <c r="AM273" s="109">
        <f t="shared" si="107"/>
        <v>0</v>
      </c>
      <c r="AN273" s="109">
        <f t="shared" si="108"/>
        <v>0</v>
      </c>
      <c r="AO273" s="109" t="str">
        <f t="shared" si="109"/>
        <v/>
      </c>
      <c r="AQ273" s="109" t="str">
        <f t="shared" si="110"/>
        <v/>
      </c>
      <c r="BA273" s="228">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2"/>
      <c r="M274" s="278"/>
      <c r="N274" s="278"/>
      <c r="O274" s="278"/>
      <c r="P274" s="278"/>
      <c r="Q274" s="278"/>
      <c r="R274" s="278"/>
      <c r="S274" s="278"/>
      <c r="T274" s="278"/>
      <c r="U274" s="279"/>
      <c r="V274" s="103"/>
      <c r="W274" s="84">
        <f>Y274+1</f>
        <v>97</v>
      </c>
      <c r="X274" s="84"/>
      <c r="Y274" s="78">
        <f>SUM(E263:E274)</f>
        <v>96</v>
      </c>
      <c r="Z274" s="72"/>
      <c r="AA274" s="72"/>
      <c r="AB274" s="72"/>
      <c r="AC274" s="72">
        <f t="shared" si="102"/>
        <v>1</v>
      </c>
      <c r="AD274" s="72">
        <f t="shared" si="103"/>
        <v>1</v>
      </c>
      <c r="AE274" s="109" t="str">
        <f t="shared" si="104"/>
        <v>0-0</v>
      </c>
      <c r="AF274" s="109" t="str">
        <f t="shared" si="105"/>
        <v>Y</v>
      </c>
      <c r="AG274" s="109" t="str">
        <f t="shared" si="106"/>
        <v>A</v>
      </c>
      <c r="AM274" s="109">
        <f t="shared" si="107"/>
        <v>0</v>
      </c>
      <c r="AN274" s="109">
        <f t="shared" si="108"/>
        <v>0</v>
      </c>
      <c r="AO274" s="109" t="str">
        <f t="shared" si="109"/>
        <v/>
      </c>
      <c r="AQ274" s="109" t="str">
        <f t="shared" si="110"/>
        <v/>
      </c>
      <c r="BA274" s="228">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2"/>
      <c r="M275" s="278"/>
      <c r="N275" s="278"/>
      <c r="O275" s="278"/>
      <c r="P275" s="278"/>
      <c r="Q275" s="278"/>
      <c r="R275" s="278"/>
      <c r="S275" s="278"/>
      <c r="T275" s="278"/>
      <c r="U275" s="279"/>
      <c r="V275" s="103"/>
      <c r="W275" s="84">
        <f>Y275+1</f>
        <v>97</v>
      </c>
      <c r="X275" s="84"/>
      <c r="Y275" s="78">
        <f>SUM(E263:E275)</f>
        <v>96</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A</v>
      </c>
      <c r="AM275" s="109">
        <f t="shared" si="107"/>
        <v>0</v>
      </c>
      <c r="AN275" s="109">
        <f t="shared" si="108"/>
        <v>0</v>
      </c>
      <c r="AO275" s="109" t="str">
        <f t="shared" si="109"/>
        <v/>
      </c>
      <c r="AQ275" s="109" t="str">
        <f t="shared" si="110"/>
        <v/>
      </c>
      <c r="BA275" s="228">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2"/>
      <c r="M276" s="278"/>
      <c r="N276" s="278"/>
      <c r="O276" s="278"/>
      <c r="P276" s="278"/>
      <c r="Q276" s="278"/>
      <c r="R276" s="278"/>
      <c r="S276" s="278"/>
      <c r="T276" s="278"/>
      <c r="U276" s="279"/>
      <c r="V276" s="103"/>
      <c r="W276" s="84">
        <f>Y276+1</f>
        <v>97</v>
      </c>
      <c r="X276" s="84"/>
      <c r="Y276" s="78">
        <f>SUM(E263:E276)</f>
        <v>96</v>
      </c>
      <c r="Z276" s="72" t="str">
        <f t="shared" si="116"/>
        <v/>
      </c>
      <c r="AA276" s="72"/>
      <c r="AB276" s="72"/>
      <c r="AC276" s="72">
        <f t="shared" si="102"/>
        <v>1</v>
      </c>
      <c r="AD276" s="72">
        <f t="shared" si="103"/>
        <v>1</v>
      </c>
      <c r="AE276" s="109" t="str">
        <f t="shared" si="104"/>
        <v>0-0</v>
      </c>
      <c r="AF276" s="109" t="str">
        <f t="shared" si="105"/>
        <v>Y</v>
      </c>
      <c r="AG276" s="109" t="str">
        <f t="shared" si="106"/>
        <v>A</v>
      </c>
      <c r="AM276" s="109">
        <f t="shared" si="107"/>
        <v>0</v>
      </c>
      <c r="AN276" s="109">
        <f t="shared" si="108"/>
        <v>0</v>
      </c>
      <c r="AO276" s="109" t="str">
        <f t="shared" si="109"/>
        <v/>
      </c>
      <c r="AQ276" s="109" t="str">
        <f t="shared" si="110"/>
        <v/>
      </c>
      <c r="BA276" s="228">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2"/>
      <c r="M277" s="278"/>
      <c r="N277" s="278"/>
      <c r="O277" s="278"/>
      <c r="P277" s="278"/>
      <c r="Q277" s="278"/>
      <c r="R277" s="278"/>
      <c r="S277" s="278"/>
      <c r="T277" s="278"/>
      <c r="U277" s="279"/>
      <c r="V277" s="103"/>
      <c r="W277" s="84">
        <f>Y277+1</f>
        <v>97</v>
      </c>
      <c r="X277" s="84"/>
      <c r="Y277" s="78">
        <f>SUM(E263:E277)</f>
        <v>96</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A</v>
      </c>
      <c r="AM277" s="109">
        <f t="shared" si="107"/>
        <v>0</v>
      </c>
      <c r="AN277" s="109">
        <f t="shared" si="108"/>
        <v>0</v>
      </c>
      <c r="AO277" s="109" t="str">
        <f t="shared" si="109"/>
        <v/>
      </c>
      <c r="AQ277" s="109" t="str">
        <f t="shared" si="110"/>
        <v/>
      </c>
      <c r="BA277" s="228">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2"/>
      <c r="M278" s="278"/>
      <c r="N278" s="278"/>
      <c r="O278" s="278"/>
      <c r="P278" s="278"/>
      <c r="Q278" s="278"/>
      <c r="R278" s="278"/>
      <c r="S278" s="278"/>
      <c r="T278" s="278"/>
      <c r="U278" s="279"/>
      <c r="V278" s="103"/>
      <c r="W278" s="84">
        <f t="shared" ref="W278:W286" si="118">Y278+1</f>
        <v>97</v>
      </c>
      <c r="X278" s="84"/>
      <c r="Y278" s="78">
        <f>SUM(E263:E278)</f>
        <v>96</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A</v>
      </c>
      <c r="AM278" s="109">
        <f t="shared" si="107"/>
        <v>0</v>
      </c>
      <c r="AN278" s="109">
        <f t="shared" si="108"/>
        <v>0</v>
      </c>
      <c r="AO278" s="109" t="str">
        <f t="shared" si="109"/>
        <v/>
      </c>
      <c r="AQ278" s="109" t="str">
        <f t="shared" si="110"/>
        <v/>
      </c>
      <c r="BA278" s="228">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2"/>
      <c r="M279" s="278"/>
      <c r="N279" s="278"/>
      <c r="O279" s="278"/>
      <c r="P279" s="278"/>
      <c r="Q279" s="278"/>
      <c r="R279" s="278"/>
      <c r="S279" s="278"/>
      <c r="T279" s="278"/>
      <c r="U279" s="279"/>
      <c r="V279" s="103"/>
      <c r="W279" s="84">
        <f t="shared" si="118"/>
        <v>97</v>
      </c>
      <c r="X279" s="84"/>
      <c r="Y279" s="78">
        <f>SUM(E263:E279)</f>
        <v>96</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A</v>
      </c>
      <c r="AM279" s="109">
        <f t="shared" si="107"/>
        <v>0</v>
      </c>
      <c r="AN279" s="109">
        <f t="shared" si="108"/>
        <v>0</v>
      </c>
      <c r="AO279" s="109" t="str">
        <f t="shared" si="109"/>
        <v/>
      </c>
      <c r="AQ279" s="109" t="str">
        <f t="shared" si="110"/>
        <v/>
      </c>
      <c r="BA279" s="228">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2"/>
      <c r="M280" s="278"/>
      <c r="N280" s="278"/>
      <c r="O280" s="278"/>
      <c r="P280" s="278"/>
      <c r="Q280" s="278"/>
      <c r="R280" s="278"/>
      <c r="S280" s="278"/>
      <c r="T280" s="278"/>
      <c r="U280" s="279"/>
      <c r="V280" s="103"/>
      <c r="W280" s="84">
        <f t="shared" si="118"/>
        <v>97</v>
      </c>
      <c r="X280" s="84"/>
      <c r="Y280" s="78">
        <f>SUM(E263:E280)</f>
        <v>96</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A</v>
      </c>
      <c r="AM280" s="109">
        <f t="shared" si="107"/>
        <v>0</v>
      </c>
      <c r="AN280" s="109">
        <f t="shared" si="108"/>
        <v>0</v>
      </c>
      <c r="AO280" s="109" t="str">
        <f t="shared" si="109"/>
        <v/>
      </c>
      <c r="AQ280" s="109" t="str">
        <f t="shared" si="110"/>
        <v/>
      </c>
      <c r="BA280" s="228">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2"/>
      <c r="M281" s="278"/>
      <c r="N281" s="278"/>
      <c r="O281" s="278"/>
      <c r="P281" s="278"/>
      <c r="Q281" s="278"/>
      <c r="R281" s="278"/>
      <c r="S281" s="278"/>
      <c r="T281" s="278"/>
      <c r="U281" s="279"/>
      <c r="V281" s="103"/>
      <c r="W281" s="84">
        <f t="shared" si="118"/>
        <v>97</v>
      </c>
      <c r="X281" s="84"/>
      <c r="Y281" s="78">
        <f>SUM(E263:E281)</f>
        <v>96</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A</v>
      </c>
      <c r="AM281" s="109">
        <f t="shared" si="107"/>
        <v>0</v>
      </c>
      <c r="AN281" s="109">
        <f t="shared" si="108"/>
        <v>0</v>
      </c>
      <c r="AO281" s="109" t="str">
        <f t="shared" si="109"/>
        <v/>
      </c>
      <c r="AQ281" s="109" t="str">
        <f t="shared" si="110"/>
        <v/>
      </c>
      <c r="BA281" s="228">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2"/>
      <c r="M282" s="278"/>
      <c r="N282" s="278"/>
      <c r="O282" s="278"/>
      <c r="P282" s="278"/>
      <c r="Q282" s="278"/>
      <c r="R282" s="278"/>
      <c r="S282" s="278"/>
      <c r="T282" s="278"/>
      <c r="U282" s="279"/>
      <c r="V282" s="103"/>
      <c r="W282" s="84">
        <f t="shared" si="118"/>
        <v>97</v>
      </c>
      <c r="X282" s="84"/>
      <c r="Y282" s="78">
        <f>SUM(E263:E282)</f>
        <v>96</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A</v>
      </c>
      <c r="AM282" s="109">
        <f t="shared" si="107"/>
        <v>0</v>
      </c>
      <c r="AN282" s="109">
        <f t="shared" si="108"/>
        <v>0</v>
      </c>
      <c r="AO282" s="109" t="str">
        <f t="shared" si="109"/>
        <v/>
      </c>
      <c r="AQ282" s="109" t="str">
        <f t="shared" si="110"/>
        <v/>
      </c>
      <c r="BA282" s="228">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2"/>
      <c r="M283" s="278"/>
      <c r="N283" s="278"/>
      <c r="O283" s="278"/>
      <c r="P283" s="278"/>
      <c r="Q283" s="278"/>
      <c r="R283" s="278"/>
      <c r="S283" s="278"/>
      <c r="T283" s="278"/>
      <c r="U283" s="279"/>
      <c r="V283" s="103"/>
      <c r="W283" s="84">
        <f t="shared" si="118"/>
        <v>97</v>
      </c>
      <c r="X283" s="84"/>
      <c r="Y283" s="78">
        <f>SUM(E263:E283)</f>
        <v>96</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A</v>
      </c>
      <c r="AM283" s="109">
        <f t="shared" si="107"/>
        <v>0</v>
      </c>
      <c r="AN283" s="109">
        <f t="shared" si="108"/>
        <v>0</v>
      </c>
      <c r="AO283" s="109" t="str">
        <f t="shared" si="109"/>
        <v/>
      </c>
      <c r="AQ283" s="109" t="str">
        <f t="shared" si="110"/>
        <v/>
      </c>
      <c r="BA283" s="228">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2"/>
      <c r="M284" s="278"/>
      <c r="N284" s="278"/>
      <c r="O284" s="278"/>
      <c r="P284" s="278"/>
      <c r="Q284" s="278"/>
      <c r="R284" s="278"/>
      <c r="S284" s="278"/>
      <c r="T284" s="278"/>
      <c r="U284" s="279"/>
      <c r="V284" s="103"/>
      <c r="W284" s="84">
        <f t="shared" si="118"/>
        <v>97</v>
      </c>
      <c r="X284" s="84"/>
      <c r="Y284" s="78">
        <f>SUM(E263:E284)</f>
        <v>96</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A</v>
      </c>
      <c r="AM284" s="109">
        <f t="shared" si="107"/>
        <v>0</v>
      </c>
      <c r="AN284" s="109">
        <f t="shared" si="108"/>
        <v>0</v>
      </c>
      <c r="AO284" s="109" t="str">
        <f t="shared" si="109"/>
        <v/>
      </c>
      <c r="AQ284" s="109" t="str">
        <f t="shared" si="110"/>
        <v/>
      </c>
      <c r="BA284" s="228">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2"/>
      <c r="M285" s="278"/>
      <c r="N285" s="278"/>
      <c r="O285" s="278"/>
      <c r="P285" s="278"/>
      <c r="Q285" s="278"/>
      <c r="R285" s="278"/>
      <c r="S285" s="278"/>
      <c r="T285" s="278"/>
      <c r="U285" s="279"/>
      <c r="V285" s="103"/>
      <c r="W285" s="84">
        <f t="shared" si="118"/>
        <v>97</v>
      </c>
      <c r="X285" s="84"/>
      <c r="Y285" s="78">
        <f>SUM(E263:E285)</f>
        <v>96</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A</v>
      </c>
      <c r="AM285" s="109">
        <f t="shared" si="107"/>
        <v>0</v>
      </c>
      <c r="AN285" s="109">
        <f t="shared" si="108"/>
        <v>0</v>
      </c>
      <c r="AO285" s="109" t="str">
        <f t="shared" si="109"/>
        <v/>
      </c>
      <c r="AQ285" s="109" t="str">
        <f t="shared" si="110"/>
        <v/>
      </c>
      <c r="BA285" s="228">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2"/>
      <c r="M286" s="278"/>
      <c r="N286" s="278"/>
      <c r="O286" s="278"/>
      <c r="P286" s="278"/>
      <c r="Q286" s="278"/>
      <c r="R286" s="278"/>
      <c r="S286" s="278"/>
      <c r="T286" s="278"/>
      <c r="U286" s="279"/>
      <c r="V286" s="103"/>
      <c r="W286" s="84">
        <f t="shared" si="118"/>
        <v>97</v>
      </c>
      <c r="X286" s="84"/>
      <c r="Y286" s="78">
        <f>SUM(E263:E286)</f>
        <v>96</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A</v>
      </c>
      <c r="AM286" s="109">
        <f t="shared" si="107"/>
        <v>0</v>
      </c>
      <c r="AN286" s="109">
        <f t="shared" si="108"/>
        <v>0</v>
      </c>
      <c r="AO286" s="109" t="str">
        <f t="shared" si="109"/>
        <v/>
      </c>
      <c r="AQ286" s="109" t="str">
        <f t="shared" si="110"/>
        <v/>
      </c>
      <c r="BA286" s="228">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3"/>
      <c r="M287" s="278"/>
      <c r="N287" s="278"/>
      <c r="O287" s="278"/>
      <c r="P287" s="278"/>
      <c r="Q287" s="278"/>
      <c r="R287" s="278"/>
      <c r="S287" s="278"/>
      <c r="T287" s="278"/>
      <c r="U287" s="279"/>
      <c r="V287" s="103"/>
      <c r="W287" s="72"/>
      <c r="X287" s="72"/>
      <c r="Y287" s="78">
        <f>SUM(E263:E287)</f>
        <v>96</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A</v>
      </c>
      <c r="AM287" s="109">
        <f t="shared" si="107"/>
        <v>0</v>
      </c>
      <c r="AN287" s="109">
        <f t="shared" si="108"/>
        <v>0</v>
      </c>
      <c r="AO287" s="109" t="str">
        <f t="shared" si="109"/>
        <v/>
      </c>
      <c r="AQ287" s="109" t="str">
        <f t="shared" si="110"/>
        <v/>
      </c>
      <c r="BA287" s="227"/>
    </row>
    <row r="288" spans="1:53" ht="16.5" thickBot="1" x14ac:dyDescent="0.3">
      <c r="A288" s="88"/>
      <c r="B288" s="319" t="s">
        <v>317</v>
      </c>
      <c r="C288" s="320"/>
      <c r="D288" s="79"/>
      <c r="E288" s="80"/>
      <c r="F288" s="80"/>
      <c r="G288" s="81"/>
      <c r="H288" s="191"/>
      <c r="I288" s="191"/>
      <c r="J288" s="191"/>
      <c r="K288" s="82"/>
      <c r="L288" s="319" t="s">
        <v>306</v>
      </c>
      <c r="M288" s="330"/>
      <c r="N288" s="330"/>
      <c r="O288" s="330"/>
      <c r="P288" s="330"/>
      <c r="Q288" s="330"/>
      <c r="R288" s="330"/>
      <c r="S288" s="330"/>
      <c r="T288" s="330"/>
      <c r="U288" s="320"/>
      <c r="V288" s="104"/>
      <c r="W288" s="72"/>
      <c r="X288" s="72"/>
      <c r="Y288" s="72"/>
      <c r="Z288" s="72"/>
      <c r="AA288" s="72" t="str">
        <f t="shared" si="117"/>
        <v/>
      </c>
      <c r="AB288" s="72"/>
      <c r="AC288" s="72">
        <f>SUM(AC263:AC287)</f>
        <v>25</v>
      </c>
      <c r="AD288" s="72">
        <f>SUM(AD263:AD287)</f>
        <v>23</v>
      </c>
      <c r="AM288" s="109">
        <f>SUM(AM263:AM287)</f>
        <v>0</v>
      </c>
      <c r="AN288" s="109">
        <f>SUM(AN263:AN287)</f>
        <v>0</v>
      </c>
      <c r="AO288" s="109">
        <f>((COUNTIF(AO263:AO287,"Y")/3)*2)</f>
        <v>0</v>
      </c>
      <c r="AP288" s="109">
        <f>(COUNTIF(AO263:AO287,"Y")/3)</f>
        <v>0</v>
      </c>
      <c r="AQ288" s="109">
        <f>(COUNTIF(AQ263:AQ287,"Y")/2)</f>
        <v>0</v>
      </c>
      <c r="AR288" s="109">
        <f>(COUNTIF(AQ263:AQ287,"Y")/2)</f>
        <v>0</v>
      </c>
      <c r="BA288" s="227"/>
    </row>
    <row r="289" spans="1:53" ht="16.5" thickBot="1" x14ac:dyDescent="0.3">
      <c r="A289" s="88"/>
      <c r="B289" s="319" t="s">
        <v>307</v>
      </c>
      <c r="C289" s="320"/>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5"/>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5" t="s">
        <v>210</v>
      </c>
      <c r="N292" s="195" t="s">
        <v>211</v>
      </c>
      <c r="O292" s="195" t="s">
        <v>212</v>
      </c>
      <c r="P292" s="195" t="s">
        <v>213</v>
      </c>
      <c r="Q292" s="195" t="s">
        <v>214</v>
      </c>
      <c r="R292" s="195" t="s">
        <v>215</v>
      </c>
      <c r="S292" s="195" t="s">
        <v>216</v>
      </c>
      <c r="T292" s="195" t="s">
        <v>217</v>
      </c>
      <c r="U292" s="195" t="s">
        <v>218</v>
      </c>
      <c r="V292" s="195" t="s">
        <v>219</v>
      </c>
      <c r="W292" s="113" t="s">
        <v>220</v>
      </c>
      <c r="X292" s="195" t="s">
        <v>221</v>
      </c>
      <c r="Y292" s="25"/>
      <c r="Z292" s="25"/>
      <c r="AA292" s="25"/>
      <c r="AB292" s="25"/>
      <c r="AC292" s="25"/>
      <c r="AD292" s="25"/>
      <c r="BA292" s="225"/>
    </row>
    <row r="293" spans="1:53" ht="16.5" thickTop="1" thickBot="1" x14ac:dyDescent="0.3">
      <c r="A293" s="88"/>
      <c r="B293" s="312" t="s">
        <v>222</v>
      </c>
      <c r="C293" s="313"/>
      <c r="D293" s="314" t="s">
        <v>223</v>
      </c>
      <c r="E293" s="305"/>
      <c r="F293" s="88"/>
      <c r="G293" s="315" t="s">
        <v>224</v>
      </c>
      <c r="H293" s="316"/>
      <c r="I293" s="28">
        <f>SUM(E304:E328)</f>
        <v>84</v>
      </c>
      <c r="J293" s="317" t="s">
        <v>225</v>
      </c>
      <c r="K293" s="318"/>
      <c r="L293" s="305"/>
      <c r="M293" s="195">
        <v>2</v>
      </c>
      <c r="N293" s="35">
        <f>SUM(AI293,AI304)</f>
        <v>0</v>
      </c>
      <c r="O293" s="35">
        <v>0</v>
      </c>
      <c r="P293" s="35">
        <f>SUM(AJ293,AJ304)</f>
        <v>0</v>
      </c>
      <c r="Q293" s="35">
        <v>0</v>
      </c>
      <c r="R293" s="35">
        <f>COUNTIFS($E304:$E328,"2",$F304:$F328,"Pole",$C304:$C328,"FST")</f>
        <v>0</v>
      </c>
      <c r="S293" s="35">
        <f>SUM(AL293,AK304)</f>
        <v>0</v>
      </c>
      <c r="T293" s="35">
        <v>0</v>
      </c>
      <c r="U293" s="35">
        <f>SUM(AK293,AL304)</f>
        <v>2</v>
      </c>
      <c r="V293" s="35">
        <v>0</v>
      </c>
      <c r="W293" s="34">
        <f>COUNTIFS($E304:$E328,"2",$F304:$F328,"HH",$C304:$C328,"FST")</f>
        <v>2</v>
      </c>
      <c r="X293" s="35">
        <f>COUNTIFS($E304:$E328,"2",$F304:$F328,"Ped",$C304:$C328,"FST")</f>
        <v>0</v>
      </c>
      <c r="Y293" s="25"/>
      <c r="Z293" s="295" t="s">
        <v>226</v>
      </c>
      <c r="AA293" s="296"/>
      <c r="AB293" s="297"/>
      <c r="AC293" s="25"/>
      <c r="AD293" s="25"/>
      <c r="AH293" s="109">
        <v>2</v>
      </c>
      <c r="AI293" s="109" t="str">
        <f>IF($E294="SS",COUNTIFS($C304:$C328,"FST",$E304:$E328,"2"),"0")</f>
        <v>0</v>
      </c>
      <c r="AJ293" s="109" t="str">
        <f>IF($E294="RPX",COUNTIFS($C304:$C328,"FST",$E304:$E328,"2"),"0")</f>
        <v>0</v>
      </c>
      <c r="AK293" s="109">
        <f>IF($E294="EUC",COUNTIFS($C304:$C328,"FST",$E304:$E328,"2"),"0")</f>
        <v>2</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5"/>
    </row>
    <row r="294" spans="1:53" ht="16.5" customHeight="1" thickTop="1" thickBot="1" x14ac:dyDescent="0.3">
      <c r="A294" s="88"/>
      <c r="B294" s="29" t="s">
        <v>228</v>
      </c>
      <c r="C294" s="30">
        <v>0</v>
      </c>
      <c r="D294" s="31" t="s">
        <v>229</v>
      </c>
      <c r="E294" s="66" t="str">
        <f>TEXT(IF('Cable Calculator'!AM7="","",'Cable Calculator'!AM7),)</f>
        <v>EUC</v>
      </c>
      <c r="F294" s="88"/>
      <c r="G294" s="304" t="s">
        <v>230</v>
      </c>
      <c r="H294" s="305"/>
      <c r="I294" s="33">
        <f>E295-I293</f>
        <v>348</v>
      </c>
      <c r="J294" s="289" t="s">
        <v>231</v>
      </c>
      <c r="K294" s="290"/>
      <c r="L294" s="34">
        <f>I298</f>
        <v>601</v>
      </c>
      <c r="M294" s="195">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298" t="s">
        <v>232</v>
      </c>
      <c r="AA294" s="300" t="s">
        <v>233</v>
      </c>
      <c r="AB294" s="301"/>
      <c r="AC294" s="25"/>
      <c r="AD294" s="25"/>
      <c r="AH294" s="109">
        <v>4</v>
      </c>
      <c r="AI294" s="109" t="str">
        <f>IF($E294="SS",COUNTIFS($C304:$C328,"FST",$E304:$E328,"4"),"0")</f>
        <v>0</v>
      </c>
      <c r="AJ294" s="109" t="str">
        <f>IF($E294="RPX",COUNTIFS($C304:$C328,"FST",$E304:$E328,"4"),"0")</f>
        <v>0</v>
      </c>
      <c r="AK294" s="109">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6"/>
    </row>
    <row r="295" spans="1:53" ht="16.5" thickTop="1" thickBot="1" x14ac:dyDescent="0.3">
      <c r="A295" s="88"/>
      <c r="B295" s="36" t="s">
        <v>235</v>
      </c>
      <c r="C295" s="37">
        <v>0</v>
      </c>
      <c r="D295" s="38" t="s">
        <v>236</v>
      </c>
      <c r="E295" s="32">
        <v>432</v>
      </c>
      <c r="F295" s="88"/>
      <c r="G295" s="291" t="s">
        <v>237</v>
      </c>
      <c r="H295" s="292"/>
      <c r="I295" s="35">
        <f>IF(E295=0,0,12-(MOD(I293,12)))</f>
        <v>12</v>
      </c>
      <c r="J295" s="289" t="s">
        <v>238</v>
      </c>
      <c r="K295" s="290"/>
      <c r="L295" s="39">
        <f>I299-I293</f>
        <v>600</v>
      </c>
      <c r="M295" s="195">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9"/>
      <c r="AA295" s="302"/>
      <c r="AB295" s="303"/>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6"/>
    </row>
    <row r="296" spans="1:53" ht="16.5" customHeight="1" thickTop="1" thickBot="1" x14ac:dyDescent="0.3">
      <c r="A296" s="88"/>
      <c r="B296" s="40" t="s">
        <v>240</v>
      </c>
      <c r="C296" s="30">
        <v>0</v>
      </c>
      <c r="D296" s="41" t="s">
        <v>241</v>
      </c>
      <c r="E296" s="42">
        <v>120</v>
      </c>
      <c r="F296" s="88"/>
      <c r="G296" s="321" t="s">
        <v>242</v>
      </c>
      <c r="H296" s="43" t="s">
        <v>243</v>
      </c>
      <c r="I296" s="35">
        <f>IF(E296&lt;&gt;0,1,0)</f>
        <v>1</v>
      </c>
      <c r="J296" s="291" t="s">
        <v>244</v>
      </c>
      <c r="K296" s="292"/>
      <c r="L296" s="44">
        <f>'Cable Calculator'!AM3</f>
        <v>2422</v>
      </c>
      <c r="M296" s="195">
        <v>8</v>
      </c>
      <c r="N296" s="35">
        <f>SUM(AI296,AI307)</f>
        <v>0</v>
      </c>
      <c r="O296" s="35">
        <v>0</v>
      </c>
      <c r="P296" s="35">
        <f>SUM(AJ296,AJ307)</f>
        <v>0</v>
      </c>
      <c r="Q296" s="35">
        <v>0</v>
      </c>
      <c r="R296" s="35">
        <f>COUNTIFS($E304:$E328,"8",$F304:$F328,"Pole",$C304:$C328,"FST")</f>
        <v>0</v>
      </c>
      <c r="S296" s="35">
        <f>SUM(AL296,AK307)</f>
        <v>0</v>
      </c>
      <c r="T296" s="35">
        <v>0</v>
      </c>
      <c r="U296" s="35">
        <f>SUM(AK296,AL307)</f>
        <v>1</v>
      </c>
      <c r="V296" s="35">
        <v>0</v>
      </c>
      <c r="W296" s="34">
        <f>COUNTIFS($E304:$E328,"8",$F304:$F328,"HH",$C304:$C328,"FST")</f>
        <v>1</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6"/>
    </row>
    <row r="297" spans="1:53" ht="16.5" thickTop="1" thickBot="1" x14ac:dyDescent="0.3">
      <c r="A297" s="88"/>
      <c r="B297" s="29" t="s">
        <v>246</v>
      </c>
      <c r="C297" s="37">
        <v>0</v>
      </c>
      <c r="D297" s="41" t="s">
        <v>247</v>
      </c>
      <c r="E297" s="42">
        <v>601</v>
      </c>
      <c r="F297" s="88"/>
      <c r="G297" s="322"/>
      <c r="H297" s="47" t="s">
        <v>248</v>
      </c>
      <c r="I297" s="35">
        <f>IF(E296&lt;&gt;0,E296,0)</f>
        <v>120</v>
      </c>
      <c r="J297" s="193"/>
      <c r="K297" s="194"/>
      <c r="L297" s="48"/>
      <c r="M297" s="195">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6"/>
    </row>
    <row r="298" spans="1:53" ht="16.5" customHeight="1" thickTop="1" thickBot="1" x14ac:dyDescent="0.3">
      <c r="A298" s="88"/>
      <c r="B298" s="36" t="s">
        <v>249</v>
      </c>
      <c r="C298" s="30">
        <v>0</v>
      </c>
      <c r="D298" s="49" t="s">
        <v>250</v>
      </c>
      <c r="E298" s="50">
        <f>E295/12</f>
        <v>36</v>
      </c>
      <c r="F298" s="88"/>
      <c r="G298" s="321" t="s">
        <v>251</v>
      </c>
      <c r="H298" s="51" t="s">
        <v>252</v>
      </c>
      <c r="I298" s="112">
        <f>E297</f>
        <v>601</v>
      </c>
      <c r="J298" s="323" t="s">
        <v>253</v>
      </c>
      <c r="K298" s="324"/>
      <c r="L298" s="325"/>
      <c r="M298" s="52" t="s">
        <v>254</v>
      </c>
      <c r="N298" s="106"/>
      <c r="O298" s="106"/>
      <c r="P298" s="191"/>
      <c r="Q298" s="191"/>
      <c r="R298" s="191"/>
      <c r="S298" s="191"/>
      <c r="T298" s="191"/>
      <c r="U298" s="191"/>
      <c r="V298" s="191"/>
      <c r="W298" s="53">
        <f>SUM(P298:U298)</f>
        <v>0</v>
      </c>
      <c r="X298" s="54"/>
      <c r="Y298" s="25"/>
      <c r="Z298" s="45">
        <v>3</v>
      </c>
      <c r="AA298" s="46">
        <v>25</v>
      </c>
      <c r="AB298" s="46">
        <v>36</v>
      </c>
      <c r="AC298" s="25"/>
      <c r="AD298" s="25"/>
      <c r="BA298" s="226"/>
    </row>
    <row r="299" spans="1:53" ht="16.5" thickTop="1" thickBot="1" x14ac:dyDescent="0.3">
      <c r="A299" s="88"/>
      <c r="B299" s="36" t="s">
        <v>255</v>
      </c>
      <c r="C299" s="30">
        <v>180</v>
      </c>
      <c r="D299" s="31" t="s">
        <v>256</v>
      </c>
      <c r="E299" s="101" t="str">
        <f>IF('Cable Calculator'!AM5="","",'Cable Calculator'!AM5)</f>
        <v>N</v>
      </c>
      <c r="F299" s="88"/>
      <c r="G299" s="322"/>
      <c r="H299" s="47" t="s">
        <v>257</v>
      </c>
      <c r="I299" s="35">
        <f>IF(E297="","0",IF(AND(E294="EUC",E295=432), I298+(203-E296),IF(E297=0,0,(E297+(E295-E296)-1))))</f>
        <v>684</v>
      </c>
      <c r="J299" s="286" t="str">
        <f>IFERROR(IF(OR(E294="EUC",E294="SS"),"---",IF(OR(P293,S293),"NO 2F Tethers for RPX!",IF(OR(P295,S295),"NO 6F Tethers for RPX!","---"))),"---")</f>
        <v>---</v>
      </c>
      <c r="K299" s="287"/>
      <c r="L299" s="288"/>
      <c r="M299" s="286" t="str">
        <f>IF(E296&gt;60,"Dead Count &gt;60: Consider Downsize","---")</f>
        <v>Dead Count &gt;60: Consider Downsize</v>
      </c>
      <c r="N299" s="287"/>
      <c r="O299" s="287"/>
      <c r="P299" s="287"/>
      <c r="Q299" s="287"/>
      <c r="R299" s="287"/>
      <c r="S299" s="287"/>
      <c r="T299" s="287"/>
      <c r="U299" s="288"/>
      <c r="V299" s="100"/>
      <c r="W299" s="54">
        <f>SUM(P299:U299)</f>
        <v>0</v>
      </c>
      <c r="X299" s="54"/>
      <c r="Y299" s="25"/>
      <c r="Z299" s="45">
        <v>4</v>
      </c>
      <c r="AA299" s="46">
        <v>37</v>
      </c>
      <c r="AB299" s="46">
        <v>48</v>
      </c>
      <c r="AC299" s="25"/>
      <c r="AD299" s="25"/>
      <c r="BA299" s="226"/>
    </row>
    <row r="300" spans="1:53" ht="16.5" thickTop="1" thickBot="1" x14ac:dyDescent="0.3">
      <c r="A300" s="88"/>
      <c r="B300" s="55" t="s">
        <v>258</v>
      </c>
      <c r="C300" s="56">
        <f>SUM(C294:C299)+I293</f>
        <v>264</v>
      </c>
      <c r="D300" s="31" t="s">
        <v>259</v>
      </c>
      <c r="E300" s="101" t="str">
        <f>IF(AS294="Y","DBL",IF(AS295="Y","TRPL",IF(AS296="Y","QUAD","")))</f>
        <v/>
      </c>
      <c r="F300" s="88"/>
      <c r="G300" s="191"/>
      <c r="H300" s="57"/>
      <c r="I300" s="191"/>
      <c r="J300" s="286"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7"/>
      <c r="L300" s="288"/>
      <c r="M300" s="286" t="str">
        <f>IF(AND(OR(E294="SS",E294="RPX",E294="EUC",E294="RPX-T"),(OR(C304="",C304="Field SPL"))),"Cannot have FlexNap cables without tethers","---")</f>
        <v>---</v>
      </c>
      <c r="N300" s="287"/>
      <c r="O300" s="287"/>
      <c r="P300" s="287"/>
      <c r="Q300" s="287"/>
      <c r="R300" s="287"/>
      <c r="S300" s="287"/>
      <c r="T300" s="287"/>
      <c r="U300" s="288"/>
      <c r="V300" s="25"/>
      <c r="W300" s="58"/>
      <c r="X300" s="58"/>
      <c r="Y300" s="25"/>
      <c r="Z300" s="45">
        <v>5</v>
      </c>
      <c r="AA300" s="46">
        <v>49</v>
      </c>
      <c r="AB300" s="46">
        <v>60</v>
      </c>
      <c r="AC300" s="25"/>
      <c r="AD300" s="25"/>
      <c r="BA300" s="226"/>
    </row>
    <row r="301" spans="1:53" ht="16.5" thickTop="1" thickBot="1" x14ac:dyDescent="0.3">
      <c r="A301" s="88"/>
      <c r="B301" s="59"/>
      <c r="C301" s="60"/>
      <c r="D301" s="61"/>
      <c r="E301" s="62"/>
      <c r="F301" s="88"/>
      <c r="G301" s="63"/>
      <c r="H301" s="64"/>
      <c r="I301" s="63"/>
      <c r="J301" s="286" t="str">
        <f>IF(AND(OR(E294="RPX", E294="RPX-T", E294="SS"),E295=216),"NO 216 For RPX, RPX-T, OR SS CABLE","---")</f>
        <v>---</v>
      </c>
      <c r="K301" s="287"/>
      <c r="L301" s="288"/>
      <c r="M301" s="286" t="str" cm="1">
        <f t="array" ref="M301">IF(AND(E294="",OR(C304:C328="FST",C304:C328="REV T",C304:C328="DBL REV",C304:C328="TPL REV", C304:C328="QD REV")),"Non-FlexNap cables cannot have tethers","---")</f>
        <v>---</v>
      </c>
      <c r="N301" s="287"/>
      <c r="O301" s="287"/>
      <c r="P301" s="287"/>
      <c r="Q301" s="287"/>
      <c r="R301" s="287"/>
      <c r="S301" s="287"/>
      <c r="T301" s="287"/>
      <c r="U301" s="288"/>
      <c r="V301" s="25"/>
      <c r="W301" s="58"/>
      <c r="X301" s="58"/>
      <c r="Y301" s="25"/>
      <c r="Z301" s="45">
        <v>6</v>
      </c>
      <c r="AA301" s="65">
        <v>61</v>
      </c>
      <c r="AB301" s="65">
        <v>72</v>
      </c>
      <c r="AC301" s="25"/>
      <c r="AD301" s="25"/>
      <c r="BA301" s="225"/>
    </row>
    <row r="302" spans="1:53" ht="15.75" customHeight="1" thickBot="1" x14ac:dyDescent="0.3">
      <c r="A302" s="88"/>
      <c r="B302" s="321" t="s">
        <v>260</v>
      </c>
      <c r="C302" s="293" t="s">
        <v>261</v>
      </c>
      <c r="D302" s="293" t="s">
        <v>262</v>
      </c>
      <c r="E302" s="306" t="s">
        <v>263</v>
      </c>
      <c r="F302" s="293" t="s">
        <v>264</v>
      </c>
      <c r="G302" s="308" t="s">
        <v>265</v>
      </c>
      <c r="H302" s="308" t="s">
        <v>266</v>
      </c>
      <c r="I302" s="308" t="s">
        <v>267</v>
      </c>
      <c r="J302" s="310" t="s">
        <v>268</v>
      </c>
      <c r="K302" s="293" t="s">
        <v>269</v>
      </c>
      <c r="L302" s="280" t="s">
        <v>270</v>
      </c>
      <c r="M302" s="282" t="s">
        <v>271</v>
      </c>
      <c r="N302" s="282"/>
      <c r="O302" s="282"/>
      <c r="P302" s="282"/>
      <c r="Q302" s="282"/>
      <c r="R302" s="282"/>
      <c r="S302" s="282"/>
      <c r="T302" s="282"/>
      <c r="U302" s="283"/>
      <c r="V302" s="107"/>
      <c r="W302" s="72"/>
      <c r="X302" s="72"/>
      <c r="Y302" s="72"/>
      <c r="Z302" s="45">
        <v>7</v>
      </c>
      <c r="AA302" s="65">
        <v>73</v>
      </c>
      <c r="AB302" s="65">
        <v>84</v>
      </c>
      <c r="AC302" s="25"/>
      <c r="AD302" s="25"/>
      <c r="BA302" s="227"/>
    </row>
    <row r="303" spans="1:53" ht="15.75" thickBot="1" x14ac:dyDescent="0.3">
      <c r="A303" s="88"/>
      <c r="B303" s="322"/>
      <c r="C303" s="294"/>
      <c r="D303" s="294"/>
      <c r="E303" s="307"/>
      <c r="F303" s="294"/>
      <c r="G303" s="309"/>
      <c r="H303" s="309"/>
      <c r="I303" s="309"/>
      <c r="J303" s="311"/>
      <c r="K303" s="294"/>
      <c r="L303" s="281"/>
      <c r="M303" s="284"/>
      <c r="N303" s="284"/>
      <c r="O303" s="284"/>
      <c r="P303" s="284"/>
      <c r="Q303" s="284"/>
      <c r="R303" s="284"/>
      <c r="S303" s="284"/>
      <c r="T303" s="284"/>
      <c r="U303" s="285"/>
      <c r="V303" s="107"/>
      <c r="W303" s="72"/>
      <c r="X303" s="72"/>
      <c r="Y303" s="72"/>
      <c r="Z303" s="45">
        <v>8</v>
      </c>
      <c r="AA303" s="46">
        <v>85</v>
      </c>
      <c r="AB303" s="46">
        <v>96</v>
      </c>
      <c r="AC303" s="25"/>
      <c r="AD303" s="25"/>
      <c r="AI303" s="109" t="s">
        <v>272</v>
      </c>
      <c r="AJ303" s="109" t="s">
        <v>273</v>
      </c>
      <c r="AK303" s="109" t="s">
        <v>274</v>
      </c>
      <c r="AL303" s="109" t="s">
        <v>275</v>
      </c>
      <c r="BA303" s="227"/>
    </row>
    <row r="304" spans="1:53" ht="15.75" thickBot="1" x14ac:dyDescent="0.3">
      <c r="A304" s="88"/>
      <c r="B304" s="66" t="s">
        <v>276</v>
      </c>
      <c r="C304" s="67" t="s">
        <v>484</v>
      </c>
      <c r="D304" s="102" t="s">
        <v>750</v>
      </c>
      <c r="E304" s="32">
        <v>8</v>
      </c>
      <c r="F304" s="32" t="s">
        <v>488</v>
      </c>
      <c r="G304" s="68" t="s">
        <v>277</v>
      </c>
      <c r="H304" s="69">
        <f>IF(I304=0,0,I304-(E304-1))</f>
        <v>677</v>
      </c>
      <c r="I304" s="70">
        <f>IF(E304=0,0,I299)</f>
        <v>684</v>
      </c>
      <c r="J304" s="71" t="s">
        <v>278</v>
      </c>
      <c r="K304" s="32"/>
      <c r="L304" s="232"/>
      <c r="M304" s="278"/>
      <c r="N304" s="278"/>
      <c r="O304" s="278"/>
      <c r="P304" s="278"/>
      <c r="Q304" s="278"/>
      <c r="R304" s="278"/>
      <c r="S304" s="278"/>
      <c r="T304" s="278"/>
      <c r="U304" s="279"/>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677-684</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8">
        <f>MOD(E304,12)</f>
        <v>8</v>
      </c>
    </row>
    <row r="305" spans="1:53" ht="15.75" thickBot="1" x14ac:dyDescent="0.3">
      <c r="A305" s="88"/>
      <c r="B305" s="66" t="s">
        <v>279</v>
      </c>
      <c r="C305" s="67" t="s">
        <v>484</v>
      </c>
      <c r="D305" s="102" t="s">
        <v>752</v>
      </c>
      <c r="E305" s="32">
        <v>2</v>
      </c>
      <c r="F305" s="32" t="s">
        <v>488</v>
      </c>
      <c r="G305" s="68" t="s">
        <v>277</v>
      </c>
      <c r="H305" s="69">
        <f t="shared" ref="H305:H328" si="128">IF(E305=0,0,I305-(E305-1))</f>
        <v>675</v>
      </c>
      <c r="I305" s="70">
        <f t="shared" ref="I305:I328" si="129">IF(E305=0,0,H304-1)</f>
        <v>676</v>
      </c>
      <c r="J305" s="73" t="str">
        <f>IF(C305="","--",IF(AND(C305&lt;&gt;"FST",C305&lt;&gt;"TCF",BA304&lt;&gt;0),BA304,"--"))</f>
        <v>--</v>
      </c>
      <c r="K305" s="32"/>
      <c r="L305" s="232"/>
      <c r="M305" s="278"/>
      <c r="N305" s="278"/>
      <c r="O305" s="278"/>
      <c r="P305" s="278"/>
      <c r="Q305" s="278"/>
      <c r="R305" s="278"/>
      <c r="S305" s="278"/>
      <c r="T305" s="278"/>
      <c r="U305" s="279"/>
      <c r="V305" s="103"/>
      <c r="W305" s="72"/>
      <c r="X305" s="72"/>
      <c r="Y305" s="72"/>
      <c r="Z305" s="45">
        <v>10</v>
      </c>
      <c r="AA305" s="46">
        <v>109</v>
      </c>
      <c r="AB305" s="46">
        <v>120</v>
      </c>
      <c r="AC305" s="72">
        <f t="shared" si="119"/>
        <v>1</v>
      </c>
      <c r="AD305" s="72">
        <f t="shared" si="120"/>
        <v>0</v>
      </c>
      <c r="AE305" s="109" t="str">
        <f t="shared" si="121"/>
        <v>675-676</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8">
        <f>MOD(SUM(E304:E305),12)</f>
        <v>10</v>
      </c>
    </row>
    <row r="306" spans="1:53" ht="15.75" thickBot="1" x14ac:dyDescent="0.3">
      <c r="A306" s="88"/>
      <c r="B306" s="74" t="s">
        <v>280</v>
      </c>
      <c r="C306" s="67" t="s">
        <v>484</v>
      </c>
      <c r="D306" s="102" t="s">
        <v>753</v>
      </c>
      <c r="E306" s="32">
        <v>2</v>
      </c>
      <c r="F306" s="32" t="s">
        <v>488</v>
      </c>
      <c r="G306" s="75" t="s">
        <v>277</v>
      </c>
      <c r="H306" s="69">
        <f t="shared" si="128"/>
        <v>673</v>
      </c>
      <c r="I306" s="70">
        <f t="shared" si="129"/>
        <v>674</v>
      </c>
      <c r="J306" s="73" t="str">
        <f t="shared" ref="J306:J328" si="130">IF(C306="","--",IF(AND(C306&lt;&gt;"FST",C306&lt;&gt;"TCF",BA305&lt;&gt;0),BA305,"--"))</f>
        <v>--</v>
      </c>
      <c r="K306" s="32"/>
      <c r="L306" s="232"/>
      <c r="M306" s="278"/>
      <c r="N306" s="278"/>
      <c r="O306" s="278"/>
      <c r="P306" s="278"/>
      <c r="Q306" s="278"/>
      <c r="R306" s="278"/>
      <c r="S306" s="278"/>
      <c r="T306" s="278"/>
      <c r="U306" s="279"/>
      <c r="V306" s="103"/>
      <c r="W306" s="72"/>
      <c r="X306" s="72"/>
      <c r="Y306" s="72"/>
      <c r="Z306" s="45">
        <v>11</v>
      </c>
      <c r="AA306" s="46">
        <v>121</v>
      </c>
      <c r="AB306" s="46">
        <v>132</v>
      </c>
      <c r="AC306" s="72">
        <f t="shared" si="119"/>
        <v>1</v>
      </c>
      <c r="AD306" s="72">
        <f t="shared" si="120"/>
        <v>0</v>
      </c>
      <c r="AE306" s="109" t="str">
        <f t="shared" si="121"/>
        <v>673-674</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8">
        <f>MOD(SUM(E304:E307),12)</f>
        <v>0</v>
      </c>
    </row>
    <row r="307" spans="1:53" ht="15.75" thickBot="1" x14ac:dyDescent="0.3">
      <c r="A307" s="88"/>
      <c r="B307" s="66" t="s">
        <v>281</v>
      </c>
      <c r="C307" s="67" t="s">
        <v>502</v>
      </c>
      <c r="D307" s="102"/>
      <c r="E307" s="32">
        <v>72</v>
      </c>
      <c r="F307" s="32"/>
      <c r="G307" s="68" t="s">
        <v>277</v>
      </c>
      <c r="H307" s="69">
        <f t="shared" si="128"/>
        <v>601</v>
      </c>
      <c r="I307" s="70">
        <f t="shared" si="129"/>
        <v>672</v>
      </c>
      <c r="J307" s="73" t="str">
        <f t="shared" si="130"/>
        <v>--</v>
      </c>
      <c r="K307" s="32"/>
      <c r="L307" s="232"/>
      <c r="M307" s="278" t="s">
        <v>412</v>
      </c>
      <c r="N307" s="278"/>
      <c r="O307" s="278"/>
      <c r="P307" s="278"/>
      <c r="Q307" s="278"/>
      <c r="R307" s="278"/>
      <c r="S307" s="278"/>
      <c r="T307" s="278"/>
      <c r="U307" s="279"/>
      <c r="V307" s="103"/>
      <c r="W307" s="72"/>
      <c r="X307" s="72"/>
      <c r="Y307" s="72"/>
      <c r="Z307" s="45">
        <v>12</v>
      </c>
      <c r="AA307" s="76">
        <v>133</v>
      </c>
      <c r="AB307" s="76">
        <v>144</v>
      </c>
      <c r="AC307" s="72">
        <f t="shared" si="119"/>
        <v>1</v>
      </c>
      <c r="AD307" s="72">
        <f t="shared" si="120"/>
        <v>1</v>
      </c>
      <c r="AE307" s="109" t="str">
        <f t="shared" si="121"/>
        <v>601-672</v>
      </c>
      <c r="AF307" s="109" t="str">
        <f t="shared" si="122"/>
        <v>N</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8">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2"/>
      <c r="M308" s="278" t="s">
        <v>803</v>
      </c>
      <c r="N308" s="278"/>
      <c r="O308" s="278"/>
      <c r="P308" s="278"/>
      <c r="Q308" s="278"/>
      <c r="R308" s="278"/>
      <c r="S308" s="278"/>
      <c r="T308" s="278"/>
      <c r="U308" s="279"/>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8">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2"/>
      <c r="M309" s="278"/>
      <c r="N309" s="278"/>
      <c r="O309" s="278"/>
      <c r="P309" s="278"/>
      <c r="Q309" s="278"/>
      <c r="R309" s="278"/>
      <c r="S309" s="278"/>
      <c r="T309" s="278"/>
      <c r="U309" s="279"/>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8">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2"/>
      <c r="M310" s="278"/>
      <c r="N310" s="278"/>
      <c r="O310" s="278"/>
      <c r="P310" s="278"/>
      <c r="Q310" s="278"/>
      <c r="R310" s="278"/>
      <c r="S310" s="278"/>
      <c r="T310" s="278"/>
      <c r="U310" s="279"/>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8">
        <f>MOD(SUM(E304:E311),12)</f>
        <v>0</v>
      </c>
    </row>
    <row r="311" spans="1:53" ht="15.75" thickBot="1" x14ac:dyDescent="0.3">
      <c r="A311" s="88"/>
      <c r="B311" s="66" t="s">
        <v>285</v>
      </c>
      <c r="C311" s="67"/>
      <c r="D311" s="102" t="s">
        <v>751</v>
      </c>
      <c r="E311" s="32"/>
      <c r="F311" s="32"/>
      <c r="G311" s="68" t="s">
        <v>277</v>
      </c>
      <c r="H311" s="69">
        <f t="shared" si="128"/>
        <v>0</v>
      </c>
      <c r="I311" s="70">
        <f t="shared" si="129"/>
        <v>0</v>
      </c>
      <c r="J311" s="73" t="str">
        <f t="shared" si="130"/>
        <v>--</v>
      </c>
      <c r="K311" s="32"/>
      <c r="L311" s="232"/>
      <c r="M311" s="278"/>
      <c r="N311" s="278"/>
      <c r="O311" s="278"/>
      <c r="P311" s="278"/>
      <c r="Q311" s="278"/>
      <c r="R311" s="278"/>
      <c r="S311" s="278"/>
      <c r="T311" s="278"/>
      <c r="U311" s="279"/>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8">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2"/>
      <c r="M312" s="278"/>
      <c r="N312" s="278"/>
      <c r="O312" s="278"/>
      <c r="P312" s="278"/>
      <c r="Q312" s="278"/>
      <c r="R312" s="278"/>
      <c r="S312" s="278"/>
      <c r="T312" s="278"/>
      <c r="U312" s="279"/>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8">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2"/>
      <c r="M313" s="278"/>
      <c r="N313" s="278"/>
      <c r="O313" s="278"/>
      <c r="P313" s="278"/>
      <c r="Q313" s="278"/>
      <c r="R313" s="278"/>
      <c r="S313" s="278"/>
      <c r="T313" s="278"/>
      <c r="U313" s="279"/>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8">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2"/>
      <c r="M314" s="278"/>
      <c r="N314" s="278"/>
      <c r="O314" s="278"/>
      <c r="P314" s="278"/>
      <c r="Q314" s="278"/>
      <c r="R314" s="278"/>
      <c r="S314" s="278"/>
      <c r="T314" s="278"/>
      <c r="U314" s="279"/>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8">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2"/>
      <c r="M315" s="278"/>
      <c r="N315" s="278"/>
      <c r="O315" s="278"/>
      <c r="P315" s="278"/>
      <c r="Q315" s="278"/>
      <c r="R315" s="278"/>
      <c r="S315" s="278"/>
      <c r="T315" s="278"/>
      <c r="U315" s="279"/>
      <c r="V315" s="103"/>
      <c r="W315" s="84">
        <f>Y315+1</f>
        <v>85</v>
      </c>
      <c r="X315" s="84"/>
      <c r="Y315" s="78">
        <f>SUM(E304:E315)</f>
        <v>84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8">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2"/>
      <c r="M316" s="278"/>
      <c r="N316" s="278"/>
      <c r="O316" s="278"/>
      <c r="P316" s="278"/>
      <c r="Q316" s="278"/>
      <c r="R316" s="278"/>
      <c r="S316" s="278"/>
      <c r="T316" s="278"/>
      <c r="U316" s="279"/>
      <c r="V316" s="103"/>
      <c r="W316" s="84">
        <f>Y316+1</f>
        <v>85</v>
      </c>
      <c r="X316" s="84"/>
      <c r="Y316" s="78">
        <f>SUM(E304:E316)</f>
        <v>84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8">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2"/>
      <c r="M317" s="278"/>
      <c r="N317" s="278"/>
      <c r="O317" s="278"/>
      <c r="P317" s="278"/>
      <c r="Q317" s="278"/>
      <c r="R317" s="278"/>
      <c r="S317" s="278"/>
      <c r="T317" s="278"/>
      <c r="U317" s="279"/>
      <c r="V317" s="103"/>
      <c r="W317" s="84">
        <f>Y317+1</f>
        <v>85</v>
      </c>
      <c r="X317" s="84"/>
      <c r="Y317" s="78">
        <f>SUM(E304:E317)</f>
        <v>84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8">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2"/>
      <c r="M318" s="278"/>
      <c r="N318" s="278"/>
      <c r="O318" s="278"/>
      <c r="P318" s="278"/>
      <c r="Q318" s="278"/>
      <c r="R318" s="278"/>
      <c r="S318" s="278"/>
      <c r="T318" s="278"/>
      <c r="U318" s="279"/>
      <c r="V318" s="103"/>
      <c r="W318" s="84">
        <f>Y318+1</f>
        <v>85</v>
      </c>
      <c r="X318" s="84"/>
      <c r="Y318" s="78">
        <f>SUM(E304:E318)</f>
        <v>84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8">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2"/>
      <c r="M319" s="278"/>
      <c r="N319" s="278"/>
      <c r="O319" s="278"/>
      <c r="P319" s="278"/>
      <c r="Q319" s="278"/>
      <c r="R319" s="278"/>
      <c r="S319" s="278"/>
      <c r="T319" s="278"/>
      <c r="U319" s="279"/>
      <c r="V319" s="103"/>
      <c r="W319" s="84">
        <f t="shared" ref="W319:W327" si="135">Y319+1</f>
        <v>85</v>
      </c>
      <c r="X319" s="84"/>
      <c r="Y319" s="78">
        <f>SUM(E304:E319)</f>
        <v>84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8">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2"/>
      <c r="M320" s="278"/>
      <c r="N320" s="278"/>
      <c r="O320" s="278"/>
      <c r="P320" s="278"/>
      <c r="Q320" s="278"/>
      <c r="R320" s="278"/>
      <c r="S320" s="278"/>
      <c r="T320" s="278"/>
      <c r="U320" s="279"/>
      <c r="V320" s="103"/>
      <c r="W320" s="84">
        <f t="shared" si="135"/>
        <v>85</v>
      </c>
      <c r="X320" s="84"/>
      <c r="Y320" s="78">
        <f>SUM(E304:E320)</f>
        <v>84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8">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2"/>
      <c r="M321" s="278"/>
      <c r="N321" s="278"/>
      <c r="O321" s="278"/>
      <c r="P321" s="278"/>
      <c r="Q321" s="278"/>
      <c r="R321" s="278"/>
      <c r="S321" s="278"/>
      <c r="T321" s="278"/>
      <c r="U321" s="279"/>
      <c r="V321" s="103"/>
      <c r="W321" s="84">
        <f t="shared" si="135"/>
        <v>85</v>
      </c>
      <c r="X321" s="84"/>
      <c r="Y321" s="78">
        <f>SUM(E304:E321)</f>
        <v>84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8">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2"/>
      <c r="M322" s="278"/>
      <c r="N322" s="278"/>
      <c r="O322" s="278"/>
      <c r="P322" s="278"/>
      <c r="Q322" s="278"/>
      <c r="R322" s="278"/>
      <c r="S322" s="278"/>
      <c r="T322" s="278"/>
      <c r="U322" s="279"/>
      <c r="V322" s="103"/>
      <c r="W322" s="84">
        <f t="shared" si="135"/>
        <v>85</v>
      </c>
      <c r="X322" s="84"/>
      <c r="Y322" s="78">
        <f>SUM(E304:E322)</f>
        <v>84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8">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2"/>
      <c r="M323" s="278"/>
      <c r="N323" s="278"/>
      <c r="O323" s="278"/>
      <c r="P323" s="278"/>
      <c r="Q323" s="278"/>
      <c r="R323" s="278"/>
      <c r="S323" s="278"/>
      <c r="T323" s="278"/>
      <c r="U323" s="279"/>
      <c r="V323" s="103"/>
      <c r="W323" s="84">
        <f t="shared" si="135"/>
        <v>85</v>
      </c>
      <c r="X323" s="84"/>
      <c r="Y323" s="78">
        <f>SUM(E304:E323)</f>
        <v>84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8">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2"/>
      <c r="M324" s="278"/>
      <c r="N324" s="278"/>
      <c r="O324" s="278"/>
      <c r="P324" s="278"/>
      <c r="Q324" s="278"/>
      <c r="R324" s="278"/>
      <c r="S324" s="278"/>
      <c r="T324" s="278"/>
      <c r="U324" s="279"/>
      <c r="V324" s="103"/>
      <c r="W324" s="84">
        <f t="shared" si="135"/>
        <v>85</v>
      </c>
      <c r="X324" s="84"/>
      <c r="Y324" s="78">
        <f>SUM(E304:E324)</f>
        <v>84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8">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2"/>
      <c r="M325" s="278"/>
      <c r="N325" s="278"/>
      <c r="O325" s="278"/>
      <c r="P325" s="278"/>
      <c r="Q325" s="278"/>
      <c r="R325" s="278"/>
      <c r="S325" s="278"/>
      <c r="T325" s="278"/>
      <c r="U325" s="279"/>
      <c r="V325" s="103"/>
      <c r="W325" s="84">
        <f t="shared" si="135"/>
        <v>85</v>
      </c>
      <c r="X325" s="84"/>
      <c r="Y325" s="78">
        <f>SUM(E304:E325)</f>
        <v>84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8">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2"/>
      <c r="M326" s="278"/>
      <c r="N326" s="278"/>
      <c r="O326" s="278"/>
      <c r="P326" s="278"/>
      <c r="Q326" s="278"/>
      <c r="R326" s="278"/>
      <c r="S326" s="278"/>
      <c r="T326" s="278"/>
      <c r="U326" s="279"/>
      <c r="V326" s="103"/>
      <c r="W326" s="84">
        <f t="shared" si="135"/>
        <v>85</v>
      </c>
      <c r="X326" s="84"/>
      <c r="Y326" s="78">
        <f>SUM(E304:E326)</f>
        <v>84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8">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2"/>
      <c r="M327" s="278"/>
      <c r="N327" s="278"/>
      <c r="O327" s="278"/>
      <c r="P327" s="278"/>
      <c r="Q327" s="278"/>
      <c r="R327" s="278"/>
      <c r="S327" s="278"/>
      <c r="T327" s="278"/>
      <c r="U327" s="279"/>
      <c r="V327" s="103"/>
      <c r="W327" s="84">
        <f t="shared" si="135"/>
        <v>85</v>
      </c>
      <c r="X327" s="84"/>
      <c r="Y327" s="78">
        <f>SUM(E304:E327)</f>
        <v>84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8">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3"/>
      <c r="M328" s="278"/>
      <c r="N328" s="278"/>
      <c r="O328" s="278"/>
      <c r="P328" s="278"/>
      <c r="Q328" s="278"/>
      <c r="R328" s="278"/>
      <c r="S328" s="278"/>
      <c r="T328" s="278"/>
      <c r="U328" s="279"/>
      <c r="V328" s="103"/>
      <c r="W328" s="72"/>
      <c r="X328" s="72"/>
      <c r="Y328" s="78">
        <f>SUM(E304:E328)</f>
        <v>84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7"/>
    </row>
    <row r="329" spans="1:53" ht="16.5" thickBot="1" x14ac:dyDescent="0.3">
      <c r="A329" s="88"/>
      <c r="B329" s="319" t="s">
        <v>319</v>
      </c>
      <c r="C329" s="320"/>
      <c r="D329" s="79"/>
      <c r="E329" s="80"/>
      <c r="F329" s="80"/>
      <c r="G329" s="81"/>
      <c r="H329" s="191"/>
      <c r="I329" s="191"/>
      <c r="J329" s="191"/>
      <c r="K329" s="82"/>
      <c r="L329" s="319" t="s">
        <v>306</v>
      </c>
      <c r="M329" s="330"/>
      <c r="N329" s="330"/>
      <c r="O329" s="330"/>
      <c r="P329" s="330"/>
      <c r="Q329" s="330"/>
      <c r="R329" s="330"/>
      <c r="S329" s="330"/>
      <c r="T329" s="330"/>
      <c r="U329" s="320"/>
      <c r="V329" s="104"/>
      <c r="W329" s="72"/>
      <c r="X329" s="72"/>
      <c r="Y329" s="72"/>
      <c r="Z329" s="72"/>
      <c r="AA329" s="72" t="str">
        <f t="shared" si="134"/>
        <v/>
      </c>
      <c r="AB329" s="72"/>
      <c r="AC329" s="72">
        <f>SUM(AC304:AC328)</f>
        <v>25</v>
      </c>
      <c r="AD329" s="72">
        <f>SUM(AD304:AD328)</f>
        <v>22</v>
      </c>
      <c r="AM329" s="109">
        <f>SUM(AM304:AM328)</f>
        <v>0</v>
      </c>
      <c r="AN329" s="109">
        <f>SUM(AN304:AN328)</f>
        <v>0</v>
      </c>
      <c r="AO329" s="109">
        <f>((COUNTIF(AO304:AO328,"Y")/3)*2)</f>
        <v>0</v>
      </c>
      <c r="AP329" s="109">
        <f>(COUNTIF(AO304:AO328,"Y")/3)</f>
        <v>0</v>
      </c>
      <c r="AQ329" s="109">
        <f>(COUNTIF(AQ304:AQ328,"Y")/2)</f>
        <v>0</v>
      </c>
      <c r="AR329" s="109">
        <f>(COUNTIF(AQ304:AQ328,"Y")/2)</f>
        <v>0</v>
      </c>
      <c r="BA329" s="227"/>
    </row>
    <row r="330" spans="1:53" ht="16.5" thickBot="1" x14ac:dyDescent="0.3">
      <c r="A330" s="88"/>
      <c r="B330" s="319" t="s">
        <v>307</v>
      </c>
      <c r="C330" s="320"/>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5"/>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5" t="s">
        <v>210</v>
      </c>
      <c r="N333" s="195" t="s">
        <v>211</v>
      </c>
      <c r="O333" s="195" t="s">
        <v>212</v>
      </c>
      <c r="P333" s="195" t="s">
        <v>213</v>
      </c>
      <c r="Q333" s="195" t="s">
        <v>214</v>
      </c>
      <c r="R333" s="195" t="s">
        <v>215</v>
      </c>
      <c r="S333" s="195" t="s">
        <v>216</v>
      </c>
      <c r="T333" s="195" t="s">
        <v>217</v>
      </c>
      <c r="U333" s="195" t="s">
        <v>218</v>
      </c>
      <c r="V333" s="195" t="s">
        <v>219</v>
      </c>
      <c r="W333" s="113" t="s">
        <v>220</v>
      </c>
      <c r="X333" s="195" t="s">
        <v>221</v>
      </c>
      <c r="Y333" s="25"/>
      <c r="Z333" s="25"/>
      <c r="AA333" s="25"/>
      <c r="AB333" s="25"/>
      <c r="AC333" s="25"/>
      <c r="AD333" s="25"/>
      <c r="BA333" s="225"/>
    </row>
    <row r="334" spans="1:53" ht="16.5" thickTop="1" thickBot="1" x14ac:dyDescent="0.3">
      <c r="A334" s="88"/>
      <c r="B334" s="312" t="s">
        <v>222</v>
      </c>
      <c r="C334" s="313"/>
      <c r="D334" s="314" t="s">
        <v>223</v>
      </c>
      <c r="E334" s="305"/>
      <c r="F334" s="88"/>
      <c r="G334" s="315" t="s">
        <v>224</v>
      </c>
      <c r="H334" s="316"/>
      <c r="I334" s="28">
        <f>SUM(E345:E369)</f>
        <v>72</v>
      </c>
      <c r="J334" s="317" t="s">
        <v>225</v>
      </c>
      <c r="K334" s="318"/>
      <c r="L334" s="305"/>
      <c r="M334" s="195">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5" t="s">
        <v>226</v>
      </c>
      <c r="AA334" s="296"/>
      <c r="AB334" s="297"/>
      <c r="AC334" s="25"/>
      <c r="AD334" s="25"/>
      <c r="AH334" s="109">
        <v>2</v>
      </c>
      <c r="AI334" s="109" t="str">
        <f>IF($E335="SS",COUNTIFS($C345:$C369,"FST",$E345:$E369,"2"),"0")</f>
        <v>0</v>
      </c>
      <c r="AJ334" s="109">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5"/>
    </row>
    <row r="335" spans="1:53" ht="16.5" customHeight="1" thickTop="1" thickBot="1" x14ac:dyDescent="0.3">
      <c r="A335" s="88"/>
      <c r="B335" s="29" t="s">
        <v>228</v>
      </c>
      <c r="C335" s="30">
        <v>12</v>
      </c>
      <c r="D335" s="31" t="s">
        <v>229</v>
      </c>
      <c r="E335" s="66" t="str">
        <f>TEXT(IF('Cable Calculator'!AR7="","",'Cable Calculator'!AR7),)</f>
        <v>RPX</v>
      </c>
      <c r="F335" s="88"/>
      <c r="G335" s="304" t="s">
        <v>230</v>
      </c>
      <c r="H335" s="305"/>
      <c r="I335" s="33">
        <f>E336-I334</f>
        <v>72</v>
      </c>
      <c r="J335" s="289" t="s">
        <v>231</v>
      </c>
      <c r="K335" s="290"/>
      <c r="L335" s="34">
        <f>I339</f>
        <v>709</v>
      </c>
      <c r="M335" s="195">
        <v>4</v>
      </c>
      <c r="N335" s="35">
        <f>SUM(AI335,AI346)</f>
        <v>0</v>
      </c>
      <c r="O335" s="35">
        <v>0</v>
      </c>
      <c r="P335" s="35">
        <f>SUM(AJ335,AJ346)</f>
        <v>3</v>
      </c>
      <c r="Q335" s="35">
        <v>0</v>
      </c>
      <c r="R335" s="35">
        <f>COUNTIFS($E345:$E369,"4",$F345:$F369,"Pole",$C345:$C369,"FST")</f>
        <v>3</v>
      </c>
      <c r="S335" s="35">
        <f>SUM(AL335,AK346)</f>
        <v>0</v>
      </c>
      <c r="T335" s="35">
        <v>0</v>
      </c>
      <c r="U335" s="35">
        <f>SUM(AK335,AL346)</f>
        <v>0</v>
      </c>
      <c r="V335" s="35">
        <v>0</v>
      </c>
      <c r="W335" s="34">
        <f>COUNTIFS($E345:$E369,"4",$F345:$F369,"HH",$C345:$C369,"FST")</f>
        <v>0</v>
      </c>
      <c r="X335" s="35">
        <f>COUNTIFS($E345:$E369,"4",$F345:$F369,"Ped",$C345:$C369,"FST")</f>
        <v>0</v>
      </c>
      <c r="Y335" s="25"/>
      <c r="Z335" s="298" t="s">
        <v>232</v>
      </c>
      <c r="AA335" s="300" t="s">
        <v>233</v>
      </c>
      <c r="AB335" s="301"/>
      <c r="AC335" s="25"/>
      <c r="AD335" s="25"/>
      <c r="AH335" s="109">
        <v>4</v>
      </c>
      <c r="AI335" s="109" t="str">
        <f>IF($E335="SS",COUNTIFS($C345:$C369,"FST",$E345:$E369,"4"),"0")</f>
        <v>0</v>
      </c>
      <c r="AJ335" s="109">
        <f>IF($E335="RPX",COUNTIFS($C345:$C369,"FST",$E345:$E369,"4"),"0")</f>
        <v>3</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6"/>
    </row>
    <row r="336" spans="1:53" ht="16.5" thickTop="1" thickBot="1" x14ac:dyDescent="0.3">
      <c r="A336" s="88"/>
      <c r="B336" s="36" t="s">
        <v>235</v>
      </c>
      <c r="C336" s="37">
        <v>0</v>
      </c>
      <c r="D336" s="38" t="s">
        <v>236</v>
      </c>
      <c r="E336" s="32">
        <v>144</v>
      </c>
      <c r="F336" s="88"/>
      <c r="G336" s="291" t="s">
        <v>237</v>
      </c>
      <c r="H336" s="292"/>
      <c r="I336" s="35">
        <f>IF(E336=0,0,12-(MOD(I334,12)))</f>
        <v>12</v>
      </c>
      <c r="J336" s="289" t="s">
        <v>238</v>
      </c>
      <c r="K336" s="290"/>
      <c r="L336" s="39">
        <f>I340-I334</f>
        <v>720</v>
      </c>
      <c r="M336" s="195">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299"/>
      <c r="AA336" s="302"/>
      <c r="AB336" s="303"/>
      <c r="AC336" s="25"/>
      <c r="AD336" s="25"/>
      <c r="AH336" s="109">
        <v>6</v>
      </c>
      <c r="AI336" s="109" t="str">
        <f>IF($E335="SS",COUNTIFS($C345:$C369,"FST",$E345:$E369,"6"),"0")</f>
        <v>0</v>
      </c>
      <c r="AJ336" s="109">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6"/>
    </row>
    <row r="337" spans="1:53" ht="16.5" customHeight="1" thickTop="1" thickBot="1" x14ac:dyDescent="0.3">
      <c r="A337" s="88"/>
      <c r="B337" s="40" t="s">
        <v>240</v>
      </c>
      <c r="C337" s="30">
        <v>0</v>
      </c>
      <c r="D337" s="41" t="s">
        <v>241</v>
      </c>
      <c r="E337" s="42">
        <v>60</v>
      </c>
      <c r="F337" s="88"/>
      <c r="G337" s="321" t="s">
        <v>242</v>
      </c>
      <c r="H337" s="43" t="s">
        <v>243</v>
      </c>
      <c r="I337" s="35">
        <f>IF(E337&lt;&gt;0,1,0)</f>
        <v>1</v>
      </c>
      <c r="J337" s="291" t="s">
        <v>244</v>
      </c>
      <c r="K337" s="292"/>
      <c r="L337" s="44">
        <f>'Cable Calculator'!AR3</f>
        <v>2423</v>
      </c>
      <c r="M337" s="195">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f>IF($E335="RPX",COUNTIFS($C345:$C369,"FST",$E345:$E369,"8"),"0")</f>
        <v>0</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6"/>
    </row>
    <row r="338" spans="1:53" ht="16.5" thickTop="1" thickBot="1" x14ac:dyDescent="0.3">
      <c r="A338" s="88"/>
      <c r="B338" s="29" t="s">
        <v>246</v>
      </c>
      <c r="C338" s="37">
        <v>0</v>
      </c>
      <c r="D338" s="41" t="s">
        <v>247</v>
      </c>
      <c r="E338" s="42">
        <v>709</v>
      </c>
      <c r="F338" s="88"/>
      <c r="G338" s="322"/>
      <c r="H338" s="47" t="s">
        <v>248</v>
      </c>
      <c r="I338" s="35">
        <f>IF(E337&lt;&gt;0,E337,0)</f>
        <v>60</v>
      </c>
      <c r="J338" s="193"/>
      <c r="K338" s="194"/>
      <c r="L338" s="48"/>
      <c r="M338" s="195">
        <v>12</v>
      </c>
      <c r="N338" s="35" t="str">
        <f>IF($E335="SS",SUM(AI338,AJ349,AM370,AO370,AQ370),"0")</f>
        <v>0</v>
      </c>
      <c r="O338" s="35" t="str">
        <f>IF($E335="SS",SUM(AN370,AP370,AR370),"0")</f>
        <v>0</v>
      </c>
      <c r="P338" s="35">
        <f>IF($E335="RPX",SUM(AJ338,AJ349,AM370,AO370,AQ370),"0")</f>
        <v>0</v>
      </c>
      <c r="Q338" s="35">
        <f>IF($E335="RPX",SUM(AN370,AP370,AR370),"0")</f>
        <v>0</v>
      </c>
      <c r="R338" s="35">
        <f>COUNTIFS($E345:$E369,"12",$F345:$F369,"Pole",$C345:$C369,"FST")</f>
        <v>0</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f>IF($E335="RPX",COUNTIFS($C345:$C369,"FST",$E345:$E369,"12"),"0")</f>
        <v>0</v>
      </c>
      <c r="AK338" s="109" t="str">
        <f>IF($E335="EUC",COUNTIFS($C345:$C369,"FST",$E345:$E369,"12"),"0")</f>
        <v>0</v>
      </c>
      <c r="AL338" s="109" t="str">
        <f>IF($E335="RPX-T",COUNTIFS($C345:$C369,"FST",$E345:$E369,"12"),"0")</f>
        <v>0</v>
      </c>
      <c r="BA338" s="226"/>
    </row>
    <row r="339" spans="1:53" ht="16.5" customHeight="1" thickTop="1" thickBot="1" x14ac:dyDescent="0.3">
      <c r="A339" s="88"/>
      <c r="B339" s="36" t="s">
        <v>249</v>
      </c>
      <c r="C339" s="30">
        <v>0</v>
      </c>
      <c r="D339" s="49" t="s">
        <v>250</v>
      </c>
      <c r="E339" s="50">
        <f>E336/12</f>
        <v>12</v>
      </c>
      <c r="F339" s="88"/>
      <c r="G339" s="321" t="s">
        <v>251</v>
      </c>
      <c r="H339" s="51" t="s">
        <v>252</v>
      </c>
      <c r="I339" s="112">
        <f>E338</f>
        <v>709</v>
      </c>
      <c r="J339" s="323" t="s">
        <v>253</v>
      </c>
      <c r="K339" s="324"/>
      <c r="L339" s="325"/>
      <c r="M339" s="52" t="s">
        <v>254</v>
      </c>
      <c r="N339" s="106"/>
      <c r="O339" s="106"/>
      <c r="P339" s="191"/>
      <c r="Q339" s="191"/>
      <c r="R339" s="191"/>
      <c r="S339" s="191"/>
      <c r="T339" s="191"/>
      <c r="U339" s="191"/>
      <c r="V339" s="191"/>
      <c r="W339" s="53">
        <f>SUM(P339:U339)</f>
        <v>0</v>
      </c>
      <c r="X339" s="54"/>
      <c r="Y339" s="25"/>
      <c r="Z339" s="45">
        <v>3</v>
      </c>
      <c r="AA339" s="46">
        <v>25</v>
      </c>
      <c r="AB339" s="46">
        <v>36</v>
      </c>
      <c r="AC339" s="25"/>
      <c r="AD339" s="25"/>
      <c r="BA339" s="226"/>
    </row>
    <row r="340" spans="1:53" ht="16.5" thickTop="1" thickBot="1" x14ac:dyDescent="0.3">
      <c r="A340" s="88"/>
      <c r="B340" s="36" t="s">
        <v>255</v>
      </c>
      <c r="C340" s="30">
        <v>0</v>
      </c>
      <c r="D340" s="31" t="s">
        <v>256</v>
      </c>
      <c r="E340" s="101" t="str">
        <f>IF('Cable Calculator'!AR5="","",'Cable Calculator'!AR5)</f>
        <v>N</v>
      </c>
      <c r="F340" s="88"/>
      <c r="G340" s="322"/>
      <c r="H340" s="47" t="s">
        <v>257</v>
      </c>
      <c r="I340" s="35">
        <f>IF(E338="","0",IF(AND(E335="EUC",E336=432), I339+(203-E337),IF(E338=0,0,(E338+(E336-E337)-1))))</f>
        <v>792</v>
      </c>
      <c r="J340" s="286" t="str">
        <f>IFERROR(IF(OR(E335="EUC",E335="SS"),"---",IF(OR(P334,S334),"NO 2F Tethers for RPX!",IF(OR(P336,S336),"NO 6F Tethers for RPX!","---"))),"---")</f>
        <v>---</v>
      </c>
      <c r="K340" s="287"/>
      <c r="L340" s="288"/>
      <c r="M340" s="286" t="str">
        <f>IF(E337&gt;60,"Dead Count &gt;60: Consider Downsize","---")</f>
        <v>---</v>
      </c>
      <c r="N340" s="287"/>
      <c r="O340" s="287"/>
      <c r="P340" s="287"/>
      <c r="Q340" s="287"/>
      <c r="R340" s="287"/>
      <c r="S340" s="287"/>
      <c r="T340" s="287"/>
      <c r="U340" s="288"/>
      <c r="V340" s="100"/>
      <c r="W340" s="54">
        <f>SUM(P340:U340)</f>
        <v>0</v>
      </c>
      <c r="X340" s="54"/>
      <c r="Y340" s="25"/>
      <c r="Z340" s="45">
        <v>4</v>
      </c>
      <c r="AA340" s="46">
        <v>37</v>
      </c>
      <c r="AB340" s="46">
        <v>48</v>
      </c>
      <c r="AC340" s="25"/>
      <c r="AD340" s="25"/>
      <c r="BA340" s="226"/>
    </row>
    <row r="341" spans="1:53" ht="16.5" thickTop="1" thickBot="1" x14ac:dyDescent="0.3">
      <c r="A341" s="88"/>
      <c r="B341" s="55" t="s">
        <v>258</v>
      </c>
      <c r="C341" s="56">
        <f>SUM(C335:C340)+I334</f>
        <v>84</v>
      </c>
      <c r="D341" s="31" t="s">
        <v>259</v>
      </c>
      <c r="E341" s="101" t="str">
        <f>IF(AS335="Y","DBL",IF(AS336="Y","TRPL",IF(AS337="Y","QUAD","")))</f>
        <v/>
      </c>
      <c r="F341" s="88"/>
      <c r="G341" s="191"/>
      <c r="H341" s="57"/>
      <c r="I341" s="191"/>
      <c r="J341" s="286"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7"/>
      <c r="L341" s="288"/>
      <c r="M341" s="286" t="str">
        <f>IF(AND(OR(E335="SS",E335="RPX",E335="EUC",E335="RPX-T"),(OR(C345="",C345="Field SPL"))),"Cannot have FlexNap cables without tethers","---")</f>
        <v>---</v>
      </c>
      <c r="N341" s="287"/>
      <c r="O341" s="287"/>
      <c r="P341" s="287"/>
      <c r="Q341" s="287"/>
      <c r="R341" s="287"/>
      <c r="S341" s="287"/>
      <c r="T341" s="287"/>
      <c r="U341" s="288"/>
      <c r="V341" s="25"/>
      <c r="W341" s="58"/>
      <c r="X341" s="58"/>
      <c r="Y341" s="25"/>
      <c r="Z341" s="45">
        <v>5</v>
      </c>
      <c r="AA341" s="46">
        <v>49</v>
      </c>
      <c r="AB341" s="46">
        <v>60</v>
      </c>
      <c r="AC341" s="25"/>
      <c r="AD341" s="25"/>
      <c r="BA341" s="226"/>
    </row>
    <row r="342" spans="1:53" ht="16.5" thickTop="1" thickBot="1" x14ac:dyDescent="0.3">
      <c r="A342" s="88"/>
      <c r="B342" s="59"/>
      <c r="C342" s="60"/>
      <c r="D342" s="61"/>
      <c r="E342" s="62"/>
      <c r="F342" s="88"/>
      <c r="G342" s="63"/>
      <c r="H342" s="64"/>
      <c r="I342" s="63"/>
      <c r="J342" s="286" t="str">
        <f>IF(AND(OR(E335="RPX", E335="RPX-T", E335="SS"),E336=216),"NO 216 For RPX, RPX-T, OR SS CABLE","---")</f>
        <v>---</v>
      </c>
      <c r="K342" s="287"/>
      <c r="L342" s="288"/>
      <c r="M342" s="286" t="str" cm="1">
        <f t="array" ref="M342">IF(AND(E335="",OR(C345:C369="FST",C345:C369="REV T",C345:C369="DBL REV",C345:C369="TPL REV", C345:C369="QD REV")),"Non-FlexNap cables cannot have tethers","---")</f>
        <v>---</v>
      </c>
      <c r="N342" s="287"/>
      <c r="O342" s="287"/>
      <c r="P342" s="287"/>
      <c r="Q342" s="287"/>
      <c r="R342" s="287"/>
      <c r="S342" s="287"/>
      <c r="T342" s="287"/>
      <c r="U342" s="288"/>
      <c r="V342" s="25"/>
      <c r="W342" s="58"/>
      <c r="X342" s="58"/>
      <c r="Y342" s="25"/>
      <c r="Z342" s="45">
        <v>6</v>
      </c>
      <c r="AA342" s="65">
        <v>61</v>
      </c>
      <c r="AB342" s="65">
        <v>72</v>
      </c>
      <c r="AC342" s="25"/>
      <c r="AD342" s="25"/>
      <c r="BA342" s="225"/>
    </row>
    <row r="343" spans="1:53" ht="15.75" customHeight="1" thickBot="1" x14ac:dyDescent="0.3">
      <c r="A343" s="88"/>
      <c r="B343" s="321" t="s">
        <v>260</v>
      </c>
      <c r="C343" s="293" t="s">
        <v>261</v>
      </c>
      <c r="D343" s="293" t="s">
        <v>262</v>
      </c>
      <c r="E343" s="306" t="s">
        <v>263</v>
      </c>
      <c r="F343" s="293" t="s">
        <v>264</v>
      </c>
      <c r="G343" s="308" t="s">
        <v>265</v>
      </c>
      <c r="H343" s="308" t="s">
        <v>266</v>
      </c>
      <c r="I343" s="308" t="s">
        <v>267</v>
      </c>
      <c r="J343" s="310" t="s">
        <v>268</v>
      </c>
      <c r="K343" s="293" t="s">
        <v>269</v>
      </c>
      <c r="L343" s="280" t="s">
        <v>270</v>
      </c>
      <c r="M343" s="282" t="s">
        <v>271</v>
      </c>
      <c r="N343" s="282"/>
      <c r="O343" s="282"/>
      <c r="P343" s="282"/>
      <c r="Q343" s="282"/>
      <c r="R343" s="282"/>
      <c r="S343" s="282"/>
      <c r="T343" s="282"/>
      <c r="U343" s="283"/>
      <c r="V343" s="107"/>
      <c r="W343" s="72"/>
      <c r="X343" s="72"/>
      <c r="Y343" s="72"/>
      <c r="Z343" s="45">
        <v>7</v>
      </c>
      <c r="AA343" s="65">
        <v>73</v>
      </c>
      <c r="AB343" s="65">
        <v>84</v>
      </c>
      <c r="AC343" s="25"/>
      <c r="AD343" s="25"/>
      <c r="BA343" s="227"/>
    </row>
    <row r="344" spans="1:53" ht="15.75" thickBot="1" x14ac:dyDescent="0.3">
      <c r="A344" s="88"/>
      <c r="B344" s="322"/>
      <c r="C344" s="294"/>
      <c r="D344" s="294"/>
      <c r="E344" s="307"/>
      <c r="F344" s="294"/>
      <c r="G344" s="309"/>
      <c r="H344" s="309"/>
      <c r="I344" s="309"/>
      <c r="J344" s="311"/>
      <c r="K344" s="294"/>
      <c r="L344" s="281"/>
      <c r="M344" s="284"/>
      <c r="N344" s="284"/>
      <c r="O344" s="284"/>
      <c r="P344" s="284"/>
      <c r="Q344" s="284"/>
      <c r="R344" s="284"/>
      <c r="S344" s="284"/>
      <c r="T344" s="284"/>
      <c r="U344" s="285"/>
      <c r="V344" s="107"/>
      <c r="W344" s="72"/>
      <c r="X344" s="72"/>
      <c r="Y344" s="72"/>
      <c r="Z344" s="45">
        <v>8</v>
      </c>
      <c r="AA344" s="46">
        <v>85</v>
      </c>
      <c r="AB344" s="46">
        <v>96</v>
      </c>
      <c r="AC344" s="25"/>
      <c r="AD344" s="25"/>
      <c r="AI344" s="109" t="s">
        <v>272</v>
      </c>
      <c r="AJ344" s="109" t="s">
        <v>273</v>
      </c>
      <c r="AK344" s="109" t="s">
        <v>274</v>
      </c>
      <c r="AL344" s="109" t="s">
        <v>275</v>
      </c>
      <c r="BA344" s="227"/>
    </row>
    <row r="345" spans="1:53" ht="15.75" thickBot="1" x14ac:dyDescent="0.3">
      <c r="A345" s="88"/>
      <c r="B345" s="66" t="s">
        <v>276</v>
      </c>
      <c r="C345" s="67" t="s">
        <v>484</v>
      </c>
      <c r="D345" s="102" t="s">
        <v>749</v>
      </c>
      <c r="E345" s="32">
        <v>4</v>
      </c>
      <c r="F345" s="32" t="s">
        <v>483</v>
      </c>
      <c r="G345" s="68" t="s">
        <v>277</v>
      </c>
      <c r="H345" s="69">
        <f>IF(I345=0,0,I345-(E345-1))</f>
        <v>789</v>
      </c>
      <c r="I345" s="70">
        <f>IF(E345=0,0,I340)</f>
        <v>792</v>
      </c>
      <c r="J345" s="71" t="s">
        <v>278</v>
      </c>
      <c r="K345" s="32"/>
      <c r="L345" s="232"/>
      <c r="M345" s="278"/>
      <c r="N345" s="278"/>
      <c r="O345" s="278"/>
      <c r="P345" s="278"/>
      <c r="Q345" s="278"/>
      <c r="R345" s="278"/>
      <c r="S345" s="278"/>
      <c r="T345" s="278"/>
      <c r="U345" s="279"/>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789-792</v>
      </c>
      <c r="AF345" s="109" t="str">
        <f t="shared" ref="AF345:AF369" si="139">IF(C345="Field SPL","N","Y")</f>
        <v>Y</v>
      </c>
      <c r="AG345" s="109" t="str">
        <f t="shared" ref="AG345:AG369" si="140">IF(OR(E$335="RPX",E$335="SS"),"A","B")</f>
        <v>A</v>
      </c>
      <c r="AH345" s="109">
        <v>2</v>
      </c>
      <c r="AI345" s="109" t="str">
        <f>IF(E335="SS",COUNTIFS(C345:C369,"TCF",E345:E369,"2"),"")</f>
        <v/>
      </c>
      <c r="AJ345" s="109">
        <f>IF(E335="RPX",COUNTIFS(C345:C369,"TCF",E345:E369,"2"),"")</f>
        <v>0</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8">
        <f>MOD(E345,12)</f>
        <v>4</v>
      </c>
    </row>
    <row r="346" spans="1:53" ht="15.75" thickBot="1" x14ac:dyDescent="0.3">
      <c r="A346" s="88"/>
      <c r="B346" s="66" t="s">
        <v>279</v>
      </c>
      <c r="C346" s="67" t="s">
        <v>484</v>
      </c>
      <c r="D346" s="102" t="s">
        <v>785</v>
      </c>
      <c r="E346" s="32">
        <v>4</v>
      </c>
      <c r="F346" s="32" t="s">
        <v>483</v>
      </c>
      <c r="G346" s="68" t="s">
        <v>277</v>
      </c>
      <c r="H346" s="69">
        <f t="shared" ref="H346:H369" si="145">IF(E346=0,0,I346-(E346-1))</f>
        <v>785</v>
      </c>
      <c r="I346" s="70">
        <f t="shared" ref="I346:I369" si="146">IF(E346=0,0,H345-1)</f>
        <v>788</v>
      </c>
      <c r="J346" s="73" t="str">
        <f>IF(C346="","--",IF(AND(C346&lt;&gt;"FST",C346&lt;&gt;"TCF",BA345&lt;&gt;0),BA345,"--"))</f>
        <v>--</v>
      </c>
      <c r="K346" s="32"/>
      <c r="L346" s="232"/>
      <c r="M346" s="278"/>
      <c r="N346" s="278"/>
      <c r="O346" s="278"/>
      <c r="P346" s="278"/>
      <c r="Q346" s="278"/>
      <c r="R346" s="278"/>
      <c r="S346" s="278"/>
      <c r="T346" s="278"/>
      <c r="U346" s="279"/>
      <c r="V346" s="103"/>
      <c r="W346" s="72"/>
      <c r="X346" s="72"/>
      <c r="Y346" s="72"/>
      <c r="Z346" s="45">
        <v>10</v>
      </c>
      <c r="AA346" s="46">
        <v>109</v>
      </c>
      <c r="AB346" s="46">
        <v>120</v>
      </c>
      <c r="AC346" s="72">
        <f t="shared" si="136"/>
        <v>1</v>
      </c>
      <c r="AD346" s="72">
        <f t="shared" si="137"/>
        <v>0</v>
      </c>
      <c r="AE346" s="109" t="str">
        <f t="shared" si="138"/>
        <v>785-788</v>
      </c>
      <c r="AF346" s="109" t="str">
        <f t="shared" si="139"/>
        <v>Y</v>
      </c>
      <c r="AG346" s="109" t="str">
        <f t="shared" si="140"/>
        <v>A</v>
      </c>
      <c r="AH346" s="109">
        <v>4</v>
      </c>
      <c r="AI346" s="109" t="str">
        <f>IF(E335="SS",COUNTIFS(C345:C369,"TCF",E345:E369,"4"),"")</f>
        <v/>
      </c>
      <c r="AJ346" s="109">
        <f>IF(E335="RPX",COUNTIFS(C345:C369,"TCF",E345:E369,"4"),"")</f>
        <v>0</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8">
        <f>MOD(SUM(E345:E346),12)</f>
        <v>8</v>
      </c>
    </row>
    <row r="347" spans="1:53" ht="15.75" thickBot="1" x14ac:dyDescent="0.3">
      <c r="A347" s="88"/>
      <c r="B347" s="74" t="s">
        <v>280</v>
      </c>
      <c r="C347" s="67" t="s">
        <v>484</v>
      </c>
      <c r="D347" s="102" t="s">
        <v>800</v>
      </c>
      <c r="E347" s="32">
        <v>4</v>
      </c>
      <c r="F347" s="32" t="s">
        <v>483</v>
      </c>
      <c r="G347" s="75" t="s">
        <v>277</v>
      </c>
      <c r="H347" s="69">
        <f t="shared" si="145"/>
        <v>781</v>
      </c>
      <c r="I347" s="70">
        <f t="shared" si="146"/>
        <v>784</v>
      </c>
      <c r="J347" s="73" t="str">
        <f t="shared" ref="J347:J369" si="147">IF(C347="","--",IF(AND(C347&lt;&gt;"FST",C347&lt;&gt;"TCF",BA346&lt;&gt;0),BA346,"--"))</f>
        <v>--</v>
      </c>
      <c r="K347" s="32"/>
      <c r="L347" s="232"/>
      <c r="M347" s="278"/>
      <c r="N347" s="278"/>
      <c r="O347" s="278"/>
      <c r="P347" s="278"/>
      <c r="Q347" s="278"/>
      <c r="R347" s="278"/>
      <c r="S347" s="278"/>
      <c r="T347" s="278"/>
      <c r="U347" s="279"/>
      <c r="V347" s="103"/>
      <c r="W347" s="72"/>
      <c r="X347" s="72"/>
      <c r="Y347" s="72"/>
      <c r="Z347" s="45">
        <v>11</v>
      </c>
      <c r="AA347" s="46">
        <v>121</v>
      </c>
      <c r="AB347" s="46">
        <v>132</v>
      </c>
      <c r="AC347" s="72">
        <f t="shared" si="136"/>
        <v>1</v>
      </c>
      <c r="AD347" s="72">
        <f t="shared" si="137"/>
        <v>0</v>
      </c>
      <c r="AE347" s="109" t="str">
        <f t="shared" si="138"/>
        <v>781-784</v>
      </c>
      <c r="AF347" s="109" t="str">
        <f t="shared" si="139"/>
        <v>Y</v>
      </c>
      <c r="AG347" s="109" t="str">
        <f t="shared" si="140"/>
        <v>A</v>
      </c>
      <c r="AH347" s="109">
        <v>6</v>
      </c>
      <c r="AI347" s="109" t="str">
        <f>IF(E335="SS",COUNTIFS(C345:C369,"TCF",E345:E369,"6"),"")</f>
        <v/>
      </c>
      <c r="AJ347" s="109">
        <f>IF(E335="RPX",COUNTIFS(C345:C369,"TCF",E345:E369,"6"),"")</f>
        <v>0</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8">
        <f>MOD(SUM(E345:E348),12)</f>
        <v>0</v>
      </c>
    </row>
    <row r="348" spans="1:53" ht="15.75" thickBot="1" x14ac:dyDescent="0.3">
      <c r="A348" s="88"/>
      <c r="B348" s="66" t="s">
        <v>281</v>
      </c>
      <c r="C348" s="67" t="s">
        <v>502</v>
      </c>
      <c r="D348" s="102"/>
      <c r="E348" s="32">
        <v>60</v>
      </c>
      <c r="F348" s="32"/>
      <c r="G348" s="68" t="s">
        <v>277</v>
      </c>
      <c r="H348" s="69">
        <f t="shared" si="145"/>
        <v>721</v>
      </c>
      <c r="I348" s="70">
        <f t="shared" si="146"/>
        <v>780</v>
      </c>
      <c r="J348" s="73" t="str">
        <f t="shared" si="147"/>
        <v>--</v>
      </c>
      <c r="K348" s="32"/>
      <c r="L348" s="232"/>
      <c r="M348" s="278" t="s">
        <v>414</v>
      </c>
      <c r="N348" s="278"/>
      <c r="O348" s="278"/>
      <c r="P348" s="278"/>
      <c r="Q348" s="278"/>
      <c r="R348" s="278"/>
      <c r="S348" s="278"/>
      <c r="T348" s="278"/>
      <c r="U348" s="279"/>
      <c r="V348" s="103"/>
      <c r="W348" s="72"/>
      <c r="X348" s="72"/>
      <c r="Y348" s="72"/>
      <c r="Z348" s="45">
        <v>12</v>
      </c>
      <c r="AA348" s="76">
        <v>133</v>
      </c>
      <c r="AB348" s="76">
        <v>144</v>
      </c>
      <c r="AC348" s="72">
        <f t="shared" si="136"/>
        <v>1</v>
      </c>
      <c r="AD348" s="72">
        <f t="shared" si="137"/>
        <v>1</v>
      </c>
      <c r="AE348" s="109" t="str">
        <f t="shared" si="138"/>
        <v>721-780</v>
      </c>
      <c r="AF348" s="109" t="str">
        <f t="shared" si="139"/>
        <v>N</v>
      </c>
      <c r="AG348" s="109" t="str">
        <f t="shared" si="140"/>
        <v>A</v>
      </c>
      <c r="AH348" s="109">
        <v>8</v>
      </c>
      <c r="AI348" s="109" t="str">
        <f>IF(E335="SS",COUNTIFS(C345:C369,"TCF",E345:E369,"8"),"")</f>
        <v/>
      </c>
      <c r="AJ348" s="109">
        <f>IF(E335="RPX",COUNTIFS(C345:C369,"TCF",E345:E369,"8"),"")</f>
        <v>0</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8">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2"/>
      <c r="M349" s="278"/>
      <c r="N349" s="278"/>
      <c r="O349" s="278"/>
      <c r="P349" s="278"/>
      <c r="Q349" s="278"/>
      <c r="R349" s="278"/>
      <c r="S349" s="278"/>
      <c r="T349" s="278"/>
      <c r="U349" s="279"/>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A</v>
      </c>
      <c r="AH349" s="109">
        <v>12</v>
      </c>
      <c r="AI349" s="109" t="str">
        <f>IF(E335="SS",COUNTIFS(C345:C369,"TCF",E345:E369,"12"),"")</f>
        <v/>
      </c>
      <c r="AJ349" s="109">
        <f>IF(E335="RPX",COUNTIFS(C345:C369,"TCF",E345:E369,"12"),"")</f>
        <v>0</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8">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2"/>
      <c r="M350" s="278"/>
      <c r="N350" s="278"/>
      <c r="O350" s="278"/>
      <c r="P350" s="278"/>
      <c r="Q350" s="278"/>
      <c r="R350" s="278"/>
      <c r="S350" s="278"/>
      <c r="T350" s="278"/>
      <c r="U350" s="279"/>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A</v>
      </c>
      <c r="AM350" s="109">
        <f t="shared" si="141"/>
        <v>0</v>
      </c>
      <c r="AN350" s="109">
        <f t="shared" si="142"/>
        <v>0</v>
      </c>
      <c r="AO350" s="109" t="str">
        <f t="shared" si="143"/>
        <v/>
      </c>
      <c r="AQ350" s="109" t="str">
        <f t="shared" si="144"/>
        <v/>
      </c>
      <c r="BA350" s="228">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2"/>
      <c r="M351" s="278"/>
      <c r="N351" s="278"/>
      <c r="O351" s="278"/>
      <c r="P351" s="278"/>
      <c r="Q351" s="278"/>
      <c r="R351" s="278"/>
      <c r="S351" s="278"/>
      <c r="T351" s="278"/>
      <c r="U351" s="279"/>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A</v>
      </c>
      <c r="AM351" s="109">
        <f t="shared" si="141"/>
        <v>0</v>
      </c>
      <c r="AN351" s="109">
        <f t="shared" si="142"/>
        <v>0</v>
      </c>
      <c r="AO351" s="109" t="str">
        <f t="shared" si="143"/>
        <v/>
      </c>
      <c r="AQ351" s="109" t="str">
        <f t="shared" si="144"/>
        <v/>
      </c>
      <c r="BA351" s="228">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2"/>
      <c r="M352" s="278"/>
      <c r="N352" s="278"/>
      <c r="O352" s="278"/>
      <c r="P352" s="278"/>
      <c r="Q352" s="278"/>
      <c r="R352" s="278"/>
      <c r="S352" s="278"/>
      <c r="T352" s="278"/>
      <c r="U352" s="279"/>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A</v>
      </c>
      <c r="AM352" s="109">
        <f t="shared" si="141"/>
        <v>0</v>
      </c>
      <c r="AN352" s="109">
        <f t="shared" si="142"/>
        <v>0</v>
      </c>
      <c r="AO352" s="109" t="str">
        <f t="shared" si="143"/>
        <v/>
      </c>
      <c r="AQ352" s="109" t="str">
        <f t="shared" si="144"/>
        <v/>
      </c>
      <c r="BA352" s="228">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2"/>
      <c r="M353" s="278"/>
      <c r="N353" s="278"/>
      <c r="O353" s="278"/>
      <c r="P353" s="278"/>
      <c r="Q353" s="278"/>
      <c r="R353" s="278"/>
      <c r="S353" s="278"/>
      <c r="T353" s="278"/>
      <c r="U353" s="279"/>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A</v>
      </c>
      <c r="AM353" s="109">
        <f t="shared" si="141"/>
        <v>0</v>
      </c>
      <c r="AN353" s="109">
        <f t="shared" si="142"/>
        <v>0</v>
      </c>
      <c r="AO353" s="109" t="str">
        <f t="shared" si="143"/>
        <v/>
      </c>
      <c r="AQ353" s="109" t="str">
        <f t="shared" si="144"/>
        <v/>
      </c>
      <c r="BA353" s="228">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2"/>
      <c r="M354" s="278"/>
      <c r="N354" s="278"/>
      <c r="O354" s="278"/>
      <c r="P354" s="278"/>
      <c r="Q354" s="278"/>
      <c r="R354" s="278"/>
      <c r="S354" s="278"/>
      <c r="T354" s="278"/>
      <c r="U354" s="279"/>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A</v>
      </c>
      <c r="AM354" s="109">
        <f t="shared" si="141"/>
        <v>0</v>
      </c>
      <c r="AN354" s="109">
        <f t="shared" si="142"/>
        <v>0</v>
      </c>
      <c r="AO354" s="109" t="str">
        <f t="shared" si="143"/>
        <v/>
      </c>
      <c r="AQ354" s="109" t="str">
        <f t="shared" si="144"/>
        <v/>
      </c>
      <c r="BA354" s="228">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2"/>
      <c r="M355" s="278"/>
      <c r="N355" s="278"/>
      <c r="O355" s="278"/>
      <c r="P355" s="278"/>
      <c r="Q355" s="278"/>
      <c r="R355" s="278"/>
      <c r="S355" s="278"/>
      <c r="T355" s="278"/>
      <c r="U355" s="279"/>
      <c r="V355" s="103"/>
      <c r="W355" s="84"/>
      <c r="X355" s="84"/>
      <c r="Y355" s="72"/>
      <c r="Z355" s="72"/>
      <c r="AA355" s="72"/>
      <c r="AB355" s="72"/>
      <c r="AC355" s="72">
        <f t="shared" si="136"/>
        <v>1</v>
      </c>
      <c r="AD355" s="72">
        <f t="shared" si="137"/>
        <v>1</v>
      </c>
      <c r="AE355" s="109" t="str">
        <f t="shared" si="138"/>
        <v>0-0</v>
      </c>
      <c r="AF355" s="109" t="str">
        <f t="shared" si="139"/>
        <v>Y</v>
      </c>
      <c r="AG355" s="109" t="str">
        <f t="shared" si="140"/>
        <v>A</v>
      </c>
      <c r="AM355" s="109">
        <f t="shared" si="141"/>
        <v>0</v>
      </c>
      <c r="AN355" s="109">
        <f t="shared" si="142"/>
        <v>0</v>
      </c>
      <c r="AO355" s="109" t="str">
        <f t="shared" si="143"/>
        <v/>
      </c>
      <c r="AQ355" s="109" t="str">
        <f t="shared" si="144"/>
        <v/>
      </c>
      <c r="BA355" s="228">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2"/>
      <c r="M356" s="278"/>
      <c r="N356" s="278"/>
      <c r="O356" s="278"/>
      <c r="P356" s="278"/>
      <c r="Q356" s="278"/>
      <c r="R356" s="278"/>
      <c r="S356" s="278"/>
      <c r="T356" s="278"/>
      <c r="U356" s="279"/>
      <c r="V356" s="103"/>
      <c r="W356" s="84">
        <f>Y356+1</f>
        <v>73</v>
      </c>
      <c r="X356" s="84"/>
      <c r="Y356" s="78">
        <f>SUM(E345:E356)</f>
        <v>72</v>
      </c>
      <c r="Z356" s="72"/>
      <c r="AA356" s="72"/>
      <c r="AB356" s="72"/>
      <c r="AC356" s="72">
        <f t="shared" si="136"/>
        <v>1</v>
      </c>
      <c r="AD356" s="72">
        <f t="shared" si="137"/>
        <v>1</v>
      </c>
      <c r="AE356" s="109" t="str">
        <f t="shared" si="138"/>
        <v>0-0</v>
      </c>
      <c r="AF356" s="109" t="str">
        <f t="shared" si="139"/>
        <v>Y</v>
      </c>
      <c r="AG356" s="109" t="str">
        <f t="shared" si="140"/>
        <v>A</v>
      </c>
      <c r="AM356" s="109">
        <f t="shared" si="141"/>
        <v>0</v>
      </c>
      <c r="AN356" s="109">
        <f t="shared" si="142"/>
        <v>0</v>
      </c>
      <c r="AO356" s="109" t="str">
        <f t="shared" si="143"/>
        <v/>
      </c>
      <c r="AQ356" s="109" t="str">
        <f t="shared" si="144"/>
        <v/>
      </c>
      <c r="BA356" s="228">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2"/>
      <c r="M357" s="278"/>
      <c r="N357" s="278"/>
      <c r="O357" s="278"/>
      <c r="P357" s="278"/>
      <c r="Q357" s="278"/>
      <c r="R357" s="278"/>
      <c r="S357" s="278"/>
      <c r="T357" s="278"/>
      <c r="U357" s="279"/>
      <c r="V357" s="103"/>
      <c r="W357" s="84">
        <f>Y357+1</f>
        <v>73</v>
      </c>
      <c r="X357" s="84"/>
      <c r="Y357" s="78">
        <f>SUM(E345:E357)</f>
        <v>72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A</v>
      </c>
      <c r="AM357" s="109">
        <f t="shared" si="141"/>
        <v>0</v>
      </c>
      <c r="AN357" s="109">
        <f t="shared" si="142"/>
        <v>0</v>
      </c>
      <c r="AO357" s="109" t="str">
        <f t="shared" si="143"/>
        <v/>
      </c>
      <c r="AQ357" s="109" t="str">
        <f t="shared" si="144"/>
        <v/>
      </c>
      <c r="BA357" s="228">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2"/>
      <c r="M358" s="278"/>
      <c r="N358" s="278"/>
      <c r="O358" s="278"/>
      <c r="P358" s="278"/>
      <c r="Q358" s="278"/>
      <c r="R358" s="278"/>
      <c r="S358" s="278"/>
      <c r="T358" s="278"/>
      <c r="U358" s="279"/>
      <c r="V358" s="103"/>
      <c r="W358" s="84">
        <f>Y358+1</f>
        <v>73</v>
      </c>
      <c r="X358" s="84"/>
      <c r="Y358" s="78">
        <f>SUM(E345:E358)</f>
        <v>72</v>
      </c>
      <c r="Z358" s="72" t="str">
        <f t="shared" si="150"/>
        <v/>
      </c>
      <c r="AA358" s="72"/>
      <c r="AB358" s="72"/>
      <c r="AC358" s="72">
        <f t="shared" si="136"/>
        <v>1</v>
      </c>
      <c r="AD358" s="72">
        <f t="shared" si="137"/>
        <v>1</v>
      </c>
      <c r="AE358" s="109" t="str">
        <f t="shared" si="138"/>
        <v>0-0</v>
      </c>
      <c r="AF358" s="109" t="str">
        <f t="shared" si="139"/>
        <v>Y</v>
      </c>
      <c r="AG358" s="109" t="str">
        <f t="shared" si="140"/>
        <v>A</v>
      </c>
      <c r="AM358" s="109">
        <f t="shared" si="141"/>
        <v>0</v>
      </c>
      <c r="AN358" s="109">
        <f t="shared" si="142"/>
        <v>0</v>
      </c>
      <c r="AO358" s="109" t="str">
        <f t="shared" si="143"/>
        <v/>
      </c>
      <c r="AQ358" s="109" t="str">
        <f t="shared" si="144"/>
        <v/>
      </c>
      <c r="BA358" s="228">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2"/>
      <c r="M359" s="278"/>
      <c r="N359" s="278"/>
      <c r="O359" s="278"/>
      <c r="P359" s="278"/>
      <c r="Q359" s="278"/>
      <c r="R359" s="278"/>
      <c r="S359" s="278"/>
      <c r="T359" s="278"/>
      <c r="U359" s="279"/>
      <c r="V359" s="103"/>
      <c r="W359" s="84">
        <f>Y359+1</f>
        <v>73</v>
      </c>
      <c r="X359" s="84"/>
      <c r="Y359" s="78">
        <f>SUM(E345:E359)</f>
        <v>72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A</v>
      </c>
      <c r="AM359" s="109">
        <f t="shared" si="141"/>
        <v>0</v>
      </c>
      <c r="AN359" s="109">
        <f t="shared" si="142"/>
        <v>0</v>
      </c>
      <c r="AO359" s="109" t="str">
        <f t="shared" si="143"/>
        <v/>
      </c>
      <c r="AQ359" s="109" t="str">
        <f t="shared" si="144"/>
        <v/>
      </c>
      <c r="BA359" s="228">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2"/>
      <c r="M360" s="278"/>
      <c r="N360" s="278"/>
      <c r="O360" s="278"/>
      <c r="P360" s="278"/>
      <c r="Q360" s="278"/>
      <c r="R360" s="278"/>
      <c r="S360" s="278"/>
      <c r="T360" s="278"/>
      <c r="U360" s="279"/>
      <c r="V360" s="103"/>
      <c r="W360" s="84">
        <f t="shared" ref="W360:W368" si="152">Y360+1</f>
        <v>73</v>
      </c>
      <c r="X360" s="84"/>
      <c r="Y360" s="78">
        <f>SUM(E345:E360)</f>
        <v>72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A</v>
      </c>
      <c r="AM360" s="109">
        <f t="shared" si="141"/>
        <v>0</v>
      </c>
      <c r="AN360" s="109">
        <f t="shared" si="142"/>
        <v>0</v>
      </c>
      <c r="AO360" s="109" t="str">
        <f t="shared" si="143"/>
        <v/>
      </c>
      <c r="AQ360" s="109" t="str">
        <f t="shared" si="144"/>
        <v/>
      </c>
      <c r="BA360" s="228">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2"/>
      <c r="M361" s="278"/>
      <c r="N361" s="278"/>
      <c r="O361" s="278"/>
      <c r="P361" s="278"/>
      <c r="Q361" s="278"/>
      <c r="R361" s="278"/>
      <c r="S361" s="278"/>
      <c r="T361" s="278"/>
      <c r="U361" s="279"/>
      <c r="V361" s="103"/>
      <c r="W361" s="84">
        <f t="shared" si="152"/>
        <v>73</v>
      </c>
      <c r="X361" s="84"/>
      <c r="Y361" s="78">
        <f>SUM(E345:E361)</f>
        <v>72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A</v>
      </c>
      <c r="AM361" s="109">
        <f t="shared" si="141"/>
        <v>0</v>
      </c>
      <c r="AN361" s="109">
        <f t="shared" si="142"/>
        <v>0</v>
      </c>
      <c r="AO361" s="109" t="str">
        <f t="shared" si="143"/>
        <v/>
      </c>
      <c r="AQ361" s="109" t="str">
        <f t="shared" si="144"/>
        <v/>
      </c>
      <c r="BA361" s="228">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2"/>
      <c r="M362" s="278"/>
      <c r="N362" s="278"/>
      <c r="O362" s="278"/>
      <c r="P362" s="278"/>
      <c r="Q362" s="278"/>
      <c r="R362" s="278"/>
      <c r="S362" s="278"/>
      <c r="T362" s="278"/>
      <c r="U362" s="279"/>
      <c r="V362" s="103"/>
      <c r="W362" s="84">
        <f t="shared" si="152"/>
        <v>73</v>
      </c>
      <c r="X362" s="84"/>
      <c r="Y362" s="78">
        <f>SUM(E345:E362)</f>
        <v>72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A</v>
      </c>
      <c r="AM362" s="109">
        <f t="shared" si="141"/>
        <v>0</v>
      </c>
      <c r="AN362" s="109">
        <f t="shared" si="142"/>
        <v>0</v>
      </c>
      <c r="AO362" s="109" t="str">
        <f t="shared" si="143"/>
        <v/>
      </c>
      <c r="AQ362" s="109" t="str">
        <f t="shared" si="144"/>
        <v/>
      </c>
      <c r="BA362" s="228">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2"/>
      <c r="M363" s="278"/>
      <c r="N363" s="278"/>
      <c r="O363" s="278"/>
      <c r="P363" s="278"/>
      <c r="Q363" s="278"/>
      <c r="R363" s="278"/>
      <c r="S363" s="278"/>
      <c r="T363" s="278"/>
      <c r="U363" s="279"/>
      <c r="V363" s="103"/>
      <c r="W363" s="84">
        <f t="shared" si="152"/>
        <v>73</v>
      </c>
      <c r="X363" s="84"/>
      <c r="Y363" s="78">
        <f>SUM(E345:E363)</f>
        <v>72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A</v>
      </c>
      <c r="AM363" s="109">
        <f t="shared" si="141"/>
        <v>0</v>
      </c>
      <c r="AN363" s="109">
        <f t="shared" si="142"/>
        <v>0</v>
      </c>
      <c r="AO363" s="109" t="str">
        <f t="shared" si="143"/>
        <v/>
      </c>
      <c r="AQ363" s="109" t="str">
        <f t="shared" si="144"/>
        <v/>
      </c>
      <c r="BA363" s="228">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2"/>
      <c r="M364" s="278"/>
      <c r="N364" s="278"/>
      <c r="O364" s="278"/>
      <c r="P364" s="278"/>
      <c r="Q364" s="278"/>
      <c r="R364" s="278"/>
      <c r="S364" s="278"/>
      <c r="T364" s="278"/>
      <c r="U364" s="279"/>
      <c r="V364" s="103"/>
      <c r="W364" s="84">
        <f t="shared" si="152"/>
        <v>73</v>
      </c>
      <c r="X364" s="84"/>
      <c r="Y364" s="78">
        <f>SUM(E345:E364)</f>
        <v>72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A</v>
      </c>
      <c r="AM364" s="109">
        <f t="shared" si="141"/>
        <v>0</v>
      </c>
      <c r="AN364" s="109">
        <f t="shared" si="142"/>
        <v>0</v>
      </c>
      <c r="AO364" s="109" t="str">
        <f t="shared" si="143"/>
        <v/>
      </c>
      <c r="AQ364" s="109" t="str">
        <f t="shared" si="144"/>
        <v/>
      </c>
      <c r="BA364" s="228">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2"/>
      <c r="M365" s="278"/>
      <c r="N365" s="278"/>
      <c r="O365" s="278"/>
      <c r="P365" s="278"/>
      <c r="Q365" s="278"/>
      <c r="R365" s="278"/>
      <c r="S365" s="278"/>
      <c r="T365" s="278"/>
      <c r="U365" s="279"/>
      <c r="V365" s="103"/>
      <c r="W365" s="84">
        <f t="shared" si="152"/>
        <v>73</v>
      </c>
      <c r="X365" s="84"/>
      <c r="Y365" s="78">
        <f>SUM(E345:E365)</f>
        <v>72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A</v>
      </c>
      <c r="AM365" s="109">
        <f t="shared" si="141"/>
        <v>0</v>
      </c>
      <c r="AN365" s="109">
        <f t="shared" si="142"/>
        <v>0</v>
      </c>
      <c r="AO365" s="109" t="str">
        <f t="shared" si="143"/>
        <v/>
      </c>
      <c r="AQ365" s="109" t="str">
        <f t="shared" si="144"/>
        <v/>
      </c>
      <c r="BA365" s="228">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2"/>
      <c r="M366" s="278"/>
      <c r="N366" s="278"/>
      <c r="O366" s="278"/>
      <c r="P366" s="278"/>
      <c r="Q366" s="278"/>
      <c r="R366" s="278"/>
      <c r="S366" s="278"/>
      <c r="T366" s="278"/>
      <c r="U366" s="279"/>
      <c r="V366" s="103"/>
      <c r="W366" s="84">
        <f t="shared" si="152"/>
        <v>73</v>
      </c>
      <c r="X366" s="84"/>
      <c r="Y366" s="78">
        <f>SUM(E345:E366)</f>
        <v>72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A</v>
      </c>
      <c r="AM366" s="109">
        <f t="shared" si="141"/>
        <v>0</v>
      </c>
      <c r="AN366" s="109">
        <f t="shared" si="142"/>
        <v>0</v>
      </c>
      <c r="AO366" s="109" t="str">
        <f t="shared" si="143"/>
        <v/>
      </c>
      <c r="AQ366" s="109" t="str">
        <f t="shared" si="144"/>
        <v/>
      </c>
      <c r="BA366" s="228">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2"/>
      <c r="M367" s="278"/>
      <c r="N367" s="278"/>
      <c r="O367" s="278"/>
      <c r="P367" s="278"/>
      <c r="Q367" s="278"/>
      <c r="R367" s="278"/>
      <c r="S367" s="278"/>
      <c r="T367" s="278"/>
      <c r="U367" s="279"/>
      <c r="V367" s="103"/>
      <c r="W367" s="84">
        <f t="shared" si="152"/>
        <v>73</v>
      </c>
      <c r="X367" s="84"/>
      <c r="Y367" s="78">
        <f>SUM(E345:E367)</f>
        <v>72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A</v>
      </c>
      <c r="AM367" s="109">
        <f t="shared" si="141"/>
        <v>0</v>
      </c>
      <c r="AN367" s="109">
        <f t="shared" si="142"/>
        <v>0</v>
      </c>
      <c r="AO367" s="109" t="str">
        <f t="shared" si="143"/>
        <v/>
      </c>
      <c r="AQ367" s="109" t="str">
        <f t="shared" si="144"/>
        <v/>
      </c>
      <c r="BA367" s="228">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2"/>
      <c r="M368" s="278"/>
      <c r="N368" s="278"/>
      <c r="O368" s="278"/>
      <c r="P368" s="278"/>
      <c r="Q368" s="278"/>
      <c r="R368" s="278"/>
      <c r="S368" s="278"/>
      <c r="T368" s="278"/>
      <c r="U368" s="279"/>
      <c r="V368" s="103"/>
      <c r="W368" s="84">
        <f t="shared" si="152"/>
        <v>73</v>
      </c>
      <c r="X368" s="84"/>
      <c r="Y368" s="78">
        <f>SUM(E345:E368)</f>
        <v>72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A</v>
      </c>
      <c r="AM368" s="109">
        <f t="shared" si="141"/>
        <v>0</v>
      </c>
      <c r="AN368" s="109">
        <f t="shared" si="142"/>
        <v>0</v>
      </c>
      <c r="AO368" s="109" t="str">
        <f t="shared" si="143"/>
        <v/>
      </c>
      <c r="AQ368" s="109" t="str">
        <f t="shared" si="144"/>
        <v/>
      </c>
      <c r="BA368" s="228">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3"/>
      <c r="M369" s="278"/>
      <c r="N369" s="278"/>
      <c r="O369" s="278"/>
      <c r="P369" s="278"/>
      <c r="Q369" s="278"/>
      <c r="R369" s="278"/>
      <c r="S369" s="278"/>
      <c r="T369" s="278"/>
      <c r="U369" s="279"/>
      <c r="V369" s="103"/>
      <c r="W369" s="72"/>
      <c r="X369" s="72"/>
      <c r="Y369" s="78">
        <f>SUM(E345:E369)</f>
        <v>72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A</v>
      </c>
      <c r="AM369" s="109">
        <f t="shared" si="141"/>
        <v>0</v>
      </c>
      <c r="AN369" s="109">
        <f t="shared" si="142"/>
        <v>0</v>
      </c>
      <c r="AO369" s="109" t="str">
        <f t="shared" si="143"/>
        <v/>
      </c>
      <c r="AQ369" s="109" t="str">
        <f t="shared" si="144"/>
        <v/>
      </c>
      <c r="BA369" s="227"/>
    </row>
    <row r="370" spans="1:53" ht="16.5" thickBot="1" x14ac:dyDescent="0.3">
      <c r="A370" s="88"/>
      <c r="B370" s="319" t="s">
        <v>321</v>
      </c>
      <c r="C370" s="320"/>
      <c r="D370" s="79"/>
      <c r="E370" s="80"/>
      <c r="F370" s="80"/>
      <c r="G370" s="81"/>
      <c r="H370" s="191"/>
      <c r="I370" s="191"/>
      <c r="J370" s="191"/>
      <c r="K370" s="82"/>
      <c r="L370" s="319" t="s">
        <v>306</v>
      </c>
      <c r="M370" s="330"/>
      <c r="N370" s="330"/>
      <c r="O370" s="330"/>
      <c r="P370" s="330"/>
      <c r="Q370" s="330"/>
      <c r="R370" s="330"/>
      <c r="S370" s="330"/>
      <c r="T370" s="330"/>
      <c r="U370" s="320"/>
      <c r="V370" s="104"/>
      <c r="W370" s="72"/>
      <c r="X370" s="72"/>
      <c r="Y370" s="72"/>
      <c r="Z370" s="72"/>
      <c r="AA370" s="72" t="str">
        <f t="shared" si="151"/>
        <v/>
      </c>
      <c r="AB370" s="72"/>
      <c r="AC370" s="72">
        <f>SUM(AC345:AC369)</f>
        <v>25</v>
      </c>
      <c r="AD370" s="72">
        <f>SUM(AD345:AD369)</f>
        <v>22</v>
      </c>
      <c r="AM370" s="109">
        <f>SUM(AM345:AM369)</f>
        <v>0</v>
      </c>
      <c r="AN370" s="109">
        <f>SUM(AN345:AN369)</f>
        <v>0</v>
      </c>
      <c r="AO370" s="109">
        <f>((COUNTIF(AO345:AO369,"Y")/3)*2)</f>
        <v>0</v>
      </c>
      <c r="AP370" s="109">
        <f>(COUNTIF(AO345:AO369,"Y")/3)</f>
        <v>0</v>
      </c>
      <c r="AQ370" s="109">
        <f>(COUNTIF(AQ345:AQ369,"Y")/2)</f>
        <v>0</v>
      </c>
      <c r="AR370" s="109">
        <f>(COUNTIF(AQ345:AQ369,"Y")/2)</f>
        <v>0</v>
      </c>
      <c r="BA370" s="227"/>
    </row>
    <row r="371" spans="1:53" ht="16.5" thickBot="1" x14ac:dyDescent="0.3">
      <c r="A371" s="88"/>
      <c r="B371" s="319" t="s">
        <v>307</v>
      </c>
      <c r="C371" s="320"/>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5"/>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5" t="s">
        <v>210</v>
      </c>
      <c r="N374" s="195" t="s">
        <v>211</v>
      </c>
      <c r="O374" s="195" t="s">
        <v>212</v>
      </c>
      <c r="P374" s="195" t="s">
        <v>213</v>
      </c>
      <c r="Q374" s="195" t="s">
        <v>214</v>
      </c>
      <c r="R374" s="195" t="s">
        <v>215</v>
      </c>
      <c r="S374" s="195" t="s">
        <v>216</v>
      </c>
      <c r="T374" s="195" t="s">
        <v>217</v>
      </c>
      <c r="U374" s="195" t="s">
        <v>218</v>
      </c>
      <c r="V374" s="195" t="s">
        <v>219</v>
      </c>
      <c r="W374" s="113" t="s">
        <v>220</v>
      </c>
      <c r="X374" s="195" t="s">
        <v>221</v>
      </c>
      <c r="Y374" s="25"/>
      <c r="Z374" s="25"/>
      <c r="AA374" s="25"/>
      <c r="AB374" s="25"/>
      <c r="AC374" s="25"/>
      <c r="AD374" s="25"/>
      <c r="BA374" s="225"/>
    </row>
    <row r="375" spans="1:53" ht="16.5" thickTop="1" thickBot="1" x14ac:dyDescent="0.3">
      <c r="A375" s="88"/>
      <c r="B375" s="312" t="s">
        <v>222</v>
      </c>
      <c r="C375" s="313"/>
      <c r="D375" s="314" t="s">
        <v>223</v>
      </c>
      <c r="E375" s="305"/>
      <c r="F375" s="88"/>
      <c r="G375" s="315" t="s">
        <v>224</v>
      </c>
      <c r="H375" s="316"/>
      <c r="I375" s="28">
        <f>SUM(E386:E410)</f>
        <v>60</v>
      </c>
      <c r="J375" s="317" t="s">
        <v>225</v>
      </c>
      <c r="K375" s="318"/>
      <c r="L375" s="305"/>
      <c r="M375" s="195">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5" t="s">
        <v>226</v>
      </c>
      <c r="AA375" s="296"/>
      <c r="AB375" s="297"/>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5"/>
    </row>
    <row r="376" spans="1:53" ht="16.5" customHeight="1" thickTop="1" thickBot="1" x14ac:dyDescent="0.3">
      <c r="A376" s="88"/>
      <c r="B376" s="29" t="s">
        <v>228</v>
      </c>
      <c r="C376" s="30">
        <v>12</v>
      </c>
      <c r="D376" s="31" t="s">
        <v>229</v>
      </c>
      <c r="E376" s="66" t="str">
        <f>TEXT(IF('Cable Calculator'!AW7="","",'Cable Calculator'!AW7),)</f>
        <v>EUC</v>
      </c>
      <c r="F376" s="88"/>
      <c r="G376" s="304" t="s">
        <v>230</v>
      </c>
      <c r="H376" s="305"/>
      <c r="I376" s="33">
        <f>E377-I375</f>
        <v>12</v>
      </c>
      <c r="J376" s="289" t="s">
        <v>231</v>
      </c>
      <c r="K376" s="290"/>
      <c r="L376" s="34">
        <f>I380</f>
        <v>601</v>
      </c>
      <c r="M376" s="195">
        <v>4</v>
      </c>
      <c r="N376" s="35">
        <f>SUM(AI376,AI387)</f>
        <v>0</v>
      </c>
      <c r="O376" s="35">
        <v>0</v>
      </c>
      <c r="P376" s="35">
        <f>SUM(AJ376,AJ387)</f>
        <v>0</v>
      </c>
      <c r="Q376" s="35">
        <v>0</v>
      </c>
      <c r="R376" s="35">
        <f>COUNTIFS($E386:$E410,"4",$F386:$F410,"Pole",$C386:$C410,"FST")</f>
        <v>2</v>
      </c>
      <c r="S376" s="35">
        <f>SUM(AL376,AK387)</f>
        <v>0</v>
      </c>
      <c r="T376" s="35">
        <v>0</v>
      </c>
      <c r="U376" s="35">
        <f>SUM(AK376,AL387)</f>
        <v>2</v>
      </c>
      <c r="V376" s="35">
        <v>0</v>
      </c>
      <c r="W376" s="34">
        <f>COUNTIFS($E386:$E410,"4",$F386:$F410,"HH",$C386:$C410,"FST")</f>
        <v>0</v>
      </c>
      <c r="X376" s="35">
        <f>COUNTIFS($E386:$E410,"4",$F386:$F410,"Ped",$C386:$C410,"FST")</f>
        <v>0</v>
      </c>
      <c r="Y376" s="25"/>
      <c r="Z376" s="298" t="s">
        <v>232</v>
      </c>
      <c r="AA376" s="300" t="s">
        <v>233</v>
      </c>
      <c r="AB376" s="301"/>
      <c r="AC376" s="25"/>
      <c r="AD376" s="25"/>
      <c r="AH376" s="109">
        <v>4</v>
      </c>
      <c r="AI376" s="109" t="str">
        <f>IF($E376="SS",COUNTIFS($C386:$C410,"FST",$E386:$E410,"4"),"0")</f>
        <v>0</v>
      </c>
      <c r="AJ376" s="109" t="str">
        <f>IF($E376="RPX",COUNTIFS($C386:$C410,"FST",$E386:$E410,"4"),"0")</f>
        <v>0</v>
      </c>
      <c r="AK376" s="109">
        <f>IF($E376="EUC",COUNTIFS($C386:$C410,"FST",$E386:$E410,"4"),"0")</f>
        <v>2</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6"/>
    </row>
    <row r="377" spans="1:53" ht="16.5" thickTop="1" thickBot="1" x14ac:dyDescent="0.3">
      <c r="A377" s="88"/>
      <c r="B377" s="36" t="s">
        <v>235</v>
      </c>
      <c r="C377" s="37">
        <v>0</v>
      </c>
      <c r="D377" s="38" t="s">
        <v>236</v>
      </c>
      <c r="E377" s="32">
        <v>72</v>
      </c>
      <c r="F377" s="88"/>
      <c r="G377" s="291" t="s">
        <v>237</v>
      </c>
      <c r="H377" s="292"/>
      <c r="I377" s="35">
        <f>IF(E377=0,0,12-(MOD(I375,12)))</f>
        <v>12</v>
      </c>
      <c r="J377" s="289" t="s">
        <v>238</v>
      </c>
      <c r="K377" s="290"/>
      <c r="L377" s="39">
        <f>I381-I375</f>
        <v>612</v>
      </c>
      <c r="M377" s="195">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9"/>
      <c r="AA377" s="302"/>
      <c r="AB377" s="303"/>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6"/>
    </row>
    <row r="378" spans="1:53" ht="16.5" customHeight="1" thickTop="1" thickBot="1" x14ac:dyDescent="0.3">
      <c r="A378" s="88"/>
      <c r="B378" s="40" t="s">
        <v>240</v>
      </c>
      <c r="C378" s="30">
        <v>0</v>
      </c>
      <c r="D378" s="41" t="s">
        <v>241</v>
      </c>
      <c r="E378" s="42">
        <v>0</v>
      </c>
      <c r="F378" s="88"/>
      <c r="G378" s="321" t="s">
        <v>242</v>
      </c>
      <c r="H378" s="43" t="s">
        <v>243</v>
      </c>
      <c r="I378" s="35">
        <f>IF(E378&lt;&gt;0,1,0)</f>
        <v>0</v>
      </c>
      <c r="J378" s="291" t="s">
        <v>244</v>
      </c>
      <c r="K378" s="292"/>
      <c r="L378" s="44">
        <f>'Cable Calculator'!AW3</f>
        <v>2561</v>
      </c>
      <c r="M378" s="195">
        <v>8</v>
      </c>
      <c r="N378" s="35">
        <f>SUM(AI378,AI389)</f>
        <v>0</v>
      </c>
      <c r="O378" s="35">
        <v>0</v>
      </c>
      <c r="P378" s="35">
        <f>SUM(AJ378,AJ389)</f>
        <v>0</v>
      </c>
      <c r="Q378" s="35">
        <v>0</v>
      </c>
      <c r="R378" s="35">
        <f>COUNTIFS($E386:$E410,"8",$F386:$F410,"Pole",$C386:$C410,"FST")</f>
        <v>1</v>
      </c>
      <c r="S378" s="35">
        <f>SUM(AL378,AK389)</f>
        <v>0</v>
      </c>
      <c r="T378" s="35">
        <v>0</v>
      </c>
      <c r="U378" s="35">
        <f>SUM(AK378,AL389)</f>
        <v>2</v>
      </c>
      <c r="V378" s="35">
        <v>0</v>
      </c>
      <c r="W378" s="34">
        <f>COUNTIFS($E386:$E410,"8",$F386:$F410,"HH",$C386:$C410,"FST")</f>
        <v>1</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2</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6"/>
    </row>
    <row r="379" spans="1:53" ht="16.5" thickTop="1" thickBot="1" x14ac:dyDescent="0.3">
      <c r="A379" s="88"/>
      <c r="B379" s="29" t="s">
        <v>246</v>
      </c>
      <c r="C379" s="37">
        <v>0</v>
      </c>
      <c r="D379" s="41" t="s">
        <v>247</v>
      </c>
      <c r="E379" s="42">
        <v>601</v>
      </c>
      <c r="F379" s="88"/>
      <c r="G379" s="322"/>
      <c r="H379" s="47" t="s">
        <v>248</v>
      </c>
      <c r="I379" s="35">
        <f>IF(E378&lt;&gt;0,E378,0)</f>
        <v>0</v>
      </c>
      <c r="J379" s="193"/>
      <c r="K379" s="194"/>
      <c r="L379" s="48"/>
      <c r="M379" s="195">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6"/>
    </row>
    <row r="380" spans="1:53" ht="16.5" customHeight="1" thickTop="1" thickBot="1" x14ac:dyDescent="0.3">
      <c r="A380" s="88"/>
      <c r="B380" s="36" t="s">
        <v>249</v>
      </c>
      <c r="C380" s="30">
        <v>0</v>
      </c>
      <c r="D380" s="49" t="s">
        <v>250</v>
      </c>
      <c r="E380" s="50">
        <f>E377/12</f>
        <v>6</v>
      </c>
      <c r="F380" s="88"/>
      <c r="G380" s="321" t="s">
        <v>251</v>
      </c>
      <c r="H380" s="51" t="s">
        <v>252</v>
      </c>
      <c r="I380" s="112">
        <f>E379</f>
        <v>601</v>
      </c>
      <c r="J380" s="323" t="s">
        <v>253</v>
      </c>
      <c r="K380" s="324"/>
      <c r="L380" s="325"/>
      <c r="M380" s="52" t="s">
        <v>254</v>
      </c>
      <c r="N380" s="106"/>
      <c r="O380" s="106"/>
      <c r="P380" s="191"/>
      <c r="Q380" s="191"/>
      <c r="R380" s="191"/>
      <c r="S380" s="191"/>
      <c r="T380" s="191"/>
      <c r="U380" s="191"/>
      <c r="V380" s="191"/>
      <c r="W380" s="53">
        <f>SUM(P380:U380)</f>
        <v>0</v>
      </c>
      <c r="X380" s="54"/>
      <c r="Y380" s="25"/>
      <c r="Z380" s="45">
        <v>3</v>
      </c>
      <c r="AA380" s="46">
        <v>25</v>
      </c>
      <c r="AB380" s="46">
        <v>36</v>
      </c>
      <c r="AC380" s="25"/>
      <c r="AD380" s="25"/>
      <c r="BA380" s="226"/>
    </row>
    <row r="381" spans="1:53" ht="16.5" thickTop="1" thickBot="1" x14ac:dyDescent="0.3">
      <c r="A381" s="88"/>
      <c r="B381" s="36" t="s">
        <v>255</v>
      </c>
      <c r="C381" s="30">
        <v>0</v>
      </c>
      <c r="D381" s="31" t="s">
        <v>256</v>
      </c>
      <c r="E381" s="101" t="str">
        <f>IF('Cable Calculator'!AW5="","",'Cable Calculator'!AW5)</f>
        <v>N</v>
      </c>
      <c r="F381" s="88"/>
      <c r="G381" s="322"/>
      <c r="H381" s="47" t="s">
        <v>257</v>
      </c>
      <c r="I381" s="35">
        <f>IF(E379="","0",IF(AND(E376="EUC",E377=432), I380+(203-E378),IF(E379=0,0,(E379+(E377-E378)-1))))</f>
        <v>672</v>
      </c>
      <c r="J381" s="286" t="str">
        <f>IFERROR(IF(OR(E376="EUC",E376="SS"),"---",IF(OR(P375,S375),"NO 2F Tethers for RPX!",IF(OR(P377,S377),"NO 6F Tethers for RPX!","---"))),"---")</f>
        <v>---</v>
      </c>
      <c r="K381" s="287"/>
      <c r="L381" s="288"/>
      <c r="M381" s="286" t="str">
        <f>IF(E378&gt;60,"Dead Count &gt;60: Consider Downsize","---")</f>
        <v>---</v>
      </c>
      <c r="N381" s="287"/>
      <c r="O381" s="287"/>
      <c r="P381" s="287"/>
      <c r="Q381" s="287"/>
      <c r="R381" s="287"/>
      <c r="S381" s="287"/>
      <c r="T381" s="287"/>
      <c r="U381" s="288"/>
      <c r="V381" s="100"/>
      <c r="W381" s="54">
        <f>SUM(P381:U381)</f>
        <v>0</v>
      </c>
      <c r="X381" s="54"/>
      <c r="Y381" s="25"/>
      <c r="Z381" s="45">
        <v>4</v>
      </c>
      <c r="AA381" s="46">
        <v>37</v>
      </c>
      <c r="AB381" s="46">
        <v>48</v>
      </c>
      <c r="AC381" s="25"/>
      <c r="AD381" s="25"/>
      <c r="BA381" s="226"/>
    </row>
    <row r="382" spans="1:53" ht="16.5" thickTop="1" thickBot="1" x14ac:dyDescent="0.3">
      <c r="A382" s="88"/>
      <c r="B382" s="55" t="s">
        <v>258</v>
      </c>
      <c r="C382" s="56">
        <f>SUM(C376:C381)+I375</f>
        <v>72</v>
      </c>
      <c r="D382" s="31" t="s">
        <v>259</v>
      </c>
      <c r="E382" s="101" t="str">
        <f>IF(AS376="Y","DBL",IF(AS377="Y","TRPL",IF(AS378="Y","QUAD","")))</f>
        <v/>
      </c>
      <c r="F382" s="88"/>
      <c r="G382" s="191"/>
      <c r="H382" s="57"/>
      <c r="I382" s="191"/>
      <c r="J382" s="286"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7"/>
      <c r="L382" s="288"/>
      <c r="M382" s="286" t="str">
        <f>IF(AND(OR(E376="SS",E376="RPX",E376="EUC",E376="RPX-T"),(OR(C386="",C386="Field SPL"))),"Cannot have FlexNap cables without tethers","---")</f>
        <v>---</v>
      </c>
      <c r="N382" s="287"/>
      <c r="O382" s="287"/>
      <c r="P382" s="287"/>
      <c r="Q382" s="287"/>
      <c r="R382" s="287"/>
      <c r="S382" s="287"/>
      <c r="T382" s="287"/>
      <c r="U382" s="288"/>
      <c r="V382" s="25"/>
      <c r="W382" s="58"/>
      <c r="X382" s="58"/>
      <c r="Y382" s="25"/>
      <c r="Z382" s="45">
        <v>5</v>
      </c>
      <c r="AA382" s="46">
        <v>49</v>
      </c>
      <c r="AB382" s="46">
        <v>60</v>
      </c>
      <c r="AC382" s="25"/>
      <c r="AD382" s="25"/>
      <c r="BA382" s="226"/>
    </row>
    <row r="383" spans="1:53" ht="16.5" thickTop="1" thickBot="1" x14ac:dyDescent="0.3">
      <c r="A383" s="88"/>
      <c r="B383" s="59"/>
      <c r="C383" s="60"/>
      <c r="D383" s="61"/>
      <c r="E383" s="62"/>
      <c r="F383" s="88"/>
      <c r="G383" s="63"/>
      <c r="H383" s="64"/>
      <c r="I383" s="63"/>
      <c r="J383" s="286" t="str">
        <f>IF(AND(OR(E376="RPX", E376="RPX-T", E376="SS"),E377=216),"NO 216 For RPX, RPX-T, OR SS CABLE","---")</f>
        <v>---</v>
      </c>
      <c r="K383" s="287"/>
      <c r="L383" s="288"/>
      <c r="M383" s="286" t="str" cm="1">
        <f t="array" ref="M383">IF(AND(E376="",OR(C386:C410="FST",C386:C410="REV T",C386:C410="DBL REV",C386:C410="TPL REV", C386:C410="QD REV")),"Non-FlexNap cables cannot have tethers","---")</f>
        <v>---</v>
      </c>
      <c r="N383" s="287"/>
      <c r="O383" s="287"/>
      <c r="P383" s="287"/>
      <c r="Q383" s="287"/>
      <c r="R383" s="287"/>
      <c r="S383" s="287"/>
      <c r="T383" s="287"/>
      <c r="U383" s="288"/>
      <c r="V383" s="25"/>
      <c r="W383" s="58"/>
      <c r="X383" s="58"/>
      <c r="Y383" s="25"/>
      <c r="Z383" s="45">
        <v>6</v>
      </c>
      <c r="AA383" s="65">
        <v>61</v>
      </c>
      <c r="AB383" s="65">
        <v>72</v>
      </c>
      <c r="AC383" s="25"/>
      <c r="AD383" s="25"/>
      <c r="BA383" s="225"/>
    </row>
    <row r="384" spans="1:53" ht="15.75" customHeight="1" thickBot="1" x14ac:dyDescent="0.3">
      <c r="A384" s="88"/>
      <c r="B384" s="321" t="s">
        <v>260</v>
      </c>
      <c r="C384" s="293" t="s">
        <v>261</v>
      </c>
      <c r="D384" s="293" t="s">
        <v>262</v>
      </c>
      <c r="E384" s="306" t="s">
        <v>263</v>
      </c>
      <c r="F384" s="293" t="s">
        <v>264</v>
      </c>
      <c r="G384" s="308" t="s">
        <v>265</v>
      </c>
      <c r="H384" s="308" t="s">
        <v>266</v>
      </c>
      <c r="I384" s="308" t="s">
        <v>267</v>
      </c>
      <c r="J384" s="310" t="s">
        <v>268</v>
      </c>
      <c r="K384" s="293" t="s">
        <v>269</v>
      </c>
      <c r="L384" s="280" t="s">
        <v>270</v>
      </c>
      <c r="M384" s="282" t="s">
        <v>271</v>
      </c>
      <c r="N384" s="282"/>
      <c r="O384" s="282"/>
      <c r="P384" s="282"/>
      <c r="Q384" s="282"/>
      <c r="R384" s="282"/>
      <c r="S384" s="282"/>
      <c r="T384" s="282"/>
      <c r="U384" s="283"/>
      <c r="V384" s="107"/>
      <c r="W384" s="72"/>
      <c r="X384" s="72"/>
      <c r="Y384" s="72"/>
      <c r="Z384" s="45">
        <v>7</v>
      </c>
      <c r="AA384" s="65">
        <v>73</v>
      </c>
      <c r="AB384" s="65">
        <v>84</v>
      </c>
      <c r="AC384" s="25"/>
      <c r="AD384" s="25"/>
      <c r="BA384" s="227"/>
    </row>
    <row r="385" spans="1:53" ht="15.75" thickBot="1" x14ac:dyDescent="0.3">
      <c r="A385" s="88"/>
      <c r="B385" s="322"/>
      <c r="C385" s="294"/>
      <c r="D385" s="294"/>
      <c r="E385" s="307"/>
      <c r="F385" s="294"/>
      <c r="G385" s="309"/>
      <c r="H385" s="309"/>
      <c r="I385" s="309"/>
      <c r="J385" s="311"/>
      <c r="K385" s="294"/>
      <c r="L385" s="281"/>
      <c r="M385" s="284"/>
      <c r="N385" s="284"/>
      <c r="O385" s="284"/>
      <c r="P385" s="284"/>
      <c r="Q385" s="284"/>
      <c r="R385" s="284"/>
      <c r="S385" s="284"/>
      <c r="T385" s="284"/>
      <c r="U385" s="285"/>
      <c r="V385" s="107"/>
      <c r="W385" s="72"/>
      <c r="X385" s="72"/>
      <c r="Y385" s="72"/>
      <c r="Z385" s="45">
        <v>8</v>
      </c>
      <c r="AA385" s="46">
        <v>85</v>
      </c>
      <c r="AB385" s="46">
        <v>96</v>
      </c>
      <c r="AC385" s="25"/>
      <c r="AD385" s="25"/>
      <c r="AI385" s="109" t="s">
        <v>272</v>
      </c>
      <c r="AJ385" s="109" t="s">
        <v>273</v>
      </c>
      <c r="AK385" s="109" t="s">
        <v>274</v>
      </c>
      <c r="AL385" s="109" t="s">
        <v>275</v>
      </c>
      <c r="BA385" s="227"/>
    </row>
    <row r="386" spans="1:53" ht="15.75" thickBot="1" x14ac:dyDescent="0.3">
      <c r="A386" s="88"/>
      <c r="B386" s="66" t="s">
        <v>276</v>
      </c>
      <c r="C386" s="67" t="s">
        <v>484</v>
      </c>
      <c r="D386" s="102" t="s">
        <v>801</v>
      </c>
      <c r="E386" s="32">
        <v>4</v>
      </c>
      <c r="F386" s="32" t="s">
        <v>483</v>
      </c>
      <c r="G386" s="68" t="s">
        <v>277</v>
      </c>
      <c r="H386" s="69">
        <f>IF(I386=0,0,I386-(E386-1))</f>
        <v>669</v>
      </c>
      <c r="I386" s="70">
        <f>IF(E386=0,0,I381)</f>
        <v>672</v>
      </c>
      <c r="J386" s="71" t="s">
        <v>278</v>
      </c>
      <c r="K386" s="32"/>
      <c r="L386" s="232"/>
      <c r="M386" s="278"/>
      <c r="N386" s="278"/>
      <c r="O386" s="278"/>
      <c r="P386" s="278"/>
      <c r="Q386" s="278"/>
      <c r="R386" s="278"/>
      <c r="S386" s="278"/>
      <c r="T386" s="278"/>
      <c r="U386" s="279"/>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669-672</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8">
        <f>MOD(E386,12)</f>
        <v>4</v>
      </c>
    </row>
    <row r="387" spans="1:53" ht="15.75" thickBot="1" x14ac:dyDescent="0.3">
      <c r="A387" s="88"/>
      <c r="B387" s="66" t="s">
        <v>279</v>
      </c>
      <c r="C387" s="67" t="s">
        <v>484</v>
      </c>
      <c r="D387" s="102" t="s">
        <v>754</v>
      </c>
      <c r="E387" s="32">
        <v>4</v>
      </c>
      <c r="F387" s="32" t="s">
        <v>483</v>
      </c>
      <c r="G387" s="68" t="s">
        <v>277</v>
      </c>
      <c r="H387" s="69">
        <f t="shared" ref="H387:H410" si="162">IF(E387=0,0,I387-(E387-1))</f>
        <v>665</v>
      </c>
      <c r="I387" s="70">
        <f t="shared" ref="I387:I410" si="163">IF(E387=0,0,H386-1)</f>
        <v>668</v>
      </c>
      <c r="J387" s="73" t="str">
        <f>IF(C387="","--",IF(AND(C387&lt;&gt;"FST",C387&lt;&gt;"TCF",BA386&lt;&gt;0),BA386,"--"))</f>
        <v>--</v>
      </c>
      <c r="K387" s="32"/>
      <c r="L387" s="232"/>
      <c r="M387" s="278"/>
      <c r="N387" s="278"/>
      <c r="O387" s="278"/>
      <c r="P387" s="278"/>
      <c r="Q387" s="278"/>
      <c r="R387" s="278"/>
      <c r="S387" s="278"/>
      <c r="T387" s="278"/>
      <c r="U387" s="279"/>
      <c r="V387" s="103"/>
      <c r="W387" s="72"/>
      <c r="X387" s="72"/>
      <c r="Y387" s="72"/>
      <c r="Z387" s="45">
        <v>10</v>
      </c>
      <c r="AA387" s="46">
        <v>109</v>
      </c>
      <c r="AB387" s="46">
        <v>120</v>
      </c>
      <c r="AC387" s="72">
        <f t="shared" si="153"/>
        <v>1</v>
      </c>
      <c r="AD387" s="72">
        <f t="shared" si="154"/>
        <v>0</v>
      </c>
      <c r="AE387" s="109" t="str">
        <f t="shared" si="155"/>
        <v>665-668</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8">
        <f>MOD(SUM(E386:E387),12)</f>
        <v>8</v>
      </c>
    </row>
    <row r="388" spans="1:53" ht="15.75" thickBot="1" x14ac:dyDescent="0.3">
      <c r="A388" s="88"/>
      <c r="B388" s="74" t="s">
        <v>280</v>
      </c>
      <c r="C388" s="67" t="s">
        <v>484</v>
      </c>
      <c r="D388" s="102" t="s">
        <v>786</v>
      </c>
      <c r="E388" s="32">
        <v>8</v>
      </c>
      <c r="F388" s="32" t="s">
        <v>483</v>
      </c>
      <c r="G388" s="75" t="s">
        <v>277</v>
      </c>
      <c r="H388" s="69">
        <f t="shared" si="162"/>
        <v>657</v>
      </c>
      <c r="I388" s="70">
        <f t="shared" si="163"/>
        <v>664</v>
      </c>
      <c r="J388" s="73" t="str">
        <f t="shared" ref="J388:J410" si="164">IF(C388="","--",IF(AND(C388&lt;&gt;"FST",C388&lt;&gt;"TCF",BA387&lt;&gt;0),BA387,"--"))</f>
        <v>--</v>
      </c>
      <c r="K388" s="32"/>
      <c r="L388" s="232"/>
      <c r="M388" s="278"/>
      <c r="N388" s="278"/>
      <c r="O388" s="278"/>
      <c r="P388" s="278"/>
      <c r="Q388" s="278"/>
      <c r="R388" s="278"/>
      <c r="S388" s="278"/>
      <c r="T388" s="278"/>
      <c r="U388" s="279"/>
      <c r="V388" s="103"/>
      <c r="W388" s="72"/>
      <c r="X388" s="72"/>
      <c r="Y388" s="72"/>
      <c r="Z388" s="45">
        <v>11</v>
      </c>
      <c r="AA388" s="46">
        <v>121</v>
      </c>
      <c r="AB388" s="46">
        <v>132</v>
      </c>
      <c r="AC388" s="72">
        <f t="shared" si="153"/>
        <v>1</v>
      </c>
      <c r="AD388" s="72">
        <f t="shared" si="154"/>
        <v>0</v>
      </c>
      <c r="AE388" s="109" t="str">
        <f t="shared" si="155"/>
        <v>657-664</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8">
        <f>MOD(SUM(E386:E389),12)</f>
        <v>0</v>
      </c>
    </row>
    <row r="389" spans="1:53" ht="15.75" thickBot="1" x14ac:dyDescent="0.3">
      <c r="A389" s="88"/>
      <c r="B389" s="66" t="s">
        <v>281</v>
      </c>
      <c r="C389" s="67" t="s">
        <v>484</v>
      </c>
      <c r="D389" s="102" t="s">
        <v>755</v>
      </c>
      <c r="E389" s="32">
        <v>8</v>
      </c>
      <c r="F389" s="32" t="s">
        <v>488</v>
      </c>
      <c r="G389" s="68" t="s">
        <v>277</v>
      </c>
      <c r="H389" s="69">
        <f t="shared" si="162"/>
        <v>649</v>
      </c>
      <c r="I389" s="70">
        <f t="shared" si="163"/>
        <v>656</v>
      </c>
      <c r="J389" s="73" t="str">
        <f t="shared" si="164"/>
        <v>--</v>
      </c>
      <c r="K389" s="32"/>
      <c r="L389" s="232"/>
      <c r="M389" s="278"/>
      <c r="N389" s="278"/>
      <c r="O389" s="278"/>
      <c r="P389" s="278"/>
      <c r="Q389" s="278"/>
      <c r="R389" s="278"/>
      <c r="S389" s="278"/>
      <c r="T389" s="278"/>
      <c r="U389" s="279"/>
      <c r="V389" s="103"/>
      <c r="W389" s="72"/>
      <c r="X389" s="72"/>
      <c r="Y389" s="72"/>
      <c r="Z389" s="45">
        <v>12</v>
      </c>
      <c r="AA389" s="76">
        <v>133</v>
      </c>
      <c r="AB389" s="76">
        <v>144</v>
      </c>
      <c r="AC389" s="72">
        <f t="shared" si="153"/>
        <v>1</v>
      </c>
      <c r="AD389" s="72">
        <f t="shared" si="154"/>
        <v>0</v>
      </c>
      <c r="AE389" s="109" t="str">
        <f t="shared" si="155"/>
        <v>649-656</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8">
        <f>MOD(SUM(E386:E390),12)</f>
        <v>0</v>
      </c>
    </row>
    <row r="390" spans="1:53" ht="15.75" thickBot="1" x14ac:dyDescent="0.3">
      <c r="A390" s="88"/>
      <c r="B390" s="66" t="s">
        <v>282</v>
      </c>
      <c r="C390" s="67" t="s">
        <v>502</v>
      </c>
      <c r="D390" s="102"/>
      <c r="E390" s="32">
        <v>36</v>
      </c>
      <c r="F390" s="32"/>
      <c r="G390" s="68" t="s">
        <v>277</v>
      </c>
      <c r="H390" s="69">
        <f t="shared" si="162"/>
        <v>613</v>
      </c>
      <c r="I390" s="70">
        <f t="shared" si="163"/>
        <v>648</v>
      </c>
      <c r="J390" s="73" t="str">
        <f t="shared" si="164"/>
        <v>--</v>
      </c>
      <c r="K390" s="32"/>
      <c r="L390" s="232"/>
      <c r="M390" s="278" t="s">
        <v>415</v>
      </c>
      <c r="N390" s="278"/>
      <c r="O390" s="278"/>
      <c r="P390" s="278"/>
      <c r="Q390" s="278"/>
      <c r="R390" s="278"/>
      <c r="S390" s="278"/>
      <c r="T390" s="278"/>
      <c r="U390" s="279"/>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613-648</v>
      </c>
      <c r="AF390" s="109" t="str">
        <f t="shared" si="156"/>
        <v>N</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8">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2"/>
      <c r="M391" s="278"/>
      <c r="N391" s="278"/>
      <c r="O391" s="278"/>
      <c r="P391" s="278"/>
      <c r="Q391" s="278"/>
      <c r="R391" s="278"/>
      <c r="S391" s="278"/>
      <c r="T391" s="278"/>
      <c r="U391" s="279"/>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8">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2"/>
      <c r="M392" s="278"/>
      <c r="N392" s="278"/>
      <c r="O392" s="278"/>
      <c r="P392" s="278"/>
      <c r="Q392" s="278"/>
      <c r="R392" s="278"/>
      <c r="S392" s="278"/>
      <c r="T392" s="278"/>
      <c r="U392" s="279"/>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8">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2"/>
      <c r="M393" s="278"/>
      <c r="N393" s="278"/>
      <c r="O393" s="278"/>
      <c r="P393" s="278"/>
      <c r="Q393" s="278"/>
      <c r="R393" s="278"/>
      <c r="S393" s="278"/>
      <c r="T393" s="278"/>
      <c r="U393" s="279"/>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8">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2"/>
      <c r="M394" s="278"/>
      <c r="N394" s="278"/>
      <c r="O394" s="278"/>
      <c r="P394" s="278"/>
      <c r="Q394" s="278"/>
      <c r="R394" s="278"/>
      <c r="S394" s="278"/>
      <c r="T394" s="278"/>
      <c r="U394" s="279"/>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8">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2"/>
      <c r="M395" s="278"/>
      <c r="N395" s="278"/>
      <c r="O395" s="278"/>
      <c r="P395" s="278"/>
      <c r="Q395" s="278"/>
      <c r="R395" s="278"/>
      <c r="S395" s="278"/>
      <c r="T395" s="278"/>
      <c r="U395" s="279"/>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8">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2"/>
      <c r="M396" s="278"/>
      <c r="N396" s="278"/>
      <c r="O396" s="278"/>
      <c r="P396" s="278"/>
      <c r="Q396" s="278"/>
      <c r="R396" s="278"/>
      <c r="S396" s="278"/>
      <c r="T396" s="278"/>
      <c r="U396" s="279"/>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8">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2"/>
      <c r="M397" s="278"/>
      <c r="N397" s="278"/>
      <c r="O397" s="278"/>
      <c r="P397" s="278"/>
      <c r="Q397" s="278"/>
      <c r="R397" s="278"/>
      <c r="S397" s="278"/>
      <c r="T397" s="278"/>
      <c r="U397" s="279"/>
      <c r="V397" s="103"/>
      <c r="W397" s="84">
        <f>Y397+1</f>
        <v>61</v>
      </c>
      <c r="X397" s="84"/>
      <c r="Y397" s="78">
        <f>SUM(E386:E397)</f>
        <v>60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8">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2"/>
      <c r="M398" s="278"/>
      <c r="N398" s="278"/>
      <c r="O398" s="278"/>
      <c r="P398" s="278"/>
      <c r="Q398" s="278"/>
      <c r="R398" s="278"/>
      <c r="S398" s="278"/>
      <c r="T398" s="278"/>
      <c r="U398" s="279"/>
      <c r="V398" s="103"/>
      <c r="W398" s="84">
        <f>Y398+1</f>
        <v>61</v>
      </c>
      <c r="X398" s="84"/>
      <c r="Y398" s="78">
        <f>SUM(E386:E398)</f>
        <v>60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8">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2"/>
      <c r="M399" s="278"/>
      <c r="N399" s="278"/>
      <c r="O399" s="278"/>
      <c r="P399" s="278"/>
      <c r="Q399" s="278"/>
      <c r="R399" s="278"/>
      <c r="S399" s="278"/>
      <c r="T399" s="278"/>
      <c r="U399" s="279"/>
      <c r="V399" s="103"/>
      <c r="W399" s="84">
        <f>Y399+1</f>
        <v>61</v>
      </c>
      <c r="X399" s="84"/>
      <c r="Y399" s="78">
        <f>SUM(E386:E399)</f>
        <v>60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8">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2"/>
      <c r="M400" s="278"/>
      <c r="N400" s="278"/>
      <c r="O400" s="278"/>
      <c r="P400" s="278"/>
      <c r="Q400" s="278"/>
      <c r="R400" s="278"/>
      <c r="S400" s="278"/>
      <c r="T400" s="278"/>
      <c r="U400" s="279"/>
      <c r="V400" s="103"/>
      <c r="W400" s="84">
        <f>Y400+1</f>
        <v>61</v>
      </c>
      <c r="X400" s="84"/>
      <c r="Y400" s="78">
        <f>SUM(E386:E400)</f>
        <v>60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8">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2"/>
      <c r="M401" s="278"/>
      <c r="N401" s="278"/>
      <c r="O401" s="278"/>
      <c r="P401" s="278"/>
      <c r="Q401" s="278"/>
      <c r="R401" s="278"/>
      <c r="S401" s="278"/>
      <c r="T401" s="278"/>
      <c r="U401" s="279"/>
      <c r="V401" s="103"/>
      <c r="W401" s="84">
        <f t="shared" ref="W401:W409" si="169">Y401+1</f>
        <v>61</v>
      </c>
      <c r="X401" s="84"/>
      <c r="Y401" s="78">
        <f>SUM(E386:E401)</f>
        <v>60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8">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2"/>
      <c r="M402" s="278"/>
      <c r="N402" s="278"/>
      <c r="O402" s="278"/>
      <c r="P402" s="278"/>
      <c r="Q402" s="278"/>
      <c r="R402" s="278"/>
      <c r="S402" s="278"/>
      <c r="T402" s="278"/>
      <c r="U402" s="279"/>
      <c r="V402" s="103"/>
      <c r="W402" s="84">
        <f t="shared" si="169"/>
        <v>61</v>
      </c>
      <c r="X402" s="84"/>
      <c r="Y402" s="78">
        <f>SUM(E386:E402)</f>
        <v>60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8">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2"/>
      <c r="M403" s="278"/>
      <c r="N403" s="278"/>
      <c r="O403" s="278"/>
      <c r="P403" s="278"/>
      <c r="Q403" s="278"/>
      <c r="R403" s="278"/>
      <c r="S403" s="278"/>
      <c r="T403" s="278"/>
      <c r="U403" s="279"/>
      <c r="V403" s="103"/>
      <c r="W403" s="84">
        <f t="shared" si="169"/>
        <v>61</v>
      </c>
      <c r="X403" s="84"/>
      <c r="Y403" s="78">
        <f>SUM(E386:E403)</f>
        <v>60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8">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2"/>
      <c r="M404" s="278"/>
      <c r="N404" s="278"/>
      <c r="O404" s="278"/>
      <c r="P404" s="278"/>
      <c r="Q404" s="278"/>
      <c r="R404" s="278"/>
      <c r="S404" s="278"/>
      <c r="T404" s="278"/>
      <c r="U404" s="279"/>
      <c r="V404" s="103"/>
      <c r="W404" s="84">
        <f t="shared" si="169"/>
        <v>61</v>
      </c>
      <c r="X404" s="84"/>
      <c r="Y404" s="78">
        <f>SUM(E386:E404)</f>
        <v>60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8">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2"/>
      <c r="M405" s="278"/>
      <c r="N405" s="278"/>
      <c r="O405" s="278"/>
      <c r="P405" s="278"/>
      <c r="Q405" s="278"/>
      <c r="R405" s="278"/>
      <c r="S405" s="278"/>
      <c r="T405" s="278"/>
      <c r="U405" s="279"/>
      <c r="V405" s="103"/>
      <c r="W405" s="84">
        <f t="shared" si="169"/>
        <v>61</v>
      </c>
      <c r="X405" s="84"/>
      <c r="Y405" s="78">
        <f>SUM(E386:E405)</f>
        <v>60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8">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2"/>
      <c r="M406" s="278"/>
      <c r="N406" s="278"/>
      <c r="O406" s="278"/>
      <c r="P406" s="278"/>
      <c r="Q406" s="278"/>
      <c r="R406" s="278"/>
      <c r="S406" s="278"/>
      <c r="T406" s="278"/>
      <c r="U406" s="279"/>
      <c r="V406" s="103"/>
      <c r="W406" s="84">
        <f t="shared" si="169"/>
        <v>61</v>
      </c>
      <c r="X406" s="84"/>
      <c r="Y406" s="78">
        <f>SUM(E386:E406)</f>
        <v>60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8">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2"/>
      <c r="M407" s="278"/>
      <c r="N407" s="278"/>
      <c r="O407" s="278"/>
      <c r="P407" s="278"/>
      <c r="Q407" s="278"/>
      <c r="R407" s="278"/>
      <c r="S407" s="278"/>
      <c r="T407" s="278"/>
      <c r="U407" s="279"/>
      <c r="V407" s="103"/>
      <c r="W407" s="84">
        <f t="shared" si="169"/>
        <v>61</v>
      </c>
      <c r="X407" s="84"/>
      <c r="Y407" s="78">
        <f>SUM(E386:E407)</f>
        <v>60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8">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2"/>
      <c r="M408" s="278"/>
      <c r="N408" s="278"/>
      <c r="O408" s="278"/>
      <c r="P408" s="278"/>
      <c r="Q408" s="278"/>
      <c r="R408" s="278"/>
      <c r="S408" s="278"/>
      <c r="T408" s="278"/>
      <c r="U408" s="279"/>
      <c r="V408" s="103"/>
      <c r="W408" s="84">
        <f t="shared" si="169"/>
        <v>61</v>
      </c>
      <c r="X408" s="84"/>
      <c r="Y408" s="78">
        <f>SUM(E386:E408)</f>
        <v>60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8">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2"/>
      <c r="M409" s="278"/>
      <c r="N409" s="278"/>
      <c r="O409" s="278"/>
      <c r="P409" s="278"/>
      <c r="Q409" s="278"/>
      <c r="R409" s="278"/>
      <c r="S409" s="278"/>
      <c r="T409" s="278"/>
      <c r="U409" s="279"/>
      <c r="V409" s="103"/>
      <c r="W409" s="84">
        <f t="shared" si="169"/>
        <v>61</v>
      </c>
      <c r="X409" s="84"/>
      <c r="Y409" s="78">
        <f>SUM(E386:E409)</f>
        <v>60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8">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3"/>
      <c r="M410" s="278"/>
      <c r="N410" s="278"/>
      <c r="O410" s="278"/>
      <c r="P410" s="278"/>
      <c r="Q410" s="278"/>
      <c r="R410" s="278"/>
      <c r="S410" s="278"/>
      <c r="T410" s="278"/>
      <c r="U410" s="279"/>
      <c r="V410" s="103"/>
      <c r="W410" s="72"/>
      <c r="X410" s="72"/>
      <c r="Y410" s="78">
        <f>SUM(E386:E410)</f>
        <v>60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7"/>
    </row>
    <row r="411" spans="1:53" ht="16.5" thickBot="1" x14ac:dyDescent="0.3">
      <c r="A411" s="88"/>
      <c r="B411" s="319" t="s">
        <v>323</v>
      </c>
      <c r="C411" s="320"/>
      <c r="D411" s="79"/>
      <c r="E411" s="80"/>
      <c r="F411" s="80"/>
      <c r="G411" s="81"/>
      <c r="H411" s="191"/>
      <c r="I411" s="191"/>
      <c r="J411" s="191"/>
      <c r="K411" s="82"/>
      <c r="L411" s="319" t="s">
        <v>306</v>
      </c>
      <c r="M411" s="330"/>
      <c r="N411" s="330"/>
      <c r="O411" s="330"/>
      <c r="P411" s="330"/>
      <c r="Q411" s="330"/>
      <c r="R411" s="330"/>
      <c r="S411" s="330"/>
      <c r="T411" s="330"/>
      <c r="U411" s="320"/>
      <c r="V411" s="104"/>
      <c r="W411" s="72"/>
      <c r="X411" s="72"/>
      <c r="Y411" s="72"/>
      <c r="Z411" s="72"/>
      <c r="AA411" s="72" t="str">
        <f t="shared" si="168"/>
        <v/>
      </c>
      <c r="AB411" s="72"/>
      <c r="AC411" s="72">
        <f>SUM(AC386:AC410)</f>
        <v>25</v>
      </c>
      <c r="AD411" s="72">
        <f>SUM(AD386:AD410)</f>
        <v>21</v>
      </c>
      <c r="AM411" s="109">
        <f>SUM(AM386:AM410)</f>
        <v>0</v>
      </c>
      <c r="AN411" s="109">
        <f>SUM(AN386:AN410)</f>
        <v>0</v>
      </c>
      <c r="AO411" s="109">
        <f>((COUNTIF(AO386:AO410,"Y")/3)*2)</f>
        <v>0</v>
      </c>
      <c r="AP411" s="109">
        <f>(COUNTIF(AO386:AO410,"Y")/3)</f>
        <v>0</v>
      </c>
      <c r="AQ411" s="109">
        <f>(COUNTIF(AQ386:AQ410,"Y")/2)</f>
        <v>0</v>
      </c>
      <c r="AR411" s="109">
        <f>(COUNTIF(AQ386:AQ410,"Y")/2)</f>
        <v>0</v>
      </c>
      <c r="BA411" s="227"/>
    </row>
    <row r="412" spans="1:53" ht="16.5" thickBot="1" x14ac:dyDescent="0.3">
      <c r="A412" s="88"/>
      <c r="B412" s="319" t="s">
        <v>307</v>
      </c>
      <c r="C412" s="320"/>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5"/>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5" t="s">
        <v>210</v>
      </c>
      <c r="N415" s="195" t="s">
        <v>211</v>
      </c>
      <c r="O415" s="195" t="s">
        <v>212</v>
      </c>
      <c r="P415" s="195" t="s">
        <v>213</v>
      </c>
      <c r="Q415" s="195" t="s">
        <v>214</v>
      </c>
      <c r="R415" s="195" t="s">
        <v>215</v>
      </c>
      <c r="S415" s="195" t="s">
        <v>216</v>
      </c>
      <c r="T415" s="195" t="s">
        <v>217</v>
      </c>
      <c r="U415" s="195" t="s">
        <v>218</v>
      </c>
      <c r="V415" s="195" t="s">
        <v>219</v>
      </c>
      <c r="W415" s="113" t="s">
        <v>220</v>
      </c>
      <c r="X415" s="195" t="s">
        <v>221</v>
      </c>
      <c r="Y415" s="25"/>
      <c r="Z415" s="25"/>
      <c r="AA415" s="25"/>
      <c r="AB415" s="25"/>
      <c r="AC415" s="25"/>
      <c r="AD415" s="25"/>
      <c r="BA415" s="225"/>
    </row>
    <row r="416" spans="1:53" ht="16.5" thickTop="1" thickBot="1" x14ac:dyDescent="0.3">
      <c r="A416" s="88"/>
      <c r="B416" s="312" t="s">
        <v>222</v>
      </c>
      <c r="C416" s="313"/>
      <c r="D416" s="314" t="s">
        <v>223</v>
      </c>
      <c r="E416" s="305"/>
      <c r="F416" s="88"/>
      <c r="G416" s="315" t="s">
        <v>224</v>
      </c>
      <c r="H416" s="316"/>
      <c r="I416" s="28">
        <f>SUM(E427:E451)</f>
        <v>180</v>
      </c>
      <c r="J416" s="317" t="s">
        <v>225</v>
      </c>
      <c r="K416" s="318"/>
      <c r="L416" s="305"/>
      <c r="M416" s="195">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5" t="s">
        <v>226</v>
      </c>
      <c r="AA416" s="296"/>
      <c r="AB416" s="297"/>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5"/>
    </row>
    <row r="417" spans="1:53" ht="16.5" customHeight="1" thickTop="1" thickBot="1" x14ac:dyDescent="0.3">
      <c r="A417" s="88"/>
      <c r="B417" s="29" t="s">
        <v>228</v>
      </c>
      <c r="C417" s="30">
        <v>0</v>
      </c>
      <c r="D417" s="31" t="s">
        <v>229</v>
      </c>
      <c r="E417" s="66" t="str">
        <f>TEXT(IF('Cable Calculator'!BB7="","",'Cable Calculator'!BB7),)</f>
        <v>EUC</v>
      </c>
      <c r="F417" s="88"/>
      <c r="G417" s="304" t="s">
        <v>230</v>
      </c>
      <c r="H417" s="305"/>
      <c r="I417" s="33">
        <f>E418-I416</f>
        <v>36</v>
      </c>
      <c r="J417" s="289" t="s">
        <v>231</v>
      </c>
      <c r="K417" s="290"/>
      <c r="L417" s="34">
        <f>I421</f>
        <v>421</v>
      </c>
      <c r="M417" s="195">
        <v>4</v>
      </c>
      <c r="N417" s="35">
        <f>SUM(AI417,AI428)</f>
        <v>0</v>
      </c>
      <c r="O417" s="35">
        <v>0</v>
      </c>
      <c r="P417" s="35">
        <f>SUM(AJ417,AJ428)</f>
        <v>0</v>
      </c>
      <c r="Q417" s="35">
        <v>0</v>
      </c>
      <c r="R417" s="35">
        <f>COUNTIFS($E427:$E451,"4",$F427:$F451,"Pole",$C427:$C451,"FST")</f>
        <v>0</v>
      </c>
      <c r="S417" s="35">
        <f>SUM(AL417,AK428)</f>
        <v>0</v>
      </c>
      <c r="T417" s="35">
        <v>0</v>
      </c>
      <c r="U417" s="35">
        <f>SUM(AK417,AL428)</f>
        <v>6</v>
      </c>
      <c r="V417" s="35">
        <v>0</v>
      </c>
      <c r="W417" s="34">
        <f>COUNTIFS($E427:$E451,"4",$F427:$F451,"HH",$C427:$C451,"FST")</f>
        <v>6</v>
      </c>
      <c r="X417" s="35">
        <f>COUNTIFS($E427:$E451,"4",$F427:$F451,"Ped",$C427:$C451,"FST")</f>
        <v>0</v>
      </c>
      <c r="Y417" s="25"/>
      <c r="Z417" s="298" t="s">
        <v>232</v>
      </c>
      <c r="AA417" s="300" t="s">
        <v>233</v>
      </c>
      <c r="AB417" s="301"/>
      <c r="AC417" s="25"/>
      <c r="AD417" s="25"/>
      <c r="AH417" s="109">
        <v>4</v>
      </c>
      <c r="AI417" s="109" t="str">
        <f>IF($E417="SS",COUNTIFS($C427:$C451,"FST",$E427:$E451,"4"),"0")</f>
        <v>0</v>
      </c>
      <c r="AJ417" s="109" t="str">
        <f>IF($E417="RPX",COUNTIFS($C427:$C451,"FST",$E427:$E451,"4"),"0")</f>
        <v>0</v>
      </c>
      <c r="AK417" s="109">
        <f>IF($E417="EUC",COUNTIFS($C427:$C451,"FST",$E427:$E451,"4"),"0")</f>
        <v>6</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6"/>
    </row>
    <row r="418" spans="1:53" ht="16.5" thickTop="1" thickBot="1" x14ac:dyDescent="0.3">
      <c r="A418" s="88"/>
      <c r="B418" s="36" t="s">
        <v>235</v>
      </c>
      <c r="C418" s="37">
        <v>0</v>
      </c>
      <c r="D418" s="38" t="s">
        <v>236</v>
      </c>
      <c r="E418" s="32">
        <v>216</v>
      </c>
      <c r="F418" s="88"/>
      <c r="G418" s="291" t="s">
        <v>237</v>
      </c>
      <c r="H418" s="292"/>
      <c r="I418" s="35">
        <f>IF(E418=0,0,12-(MOD(I416,12)))</f>
        <v>12</v>
      </c>
      <c r="J418" s="289" t="s">
        <v>238</v>
      </c>
      <c r="K418" s="290"/>
      <c r="L418" s="39">
        <f>I422-I416</f>
        <v>420</v>
      </c>
      <c r="M418" s="195">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9"/>
      <c r="AA418" s="302"/>
      <c r="AB418" s="303"/>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6"/>
    </row>
    <row r="419" spans="1:53" ht="16.5" customHeight="1" thickTop="1" thickBot="1" x14ac:dyDescent="0.3">
      <c r="A419" s="88"/>
      <c r="B419" s="40" t="s">
        <v>240</v>
      </c>
      <c r="C419" s="30">
        <v>0</v>
      </c>
      <c r="D419" s="41" t="s">
        <v>241</v>
      </c>
      <c r="E419" s="42">
        <v>36</v>
      </c>
      <c r="F419" s="88"/>
      <c r="G419" s="321" t="s">
        <v>242</v>
      </c>
      <c r="H419" s="43" t="s">
        <v>243</v>
      </c>
      <c r="I419" s="35">
        <f>IF(E419&lt;&gt;0,1,0)</f>
        <v>1</v>
      </c>
      <c r="J419" s="291" t="s">
        <v>244</v>
      </c>
      <c r="K419" s="292"/>
      <c r="L419" s="44">
        <f>'Cable Calculator'!BB3</f>
        <v>2122</v>
      </c>
      <c r="M419" s="195">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6"/>
    </row>
    <row r="420" spans="1:53" ht="16.5" thickTop="1" thickBot="1" x14ac:dyDescent="0.3">
      <c r="A420" s="88"/>
      <c r="B420" s="29" t="s">
        <v>246</v>
      </c>
      <c r="C420" s="37">
        <v>0</v>
      </c>
      <c r="D420" s="41" t="s">
        <v>247</v>
      </c>
      <c r="E420" s="42">
        <v>421</v>
      </c>
      <c r="F420" s="88"/>
      <c r="G420" s="322"/>
      <c r="H420" s="47" t="s">
        <v>248</v>
      </c>
      <c r="I420" s="35">
        <f>IF(E419&lt;&gt;0,E419,0)</f>
        <v>36</v>
      </c>
      <c r="J420" s="193"/>
      <c r="K420" s="194"/>
      <c r="L420" s="48"/>
      <c r="M420" s="195">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1</v>
      </c>
      <c r="V420" s="35">
        <f>IF($E417="EUC",SUM($AN452,AP452,AR452),"0")</f>
        <v>0</v>
      </c>
      <c r="W420" s="34">
        <f>COUNTIFS($E427:$E451,"12",$F427:$F451,"HH",$C427:$C451,"FST")</f>
        <v>1</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1</v>
      </c>
      <c r="AL420" s="109" t="str">
        <f>IF($E417="RPX-T",COUNTIFS($C427:$C451,"FST",$E427:$E451,"12"),"0")</f>
        <v>0</v>
      </c>
      <c r="BA420" s="226"/>
    </row>
    <row r="421" spans="1:53" ht="16.5" customHeight="1" thickTop="1" thickBot="1" x14ac:dyDescent="0.3">
      <c r="A421" s="88"/>
      <c r="B421" s="36" t="s">
        <v>249</v>
      </c>
      <c r="C421" s="30">
        <v>0</v>
      </c>
      <c r="D421" s="49" t="s">
        <v>250</v>
      </c>
      <c r="E421" s="50">
        <f>E418/12</f>
        <v>18</v>
      </c>
      <c r="F421" s="88"/>
      <c r="G421" s="321" t="s">
        <v>251</v>
      </c>
      <c r="H421" s="51" t="s">
        <v>252</v>
      </c>
      <c r="I421" s="112">
        <f>E420</f>
        <v>421</v>
      </c>
      <c r="J421" s="323" t="s">
        <v>253</v>
      </c>
      <c r="K421" s="324"/>
      <c r="L421" s="325"/>
      <c r="M421" s="52" t="s">
        <v>254</v>
      </c>
      <c r="N421" s="106"/>
      <c r="O421" s="106"/>
      <c r="P421" s="191"/>
      <c r="Q421" s="191"/>
      <c r="R421" s="191"/>
      <c r="S421" s="191"/>
      <c r="T421" s="191"/>
      <c r="U421" s="191"/>
      <c r="V421" s="191"/>
      <c r="W421" s="53">
        <f>SUM(P421:U421)</f>
        <v>0</v>
      </c>
      <c r="X421" s="54"/>
      <c r="Y421" s="25"/>
      <c r="Z421" s="45">
        <v>3</v>
      </c>
      <c r="AA421" s="46">
        <v>25</v>
      </c>
      <c r="AB421" s="46">
        <v>36</v>
      </c>
      <c r="AC421" s="25"/>
      <c r="AD421" s="25"/>
      <c r="BA421" s="226"/>
    </row>
    <row r="422" spans="1:53" ht="16.5" thickTop="1" thickBot="1" x14ac:dyDescent="0.3">
      <c r="A422" s="88"/>
      <c r="B422" s="36" t="s">
        <v>255</v>
      </c>
      <c r="C422" s="30">
        <v>0</v>
      </c>
      <c r="D422" s="31" t="s">
        <v>256</v>
      </c>
      <c r="E422" s="101" t="str">
        <f>IF('Cable Calculator'!BB5="","",'Cable Calculator'!BB5)</f>
        <v>N</v>
      </c>
      <c r="F422" s="88"/>
      <c r="G422" s="322"/>
      <c r="H422" s="47" t="s">
        <v>257</v>
      </c>
      <c r="I422" s="35">
        <f>IF(E420="","0",IF(AND(E417="EUC",E418=432), I421+(203-E419),IF(E420=0,0,(E420+(E418-E419)-1))))</f>
        <v>600</v>
      </c>
      <c r="J422" s="286" t="str">
        <f>IFERROR(IF(OR(E417="EUC",E417="SS"),"---",IF(OR(P416,S416),"NO 2F Tethers for RPX!",IF(OR(P418,S418),"NO 6F Tethers for RPX!","---"))),"---")</f>
        <v>---</v>
      </c>
      <c r="K422" s="287"/>
      <c r="L422" s="288"/>
      <c r="M422" s="286" t="str">
        <f>IF(E419&gt;60,"Dead Count &gt;60: Consider Downsize","---")</f>
        <v>---</v>
      </c>
      <c r="N422" s="287"/>
      <c r="O422" s="287"/>
      <c r="P422" s="287"/>
      <c r="Q422" s="287"/>
      <c r="R422" s="287"/>
      <c r="S422" s="287"/>
      <c r="T422" s="287"/>
      <c r="U422" s="288"/>
      <c r="V422" s="100"/>
      <c r="W422" s="54">
        <f>SUM(P422:U422)</f>
        <v>0</v>
      </c>
      <c r="X422" s="54"/>
      <c r="Y422" s="25"/>
      <c r="Z422" s="45">
        <v>4</v>
      </c>
      <c r="AA422" s="46">
        <v>37</v>
      </c>
      <c r="AB422" s="46">
        <v>48</v>
      </c>
      <c r="AC422" s="25"/>
      <c r="AD422" s="25"/>
      <c r="BA422" s="226"/>
    </row>
    <row r="423" spans="1:53" ht="16.5" thickTop="1" thickBot="1" x14ac:dyDescent="0.3">
      <c r="A423" s="88"/>
      <c r="B423" s="55" t="s">
        <v>258</v>
      </c>
      <c r="C423" s="56">
        <f>SUM(C417:C422)+I416</f>
        <v>180</v>
      </c>
      <c r="D423" s="31" t="s">
        <v>259</v>
      </c>
      <c r="E423" s="101" t="str">
        <f>IF(AS417="Y","DBL",IF(AS418="Y","TRPL",IF(AS419="Y","QUAD","")))</f>
        <v/>
      </c>
      <c r="F423" s="88"/>
      <c r="G423" s="191"/>
      <c r="H423" s="57"/>
      <c r="I423" s="191"/>
      <c r="J423" s="286"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7"/>
      <c r="L423" s="288"/>
      <c r="M423" s="286" t="str">
        <f>IF(AND(OR(E417="SS",E417="RPX",E417="EUC",E417="RPX-T"),(OR(C427="",C427="Field SPL"))),"Cannot have FlexNap cables without tethers","---")</f>
        <v>---</v>
      </c>
      <c r="N423" s="287"/>
      <c r="O423" s="287"/>
      <c r="P423" s="287"/>
      <c r="Q423" s="287"/>
      <c r="R423" s="287"/>
      <c r="S423" s="287"/>
      <c r="T423" s="287"/>
      <c r="U423" s="288"/>
      <c r="V423" s="25"/>
      <c r="W423" s="58"/>
      <c r="X423" s="58"/>
      <c r="Y423" s="25"/>
      <c r="Z423" s="45">
        <v>5</v>
      </c>
      <c r="AA423" s="46">
        <v>49</v>
      </c>
      <c r="AB423" s="46">
        <v>60</v>
      </c>
      <c r="AC423" s="25"/>
      <c r="AD423" s="25"/>
      <c r="BA423" s="226"/>
    </row>
    <row r="424" spans="1:53" ht="16.5" thickTop="1" thickBot="1" x14ac:dyDescent="0.3">
      <c r="A424" s="88"/>
      <c r="B424" s="59"/>
      <c r="C424" s="60"/>
      <c r="D424" s="61"/>
      <c r="E424" s="62"/>
      <c r="F424" s="88"/>
      <c r="G424" s="63"/>
      <c r="H424" s="64"/>
      <c r="I424" s="63"/>
      <c r="J424" s="286" t="str">
        <f>IF(AND(OR(E417="RPX", E417="RPX-T", E417="SS"),E418=216),"NO 216 For RPX, RPX-T, OR SS CABLE","---")</f>
        <v>---</v>
      </c>
      <c r="K424" s="287"/>
      <c r="L424" s="288"/>
      <c r="M424" s="286" t="str" cm="1">
        <f t="array" ref="M424">IF(AND(E417="",OR(C427:C451="FST",C427:C451="REV T",C427:C451="DBL REV",C427:C451="TPL REV", C427:C451="QD REV")),"Non-FlexNap cables cannot have tethers","---")</f>
        <v>---</v>
      </c>
      <c r="N424" s="287"/>
      <c r="O424" s="287"/>
      <c r="P424" s="287"/>
      <c r="Q424" s="287"/>
      <c r="R424" s="287"/>
      <c r="S424" s="287"/>
      <c r="T424" s="287"/>
      <c r="U424" s="288"/>
      <c r="V424" s="25"/>
      <c r="W424" s="58"/>
      <c r="X424" s="58"/>
      <c r="Y424" s="25"/>
      <c r="Z424" s="45">
        <v>6</v>
      </c>
      <c r="AA424" s="65">
        <v>61</v>
      </c>
      <c r="AB424" s="65">
        <v>72</v>
      </c>
      <c r="AC424" s="25"/>
      <c r="AD424" s="25"/>
      <c r="BA424" s="225"/>
    </row>
    <row r="425" spans="1:53" ht="15.75" customHeight="1" thickBot="1" x14ac:dyDescent="0.3">
      <c r="A425" s="88"/>
      <c r="B425" s="321" t="s">
        <v>260</v>
      </c>
      <c r="C425" s="293" t="s">
        <v>261</v>
      </c>
      <c r="D425" s="293" t="s">
        <v>262</v>
      </c>
      <c r="E425" s="306" t="s">
        <v>263</v>
      </c>
      <c r="F425" s="293" t="s">
        <v>264</v>
      </c>
      <c r="G425" s="308" t="s">
        <v>265</v>
      </c>
      <c r="H425" s="308" t="s">
        <v>266</v>
      </c>
      <c r="I425" s="308" t="s">
        <v>267</v>
      </c>
      <c r="J425" s="310" t="s">
        <v>268</v>
      </c>
      <c r="K425" s="293" t="s">
        <v>269</v>
      </c>
      <c r="L425" s="280" t="s">
        <v>270</v>
      </c>
      <c r="M425" s="282" t="s">
        <v>271</v>
      </c>
      <c r="N425" s="282"/>
      <c r="O425" s="282"/>
      <c r="P425" s="282"/>
      <c r="Q425" s="282"/>
      <c r="R425" s="282"/>
      <c r="S425" s="282"/>
      <c r="T425" s="282"/>
      <c r="U425" s="283"/>
      <c r="V425" s="107"/>
      <c r="W425" s="72"/>
      <c r="X425" s="72"/>
      <c r="Y425" s="72"/>
      <c r="Z425" s="45">
        <v>7</v>
      </c>
      <c r="AA425" s="65">
        <v>73</v>
      </c>
      <c r="AB425" s="65">
        <v>84</v>
      </c>
      <c r="AC425" s="25"/>
      <c r="AD425" s="25"/>
      <c r="BA425" s="227"/>
    </row>
    <row r="426" spans="1:53" ht="15.75" thickBot="1" x14ac:dyDescent="0.3">
      <c r="A426" s="88"/>
      <c r="B426" s="322"/>
      <c r="C426" s="294"/>
      <c r="D426" s="294"/>
      <c r="E426" s="307"/>
      <c r="F426" s="294"/>
      <c r="G426" s="309"/>
      <c r="H426" s="309"/>
      <c r="I426" s="309"/>
      <c r="J426" s="311"/>
      <c r="K426" s="294"/>
      <c r="L426" s="281"/>
      <c r="M426" s="284"/>
      <c r="N426" s="284"/>
      <c r="O426" s="284"/>
      <c r="P426" s="284"/>
      <c r="Q426" s="284"/>
      <c r="R426" s="284"/>
      <c r="S426" s="284"/>
      <c r="T426" s="284"/>
      <c r="U426" s="285"/>
      <c r="V426" s="107"/>
      <c r="W426" s="72"/>
      <c r="X426" s="72"/>
      <c r="Y426" s="72"/>
      <c r="Z426" s="45">
        <v>8</v>
      </c>
      <c r="AA426" s="46">
        <v>85</v>
      </c>
      <c r="AB426" s="46">
        <v>96</v>
      </c>
      <c r="AC426" s="25"/>
      <c r="AD426" s="25"/>
      <c r="AI426" s="109" t="s">
        <v>272</v>
      </c>
      <c r="AJ426" s="109" t="s">
        <v>273</v>
      </c>
      <c r="AK426" s="109" t="s">
        <v>274</v>
      </c>
      <c r="AL426" s="109" t="s">
        <v>275</v>
      </c>
      <c r="BA426" s="227"/>
    </row>
    <row r="427" spans="1:53" ht="15.75" thickBot="1" x14ac:dyDescent="0.3">
      <c r="A427" s="88"/>
      <c r="B427" s="66" t="s">
        <v>276</v>
      </c>
      <c r="C427" s="67" t="s">
        <v>484</v>
      </c>
      <c r="D427" s="102" t="s">
        <v>756</v>
      </c>
      <c r="E427" s="32">
        <v>4</v>
      </c>
      <c r="F427" s="32" t="s">
        <v>488</v>
      </c>
      <c r="G427" s="68" t="s">
        <v>277</v>
      </c>
      <c r="H427" s="69">
        <f>IF(I427=0,0,I427-(E427-1))</f>
        <v>597</v>
      </c>
      <c r="I427" s="70">
        <f>IF(E427=0,0,I422)</f>
        <v>600</v>
      </c>
      <c r="J427" s="71" t="s">
        <v>278</v>
      </c>
      <c r="K427" s="32"/>
      <c r="L427" s="232"/>
      <c r="M427" s="278"/>
      <c r="N427" s="278"/>
      <c r="O427" s="278"/>
      <c r="P427" s="278"/>
      <c r="Q427" s="278"/>
      <c r="R427" s="278"/>
      <c r="S427" s="278"/>
      <c r="T427" s="278"/>
      <c r="U427" s="279"/>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597-600</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8">
        <f>MOD(E427,12)</f>
        <v>4</v>
      </c>
    </row>
    <row r="428" spans="1:53" ht="15.75" thickBot="1" x14ac:dyDescent="0.3">
      <c r="A428" s="88"/>
      <c r="B428" s="66" t="s">
        <v>279</v>
      </c>
      <c r="C428" s="67" t="s">
        <v>484</v>
      </c>
      <c r="D428" s="102" t="s">
        <v>804</v>
      </c>
      <c r="E428" s="32">
        <v>12</v>
      </c>
      <c r="F428" s="32" t="s">
        <v>488</v>
      </c>
      <c r="G428" s="68" t="s">
        <v>277</v>
      </c>
      <c r="H428" s="69">
        <f t="shared" ref="H428:H451" si="179">IF(E428=0,0,I428-(E428-1))</f>
        <v>585</v>
      </c>
      <c r="I428" s="70">
        <f t="shared" ref="I428:I451" si="180">IF(E428=0,0,H427-1)</f>
        <v>596</v>
      </c>
      <c r="J428" s="73" t="str">
        <f>IF(C428="","--",IF(AND(C428&lt;&gt;"FST",C428&lt;&gt;"TCF",BA427&lt;&gt;0),BA427,"--"))</f>
        <v>--</v>
      </c>
      <c r="K428" s="32"/>
      <c r="L428" s="232"/>
      <c r="M428" s="278"/>
      <c r="N428" s="278"/>
      <c r="O428" s="278"/>
      <c r="P428" s="278"/>
      <c r="Q428" s="278"/>
      <c r="R428" s="278"/>
      <c r="S428" s="278"/>
      <c r="T428" s="278"/>
      <c r="U428" s="279"/>
      <c r="V428" s="103"/>
      <c r="W428" s="72"/>
      <c r="X428" s="72"/>
      <c r="Y428" s="72"/>
      <c r="Z428" s="45">
        <v>10</v>
      </c>
      <c r="AA428" s="46">
        <v>109</v>
      </c>
      <c r="AB428" s="46">
        <v>120</v>
      </c>
      <c r="AC428" s="72">
        <f t="shared" si="170"/>
        <v>1</v>
      </c>
      <c r="AD428" s="72">
        <f t="shared" si="171"/>
        <v>0</v>
      </c>
      <c r="AE428" s="109" t="str">
        <f t="shared" si="172"/>
        <v>585-596</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8">
        <f>MOD(SUM(E427:E428),12)</f>
        <v>4</v>
      </c>
    </row>
    <row r="429" spans="1:53" ht="15.75" thickBot="1" x14ac:dyDescent="0.3">
      <c r="A429" s="88"/>
      <c r="B429" s="74" t="s">
        <v>280</v>
      </c>
      <c r="C429" s="67" t="s">
        <v>484</v>
      </c>
      <c r="D429" s="102" t="s">
        <v>757</v>
      </c>
      <c r="E429" s="32">
        <v>4</v>
      </c>
      <c r="F429" s="32" t="s">
        <v>488</v>
      </c>
      <c r="G429" s="75" t="s">
        <v>277</v>
      </c>
      <c r="H429" s="69">
        <f t="shared" si="179"/>
        <v>581</v>
      </c>
      <c r="I429" s="70">
        <f t="shared" si="180"/>
        <v>584</v>
      </c>
      <c r="J429" s="73" t="str">
        <f t="shared" ref="J429:J451" si="181">IF(C429="","--",IF(AND(C429&lt;&gt;"FST",C429&lt;&gt;"TCF",BA428&lt;&gt;0),BA428,"--"))</f>
        <v>--</v>
      </c>
      <c r="K429" s="32"/>
      <c r="L429" s="232"/>
      <c r="M429" s="278"/>
      <c r="N429" s="278"/>
      <c r="O429" s="278"/>
      <c r="P429" s="278"/>
      <c r="Q429" s="278"/>
      <c r="R429" s="278"/>
      <c r="S429" s="278"/>
      <c r="T429" s="278"/>
      <c r="U429" s="279"/>
      <c r="V429" s="103"/>
      <c r="W429" s="72"/>
      <c r="X429" s="72"/>
      <c r="Y429" s="72"/>
      <c r="Z429" s="45">
        <v>11</v>
      </c>
      <c r="AA429" s="46">
        <v>121</v>
      </c>
      <c r="AB429" s="46">
        <v>132</v>
      </c>
      <c r="AC429" s="72">
        <f t="shared" si="170"/>
        <v>1</v>
      </c>
      <c r="AD429" s="72">
        <f t="shared" si="171"/>
        <v>0</v>
      </c>
      <c r="AE429" s="109" t="str">
        <f t="shared" si="172"/>
        <v>581-584</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8">
        <f>MOD(SUM(E427:E430),12)</f>
        <v>0</v>
      </c>
    </row>
    <row r="430" spans="1:53" ht="15.75" thickBot="1" x14ac:dyDescent="0.3">
      <c r="A430" s="88"/>
      <c r="B430" s="66" t="s">
        <v>281</v>
      </c>
      <c r="C430" s="67" t="s">
        <v>484</v>
      </c>
      <c r="D430" s="102" t="s">
        <v>758</v>
      </c>
      <c r="E430" s="32">
        <v>4</v>
      </c>
      <c r="F430" s="32" t="s">
        <v>488</v>
      </c>
      <c r="G430" s="68" t="s">
        <v>277</v>
      </c>
      <c r="H430" s="69">
        <f t="shared" si="179"/>
        <v>577</v>
      </c>
      <c r="I430" s="70">
        <f t="shared" si="180"/>
        <v>580</v>
      </c>
      <c r="J430" s="73" t="str">
        <f t="shared" si="181"/>
        <v>--</v>
      </c>
      <c r="K430" s="32"/>
      <c r="L430" s="232"/>
      <c r="M430" s="278"/>
      <c r="N430" s="278"/>
      <c r="O430" s="278"/>
      <c r="P430" s="278"/>
      <c r="Q430" s="278"/>
      <c r="R430" s="278"/>
      <c r="S430" s="278"/>
      <c r="T430" s="278"/>
      <c r="U430" s="279"/>
      <c r="V430" s="103"/>
      <c r="W430" s="72"/>
      <c r="X430" s="72"/>
      <c r="Y430" s="72"/>
      <c r="Z430" s="45">
        <v>12</v>
      </c>
      <c r="AA430" s="76">
        <v>133</v>
      </c>
      <c r="AB430" s="76">
        <v>144</v>
      </c>
      <c r="AC430" s="72">
        <f t="shared" si="170"/>
        <v>1</v>
      </c>
      <c r="AD430" s="72">
        <f t="shared" si="171"/>
        <v>0</v>
      </c>
      <c r="AE430" s="109" t="str">
        <f t="shared" si="172"/>
        <v>577-580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8">
        <f>MOD(SUM(E427:E431),12)</f>
        <v>4</v>
      </c>
    </row>
    <row r="431" spans="1:53" ht="15.75" thickBot="1" x14ac:dyDescent="0.3">
      <c r="A431" s="88"/>
      <c r="B431" s="66" t="s">
        <v>282</v>
      </c>
      <c r="C431" s="67" t="s">
        <v>484</v>
      </c>
      <c r="D431" s="102" t="s">
        <v>759</v>
      </c>
      <c r="E431" s="32">
        <v>4</v>
      </c>
      <c r="F431" s="32" t="s">
        <v>488</v>
      </c>
      <c r="G431" s="68" t="s">
        <v>277</v>
      </c>
      <c r="H431" s="69">
        <f t="shared" si="179"/>
        <v>573</v>
      </c>
      <c r="I431" s="70">
        <f t="shared" si="180"/>
        <v>576</v>
      </c>
      <c r="J431" s="73" t="str">
        <f t="shared" si="181"/>
        <v>--</v>
      </c>
      <c r="K431" s="32"/>
      <c r="L431" s="232"/>
      <c r="M431" s="278"/>
      <c r="N431" s="278"/>
      <c r="O431" s="278"/>
      <c r="P431" s="278"/>
      <c r="Q431" s="278"/>
      <c r="R431" s="278"/>
      <c r="S431" s="278"/>
      <c r="T431" s="278"/>
      <c r="U431" s="279"/>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573-576</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8">
        <f>MOD(SUM(E427:E432),12)</f>
        <v>8</v>
      </c>
    </row>
    <row r="432" spans="1:53" ht="15.75" thickBot="1" x14ac:dyDescent="0.3">
      <c r="A432" s="88"/>
      <c r="B432" s="66" t="s">
        <v>283</v>
      </c>
      <c r="C432" s="67" t="s">
        <v>484</v>
      </c>
      <c r="D432" s="102" t="s">
        <v>760</v>
      </c>
      <c r="E432" s="32">
        <v>4</v>
      </c>
      <c r="F432" s="32" t="s">
        <v>488</v>
      </c>
      <c r="G432" s="68" t="s">
        <v>277</v>
      </c>
      <c r="H432" s="69">
        <f t="shared" si="179"/>
        <v>569</v>
      </c>
      <c r="I432" s="70">
        <f t="shared" si="180"/>
        <v>572</v>
      </c>
      <c r="J432" s="73" t="str">
        <f t="shared" si="181"/>
        <v>--</v>
      </c>
      <c r="K432" s="32"/>
      <c r="L432" s="232"/>
      <c r="M432" s="278"/>
      <c r="N432" s="278"/>
      <c r="O432" s="278"/>
      <c r="P432" s="278"/>
      <c r="Q432" s="278"/>
      <c r="R432" s="278"/>
      <c r="S432" s="278"/>
      <c r="T432" s="278"/>
      <c r="U432" s="279"/>
      <c r="V432" s="103"/>
      <c r="W432" s="72"/>
      <c r="X432" s="72"/>
      <c r="Y432" s="72"/>
      <c r="Z432" s="45">
        <v>14</v>
      </c>
      <c r="AA432" s="77">
        <f t="shared" si="182"/>
        <v>157</v>
      </c>
      <c r="AB432" s="77">
        <f t="shared" si="183"/>
        <v>168</v>
      </c>
      <c r="AC432" s="72">
        <f t="shared" si="170"/>
        <v>1</v>
      </c>
      <c r="AD432" s="72">
        <f t="shared" si="171"/>
        <v>0</v>
      </c>
      <c r="AE432" s="109" t="str">
        <f t="shared" si="172"/>
        <v>569-572</v>
      </c>
      <c r="AF432" s="109" t="str">
        <f t="shared" si="173"/>
        <v>Y</v>
      </c>
      <c r="AG432" s="109" t="str">
        <f t="shared" si="174"/>
        <v>B</v>
      </c>
      <c r="AM432" s="109">
        <f t="shared" si="175"/>
        <v>0</v>
      </c>
      <c r="AN432" s="109">
        <f t="shared" si="176"/>
        <v>0</v>
      </c>
      <c r="AO432" s="109" t="str">
        <f t="shared" si="177"/>
        <v/>
      </c>
      <c r="AQ432" s="109" t="str">
        <f t="shared" si="178"/>
        <v/>
      </c>
      <c r="BA432" s="228">
        <f>MOD(SUM(E427:E433),12)</f>
        <v>0</v>
      </c>
    </row>
    <row r="433" spans="1:53" ht="15.75" thickBot="1" x14ac:dyDescent="0.3">
      <c r="A433" s="88"/>
      <c r="B433" s="66" t="s">
        <v>284</v>
      </c>
      <c r="C433" s="67" t="s">
        <v>484</v>
      </c>
      <c r="D433" s="102" t="s">
        <v>792</v>
      </c>
      <c r="E433" s="32">
        <v>4</v>
      </c>
      <c r="F433" s="32" t="s">
        <v>488</v>
      </c>
      <c r="G433" s="68" t="s">
        <v>277</v>
      </c>
      <c r="H433" s="69">
        <f t="shared" si="179"/>
        <v>565</v>
      </c>
      <c r="I433" s="70">
        <f t="shared" si="180"/>
        <v>568</v>
      </c>
      <c r="J433" s="73" t="str">
        <f t="shared" si="181"/>
        <v>--</v>
      </c>
      <c r="K433" s="32"/>
      <c r="L433" s="232"/>
      <c r="M433" s="278"/>
      <c r="N433" s="278"/>
      <c r="O433" s="278"/>
      <c r="P433" s="278"/>
      <c r="Q433" s="278"/>
      <c r="R433" s="278"/>
      <c r="S433" s="278"/>
      <c r="T433" s="278"/>
      <c r="U433" s="279"/>
      <c r="V433" s="103"/>
      <c r="W433" s="72"/>
      <c r="X433" s="72"/>
      <c r="Y433" s="72"/>
      <c r="Z433" s="45">
        <v>15</v>
      </c>
      <c r="AA433" s="77">
        <f t="shared" si="182"/>
        <v>169</v>
      </c>
      <c r="AB433" s="77">
        <f t="shared" si="183"/>
        <v>180</v>
      </c>
      <c r="AC433" s="72">
        <f t="shared" si="170"/>
        <v>1</v>
      </c>
      <c r="AD433" s="72">
        <f t="shared" si="171"/>
        <v>0</v>
      </c>
      <c r="AE433" s="109" t="str">
        <f t="shared" si="172"/>
        <v>565-568</v>
      </c>
      <c r="AF433" s="109" t="str">
        <f t="shared" si="173"/>
        <v>Y</v>
      </c>
      <c r="AG433" s="109" t="str">
        <f t="shared" si="174"/>
        <v>B</v>
      </c>
      <c r="AM433" s="109">
        <f t="shared" si="175"/>
        <v>0</v>
      </c>
      <c r="AN433" s="109">
        <f t="shared" si="176"/>
        <v>0</v>
      </c>
      <c r="AO433" s="109" t="str">
        <f t="shared" si="177"/>
        <v/>
      </c>
      <c r="AQ433" s="109" t="str">
        <f t="shared" si="178"/>
        <v/>
      </c>
      <c r="BA433" s="228">
        <f>MOD(SUM(E427:E434),12)</f>
        <v>0</v>
      </c>
    </row>
    <row r="434" spans="1:53" ht="15.75" thickBot="1" x14ac:dyDescent="0.3">
      <c r="A434" s="88"/>
      <c r="B434" s="66" t="s">
        <v>285</v>
      </c>
      <c r="C434" s="67" t="s">
        <v>502</v>
      </c>
      <c r="D434" s="102"/>
      <c r="E434" s="32">
        <v>12</v>
      </c>
      <c r="F434" s="32"/>
      <c r="G434" s="68" t="s">
        <v>277</v>
      </c>
      <c r="H434" s="69">
        <f t="shared" si="179"/>
        <v>553</v>
      </c>
      <c r="I434" s="70">
        <f t="shared" si="180"/>
        <v>564</v>
      </c>
      <c r="J434" s="73" t="str">
        <f t="shared" si="181"/>
        <v>--</v>
      </c>
      <c r="K434" s="32"/>
      <c r="L434" s="232"/>
      <c r="M434" s="278" t="s">
        <v>416</v>
      </c>
      <c r="N434" s="278"/>
      <c r="O434" s="278"/>
      <c r="P434" s="278"/>
      <c r="Q434" s="278"/>
      <c r="R434" s="278"/>
      <c r="S434" s="278"/>
      <c r="T434" s="278"/>
      <c r="U434" s="279"/>
      <c r="V434" s="103"/>
      <c r="W434" s="72"/>
      <c r="X434" s="72"/>
      <c r="Y434" s="72"/>
      <c r="Z434" s="45">
        <f>Z433+1</f>
        <v>16</v>
      </c>
      <c r="AA434" s="77">
        <f t="shared" si="182"/>
        <v>181</v>
      </c>
      <c r="AB434" s="77">
        <f t="shared" si="183"/>
        <v>192</v>
      </c>
      <c r="AC434" s="72">
        <f t="shared" si="170"/>
        <v>1</v>
      </c>
      <c r="AD434" s="72">
        <f t="shared" si="171"/>
        <v>1</v>
      </c>
      <c r="AE434" s="109" t="str">
        <f t="shared" si="172"/>
        <v>553-564</v>
      </c>
      <c r="AF434" s="109" t="str">
        <f t="shared" si="173"/>
        <v>N</v>
      </c>
      <c r="AG434" s="109" t="str">
        <f t="shared" si="174"/>
        <v>B</v>
      </c>
      <c r="AM434" s="109">
        <f t="shared" si="175"/>
        <v>0</v>
      </c>
      <c r="AN434" s="109">
        <f t="shared" si="176"/>
        <v>0</v>
      </c>
      <c r="AO434" s="109" t="str">
        <f t="shared" si="177"/>
        <v/>
      </c>
      <c r="AQ434" s="109" t="str">
        <f t="shared" si="178"/>
        <v/>
      </c>
      <c r="BA434" s="228">
        <f>MOD(SUM(E427:E435),12)</f>
        <v>0</v>
      </c>
    </row>
    <row r="435" spans="1:53" ht="15.75" thickBot="1" x14ac:dyDescent="0.3">
      <c r="A435" s="88"/>
      <c r="B435" s="66" t="s">
        <v>286</v>
      </c>
      <c r="C435" s="67" t="s">
        <v>502</v>
      </c>
      <c r="D435" s="102"/>
      <c r="E435" s="32">
        <v>132</v>
      </c>
      <c r="F435" s="32"/>
      <c r="G435" s="68" t="s">
        <v>277</v>
      </c>
      <c r="H435" s="69">
        <f t="shared" si="179"/>
        <v>421</v>
      </c>
      <c r="I435" s="70">
        <f t="shared" si="180"/>
        <v>552</v>
      </c>
      <c r="J435" s="73" t="str">
        <f t="shared" si="181"/>
        <v>--</v>
      </c>
      <c r="K435" s="32"/>
      <c r="L435" s="232"/>
      <c r="M435" s="278" t="s">
        <v>417</v>
      </c>
      <c r="N435" s="278"/>
      <c r="O435" s="278"/>
      <c r="P435" s="278"/>
      <c r="Q435" s="278"/>
      <c r="R435" s="278"/>
      <c r="S435" s="278"/>
      <c r="T435" s="278"/>
      <c r="U435" s="279"/>
      <c r="V435" s="103"/>
      <c r="W435" s="72"/>
      <c r="X435" s="72"/>
      <c r="Y435" s="72"/>
      <c r="Z435" s="45">
        <f>Z434+1</f>
        <v>17</v>
      </c>
      <c r="AA435" s="77">
        <f t="shared" si="182"/>
        <v>193</v>
      </c>
      <c r="AB435" s="77">
        <f t="shared" si="183"/>
        <v>204</v>
      </c>
      <c r="AC435" s="72">
        <f t="shared" si="170"/>
        <v>1</v>
      </c>
      <c r="AD435" s="72">
        <f t="shared" si="171"/>
        <v>1</v>
      </c>
      <c r="AE435" s="109" t="str">
        <f t="shared" si="172"/>
        <v>421-552</v>
      </c>
      <c r="AF435" s="109" t="str">
        <f t="shared" si="173"/>
        <v>N</v>
      </c>
      <c r="AG435" s="109" t="str">
        <f t="shared" si="174"/>
        <v>B</v>
      </c>
      <c r="AM435" s="109">
        <f t="shared" si="175"/>
        <v>0</v>
      </c>
      <c r="AN435" s="109">
        <f t="shared" si="176"/>
        <v>0</v>
      </c>
      <c r="AO435" s="109" t="str">
        <f t="shared" si="177"/>
        <v/>
      </c>
      <c r="AQ435" s="109" t="str">
        <f t="shared" si="178"/>
        <v/>
      </c>
      <c r="BA435" s="228">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2"/>
      <c r="M436" s="278"/>
      <c r="N436" s="278"/>
      <c r="O436" s="278"/>
      <c r="P436" s="278"/>
      <c r="Q436" s="278"/>
      <c r="R436" s="278"/>
      <c r="S436" s="278"/>
      <c r="T436" s="278"/>
      <c r="U436" s="279"/>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8">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2"/>
      <c r="M437" s="278"/>
      <c r="N437" s="278"/>
      <c r="O437" s="278"/>
      <c r="P437" s="278"/>
      <c r="Q437" s="278"/>
      <c r="R437" s="278"/>
      <c r="S437" s="278"/>
      <c r="T437" s="278"/>
      <c r="U437" s="279"/>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8">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2"/>
      <c r="M438" s="278"/>
      <c r="N438" s="278"/>
      <c r="O438" s="278"/>
      <c r="P438" s="278"/>
      <c r="Q438" s="278"/>
      <c r="R438" s="278"/>
      <c r="S438" s="278"/>
      <c r="T438" s="278"/>
      <c r="U438" s="279"/>
      <c r="V438" s="103"/>
      <c r="W438" s="84">
        <f>Y438+1</f>
        <v>181</v>
      </c>
      <c r="X438" s="84"/>
      <c r="Y438" s="78">
        <f>SUM(E427:E438)</f>
        <v>180</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8">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2"/>
      <c r="M439" s="278"/>
      <c r="N439" s="278"/>
      <c r="O439" s="278"/>
      <c r="P439" s="278"/>
      <c r="Q439" s="278"/>
      <c r="R439" s="278"/>
      <c r="S439" s="278"/>
      <c r="T439" s="278"/>
      <c r="U439" s="279"/>
      <c r="V439" s="103"/>
      <c r="W439" s="84">
        <f>Y439+1</f>
        <v>181</v>
      </c>
      <c r="X439" s="84"/>
      <c r="Y439" s="78">
        <f>SUM(E427:E439)</f>
        <v>180</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8">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2"/>
      <c r="M440" s="278"/>
      <c r="N440" s="278"/>
      <c r="O440" s="278"/>
      <c r="P440" s="278"/>
      <c r="Q440" s="278"/>
      <c r="R440" s="278"/>
      <c r="S440" s="278"/>
      <c r="T440" s="278"/>
      <c r="U440" s="279"/>
      <c r="V440" s="103"/>
      <c r="W440" s="84">
        <f>Y440+1</f>
        <v>181</v>
      </c>
      <c r="X440" s="84"/>
      <c r="Y440" s="78">
        <f>SUM(E427:E440)</f>
        <v>180</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8">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2"/>
      <c r="M441" s="278"/>
      <c r="N441" s="278"/>
      <c r="O441" s="278"/>
      <c r="P441" s="278"/>
      <c r="Q441" s="278"/>
      <c r="R441" s="278"/>
      <c r="S441" s="278"/>
      <c r="T441" s="278"/>
      <c r="U441" s="279"/>
      <c r="V441" s="103"/>
      <c r="W441" s="84">
        <f>Y441+1</f>
        <v>181</v>
      </c>
      <c r="X441" s="84"/>
      <c r="Y441" s="78">
        <f>SUM(E427:E441)</f>
        <v>180</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8">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2"/>
      <c r="M442" s="278"/>
      <c r="N442" s="278"/>
      <c r="O442" s="278"/>
      <c r="P442" s="278"/>
      <c r="Q442" s="278"/>
      <c r="R442" s="278"/>
      <c r="S442" s="278"/>
      <c r="T442" s="278"/>
      <c r="U442" s="279"/>
      <c r="V442" s="103"/>
      <c r="W442" s="84">
        <f t="shared" ref="W442:W450" si="186">Y442+1</f>
        <v>181</v>
      </c>
      <c r="X442" s="84"/>
      <c r="Y442" s="78">
        <f>SUM(E427:E442)</f>
        <v>180</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8">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2"/>
      <c r="M443" s="278"/>
      <c r="N443" s="278"/>
      <c r="O443" s="278"/>
      <c r="P443" s="278"/>
      <c r="Q443" s="278"/>
      <c r="R443" s="278"/>
      <c r="S443" s="278"/>
      <c r="T443" s="278"/>
      <c r="U443" s="279"/>
      <c r="V443" s="103"/>
      <c r="W443" s="84">
        <f t="shared" si="186"/>
        <v>181</v>
      </c>
      <c r="X443" s="84"/>
      <c r="Y443" s="78">
        <f>SUM(E427:E443)</f>
        <v>180</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8">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2"/>
      <c r="M444" s="278"/>
      <c r="N444" s="278"/>
      <c r="O444" s="278"/>
      <c r="P444" s="278"/>
      <c r="Q444" s="278"/>
      <c r="R444" s="278"/>
      <c r="S444" s="278"/>
      <c r="T444" s="278"/>
      <c r="U444" s="279"/>
      <c r="V444" s="103"/>
      <c r="W444" s="84">
        <f t="shared" si="186"/>
        <v>181</v>
      </c>
      <c r="X444" s="84"/>
      <c r="Y444" s="78">
        <f>SUM(E427:E444)</f>
        <v>180</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8">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2"/>
      <c r="M445" s="278"/>
      <c r="N445" s="278"/>
      <c r="O445" s="278"/>
      <c r="P445" s="278"/>
      <c r="Q445" s="278"/>
      <c r="R445" s="278"/>
      <c r="S445" s="278"/>
      <c r="T445" s="278"/>
      <c r="U445" s="279"/>
      <c r="V445" s="103"/>
      <c r="W445" s="84">
        <f t="shared" si="186"/>
        <v>181</v>
      </c>
      <c r="X445" s="84"/>
      <c r="Y445" s="78">
        <f>SUM(E427:E445)</f>
        <v>180</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8">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2"/>
      <c r="M446" s="278"/>
      <c r="N446" s="278"/>
      <c r="O446" s="278"/>
      <c r="P446" s="278"/>
      <c r="Q446" s="278"/>
      <c r="R446" s="278"/>
      <c r="S446" s="278"/>
      <c r="T446" s="278"/>
      <c r="U446" s="279"/>
      <c r="V446" s="103"/>
      <c r="W446" s="84">
        <f t="shared" si="186"/>
        <v>181</v>
      </c>
      <c r="X446" s="84"/>
      <c r="Y446" s="78">
        <f>SUM(E427:E446)</f>
        <v>180</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8">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2"/>
      <c r="M447" s="278"/>
      <c r="N447" s="278"/>
      <c r="O447" s="278"/>
      <c r="P447" s="278"/>
      <c r="Q447" s="278"/>
      <c r="R447" s="278"/>
      <c r="S447" s="278"/>
      <c r="T447" s="278"/>
      <c r="U447" s="279"/>
      <c r="V447" s="103"/>
      <c r="W447" s="84">
        <f t="shared" si="186"/>
        <v>181</v>
      </c>
      <c r="X447" s="84"/>
      <c r="Y447" s="78">
        <f>SUM(E427:E447)</f>
        <v>180</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8">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2"/>
      <c r="M448" s="278"/>
      <c r="N448" s="278"/>
      <c r="O448" s="278"/>
      <c r="P448" s="278"/>
      <c r="Q448" s="278"/>
      <c r="R448" s="278"/>
      <c r="S448" s="278"/>
      <c r="T448" s="278"/>
      <c r="U448" s="279"/>
      <c r="V448" s="103"/>
      <c r="W448" s="84">
        <f t="shared" si="186"/>
        <v>181</v>
      </c>
      <c r="X448" s="84"/>
      <c r="Y448" s="78">
        <f>SUM(E427:E448)</f>
        <v>180</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8">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2"/>
      <c r="M449" s="278"/>
      <c r="N449" s="278"/>
      <c r="O449" s="278"/>
      <c r="P449" s="278"/>
      <c r="Q449" s="278"/>
      <c r="R449" s="278"/>
      <c r="S449" s="278"/>
      <c r="T449" s="278"/>
      <c r="U449" s="279"/>
      <c r="V449" s="103"/>
      <c r="W449" s="84">
        <f t="shared" si="186"/>
        <v>181</v>
      </c>
      <c r="X449" s="84"/>
      <c r="Y449" s="78">
        <f>SUM(E427:E449)</f>
        <v>180</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8">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2"/>
      <c r="M450" s="278"/>
      <c r="N450" s="278"/>
      <c r="O450" s="278"/>
      <c r="P450" s="278"/>
      <c r="Q450" s="278"/>
      <c r="R450" s="278"/>
      <c r="S450" s="278"/>
      <c r="T450" s="278"/>
      <c r="U450" s="279"/>
      <c r="V450" s="103"/>
      <c r="W450" s="84">
        <f t="shared" si="186"/>
        <v>181</v>
      </c>
      <c r="X450" s="84"/>
      <c r="Y450" s="78">
        <f>SUM(E427:E450)</f>
        <v>180</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8">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3"/>
      <c r="M451" s="278"/>
      <c r="N451" s="278"/>
      <c r="O451" s="278"/>
      <c r="P451" s="278"/>
      <c r="Q451" s="278"/>
      <c r="R451" s="278"/>
      <c r="S451" s="278"/>
      <c r="T451" s="278"/>
      <c r="U451" s="279"/>
      <c r="V451" s="103"/>
      <c r="W451" s="72"/>
      <c r="X451" s="72"/>
      <c r="Y451" s="78">
        <f>SUM(E427:E451)</f>
        <v>180</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7"/>
    </row>
    <row r="452" spans="1:53" ht="16.5" thickBot="1" x14ac:dyDescent="0.3">
      <c r="A452" s="88"/>
      <c r="B452" s="319" t="s">
        <v>325</v>
      </c>
      <c r="C452" s="320"/>
      <c r="D452" s="79"/>
      <c r="E452" s="80"/>
      <c r="F452" s="80"/>
      <c r="G452" s="81"/>
      <c r="H452" s="191"/>
      <c r="I452" s="191"/>
      <c r="J452" s="191"/>
      <c r="K452" s="82"/>
      <c r="L452" s="319" t="s">
        <v>306</v>
      </c>
      <c r="M452" s="330"/>
      <c r="N452" s="330"/>
      <c r="O452" s="330"/>
      <c r="P452" s="330"/>
      <c r="Q452" s="330"/>
      <c r="R452" s="330"/>
      <c r="S452" s="330"/>
      <c r="T452" s="330"/>
      <c r="U452" s="320"/>
      <c r="V452" s="104"/>
      <c r="W452" s="72"/>
      <c r="X452" s="72"/>
      <c r="Y452" s="72"/>
      <c r="Z452" s="72"/>
      <c r="AA452" s="72" t="str">
        <f t="shared" si="185"/>
        <v/>
      </c>
      <c r="AB452" s="72"/>
      <c r="AC452" s="72">
        <f>SUM(AC427:AC451)</f>
        <v>25</v>
      </c>
      <c r="AD452" s="72">
        <f>SUM(AD427:AD451)</f>
        <v>18</v>
      </c>
      <c r="AM452" s="109">
        <f>SUM(AM427:AM451)</f>
        <v>0</v>
      </c>
      <c r="AN452" s="109">
        <f>SUM(AN427:AN451)</f>
        <v>0</v>
      </c>
      <c r="AO452" s="109">
        <f>((COUNTIF(AO427:AO451,"Y")/3)*2)</f>
        <v>0</v>
      </c>
      <c r="AP452" s="109">
        <f>(COUNTIF(AO427:AO451,"Y")/3)</f>
        <v>0</v>
      </c>
      <c r="AQ452" s="109">
        <f>(COUNTIF(AQ427:AQ451,"Y")/2)</f>
        <v>0</v>
      </c>
      <c r="AR452" s="109">
        <f>(COUNTIF(AQ427:AQ451,"Y")/2)</f>
        <v>0</v>
      </c>
      <c r="BA452" s="227"/>
    </row>
    <row r="453" spans="1:53" ht="16.5" thickBot="1" x14ac:dyDescent="0.3">
      <c r="A453" s="88"/>
      <c r="B453" s="319" t="s">
        <v>307</v>
      </c>
      <c r="C453" s="320"/>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5"/>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5" t="s">
        <v>210</v>
      </c>
      <c r="N456" s="195" t="s">
        <v>211</v>
      </c>
      <c r="O456" s="195" t="s">
        <v>212</v>
      </c>
      <c r="P456" s="195" t="s">
        <v>213</v>
      </c>
      <c r="Q456" s="195" t="s">
        <v>214</v>
      </c>
      <c r="R456" s="195" t="s">
        <v>215</v>
      </c>
      <c r="S456" s="195" t="s">
        <v>216</v>
      </c>
      <c r="T456" s="195" t="s">
        <v>217</v>
      </c>
      <c r="U456" s="195" t="s">
        <v>218</v>
      </c>
      <c r="V456" s="195" t="s">
        <v>219</v>
      </c>
      <c r="W456" s="113" t="s">
        <v>220</v>
      </c>
      <c r="X456" s="195" t="s">
        <v>221</v>
      </c>
      <c r="Y456" s="25"/>
      <c r="Z456" s="25"/>
      <c r="AA456" s="25"/>
      <c r="AB456" s="25"/>
      <c r="AC456" s="25"/>
      <c r="AD456" s="25"/>
      <c r="BA456" s="225"/>
    </row>
    <row r="457" spans="1:53" ht="16.5" thickTop="1" thickBot="1" x14ac:dyDescent="0.3">
      <c r="A457" s="88"/>
      <c r="B457" s="312" t="s">
        <v>222</v>
      </c>
      <c r="C457" s="313"/>
      <c r="D457" s="314" t="s">
        <v>223</v>
      </c>
      <c r="E457" s="305"/>
      <c r="F457" s="88"/>
      <c r="G457" s="315" t="s">
        <v>224</v>
      </c>
      <c r="H457" s="316"/>
      <c r="I457" s="28">
        <f>SUM(E468:E492)</f>
        <v>60</v>
      </c>
      <c r="J457" s="317" t="s">
        <v>225</v>
      </c>
      <c r="K457" s="318"/>
      <c r="L457" s="305"/>
      <c r="M457" s="195">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5" t="s">
        <v>226</v>
      </c>
      <c r="AA457" s="296"/>
      <c r="AB457" s="297"/>
      <c r="AC457" s="25"/>
      <c r="AD457" s="25"/>
      <c r="AH457" s="109">
        <v>2</v>
      </c>
      <c r="AI457" s="109" t="str">
        <f>IF($E458="SS",COUNTIFS($C468:$C492,"FST",$E468:$E492,"2"),"0")</f>
        <v>0</v>
      </c>
      <c r="AJ457" s="109">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5"/>
    </row>
    <row r="458" spans="1:53" ht="16.5" customHeight="1" thickTop="1" thickBot="1" x14ac:dyDescent="0.3">
      <c r="A458" s="88"/>
      <c r="B458" s="29" t="s">
        <v>228</v>
      </c>
      <c r="C458" s="30">
        <v>0</v>
      </c>
      <c r="D458" s="31" t="s">
        <v>229</v>
      </c>
      <c r="E458" s="66" t="str">
        <f>TEXT(IF('Cable Calculator'!BG7="","",'Cable Calculator'!BG7),)</f>
        <v>RPX</v>
      </c>
      <c r="F458" s="88"/>
      <c r="G458" s="304" t="s">
        <v>230</v>
      </c>
      <c r="H458" s="305"/>
      <c r="I458" s="33">
        <f>E459-I457</f>
        <v>12</v>
      </c>
      <c r="J458" s="289" t="s">
        <v>231</v>
      </c>
      <c r="K458" s="290"/>
      <c r="L458" s="34">
        <f>I462</f>
        <v>721</v>
      </c>
      <c r="M458" s="195">
        <v>4</v>
      </c>
      <c r="N458" s="35">
        <f>SUM(AI458,AI469)</f>
        <v>0</v>
      </c>
      <c r="O458" s="35">
        <v>0</v>
      </c>
      <c r="P458" s="35">
        <f>SUM(AJ458,AJ469)</f>
        <v>3</v>
      </c>
      <c r="Q458" s="35">
        <v>0</v>
      </c>
      <c r="R458" s="35">
        <f>COUNTIFS($E468:$E492,"4",$F468:$F492,"Pole",$C468:$C492,"FST")</f>
        <v>3</v>
      </c>
      <c r="S458" s="35">
        <f>SUM(AL458,AK469)</f>
        <v>0</v>
      </c>
      <c r="T458" s="35">
        <v>0</v>
      </c>
      <c r="U458" s="35">
        <f>SUM(AK458,AL469)</f>
        <v>0</v>
      </c>
      <c r="V458" s="35">
        <v>0</v>
      </c>
      <c r="W458" s="34">
        <f>COUNTIFS($E468:$E492,"4",$F468:$F492,"HH",$C468:$C492,"FST")</f>
        <v>0</v>
      </c>
      <c r="X458" s="35">
        <f>COUNTIFS($E468:$E492,"4",$F468:$F492,"Ped",$C468:$C492,"FST")</f>
        <v>0</v>
      </c>
      <c r="Y458" s="25"/>
      <c r="Z458" s="298" t="s">
        <v>232</v>
      </c>
      <c r="AA458" s="300" t="s">
        <v>233</v>
      </c>
      <c r="AB458" s="301"/>
      <c r="AC458" s="25"/>
      <c r="AD458" s="25"/>
      <c r="AH458" s="109">
        <v>4</v>
      </c>
      <c r="AI458" s="109" t="str">
        <f>IF($E458="SS",COUNTIFS($C468:$C492,"FST",$E468:$E492,"4"),"0")</f>
        <v>0</v>
      </c>
      <c r="AJ458" s="109">
        <f>IF($E458="RPX",COUNTIFS($C468:$C492,"FST",$E468:$E492,"4"),"0")</f>
        <v>3</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6"/>
    </row>
    <row r="459" spans="1:53" ht="16.5" thickTop="1" thickBot="1" x14ac:dyDescent="0.3">
      <c r="A459" s="88"/>
      <c r="B459" s="36" t="s">
        <v>235</v>
      </c>
      <c r="C459" s="37">
        <v>0</v>
      </c>
      <c r="D459" s="38" t="s">
        <v>236</v>
      </c>
      <c r="E459" s="32">
        <v>72</v>
      </c>
      <c r="F459" s="88"/>
      <c r="G459" s="291" t="s">
        <v>237</v>
      </c>
      <c r="H459" s="292"/>
      <c r="I459" s="35">
        <f>IF(E459=0,0,12-(MOD(I457,12)))</f>
        <v>12</v>
      </c>
      <c r="J459" s="289" t="s">
        <v>238</v>
      </c>
      <c r="K459" s="290"/>
      <c r="L459" s="39">
        <f>I463-I457</f>
        <v>720</v>
      </c>
      <c r="M459" s="195">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9"/>
      <c r="AA459" s="302"/>
      <c r="AB459" s="303"/>
      <c r="AC459" s="25"/>
      <c r="AD459" s="25"/>
      <c r="AH459" s="109">
        <v>6</v>
      </c>
      <c r="AI459" s="109" t="str">
        <f>IF($E458="SS",COUNTIFS($C468:$C492,"FST",$E468:$E492,"6"),"0")</f>
        <v>0</v>
      </c>
      <c r="AJ459" s="109">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6"/>
    </row>
    <row r="460" spans="1:53" ht="16.5" customHeight="1" thickTop="1" thickBot="1" x14ac:dyDescent="0.3">
      <c r="A460" s="88"/>
      <c r="B460" s="40" t="s">
        <v>240</v>
      </c>
      <c r="C460" s="30">
        <v>0</v>
      </c>
      <c r="D460" s="41" t="s">
        <v>241</v>
      </c>
      <c r="E460" s="42">
        <v>12</v>
      </c>
      <c r="F460" s="88"/>
      <c r="G460" s="321" t="s">
        <v>242</v>
      </c>
      <c r="H460" s="43" t="s">
        <v>243</v>
      </c>
      <c r="I460" s="35">
        <f>IF(E460&lt;&gt;0,1,0)</f>
        <v>1</v>
      </c>
      <c r="J460" s="291" t="s">
        <v>244</v>
      </c>
      <c r="K460" s="292"/>
      <c r="L460" s="44">
        <f>'Cable Calculator'!BG3</f>
        <v>2372</v>
      </c>
      <c r="M460" s="195">
        <v>8</v>
      </c>
      <c r="N460" s="35">
        <f>SUM(AI460,AI471)</f>
        <v>0</v>
      </c>
      <c r="O460" s="35">
        <v>0</v>
      </c>
      <c r="P460" s="35">
        <f>SUM(AJ460,AJ471)</f>
        <v>3</v>
      </c>
      <c r="Q460" s="35">
        <v>0</v>
      </c>
      <c r="R460" s="35">
        <f>COUNTIFS($E468:$E492,"8",$F468:$F492,"Pole",$C468:$C492,"FST")</f>
        <v>3</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f>IF($E458="RPX",COUNTIFS($C468:$C492,"FST",$E468:$E492,"8"),"0")</f>
        <v>3</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6"/>
    </row>
    <row r="461" spans="1:53" ht="16.5" thickTop="1" thickBot="1" x14ac:dyDescent="0.3">
      <c r="A461" s="88"/>
      <c r="B461" s="29" t="s">
        <v>246</v>
      </c>
      <c r="C461" s="37">
        <v>0</v>
      </c>
      <c r="D461" s="41" t="s">
        <v>247</v>
      </c>
      <c r="E461" s="42">
        <v>721</v>
      </c>
      <c r="F461" s="88"/>
      <c r="G461" s="322"/>
      <c r="H461" s="47" t="s">
        <v>248</v>
      </c>
      <c r="I461" s="35">
        <f>IF(E460&lt;&gt;0,E460,0)</f>
        <v>12</v>
      </c>
      <c r="J461" s="193"/>
      <c r="K461" s="194"/>
      <c r="L461" s="48"/>
      <c r="M461" s="195">
        <v>12</v>
      </c>
      <c r="N461" s="35" t="str">
        <f>IF($E458="SS",SUM(AI461,AJ472,AM493,AO493,AQ493),"0")</f>
        <v>0</v>
      </c>
      <c r="O461" s="35" t="str">
        <f>IF($E458="SS",SUM(AN493,AP493,AR493),"0")</f>
        <v>0</v>
      </c>
      <c r="P461" s="35">
        <f>IF($E458="RPX",SUM(AJ461,AJ472,AM493,AO493,AQ493),"0")</f>
        <v>0</v>
      </c>
      <c r="Q461" s="35">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f>IF($E458="RPX",COUNTIFS($C468:$C492,"FST",$E468:$E492,"12"),"0")</f>
        <v>0</v>
      </c>
      <c r="AK461" s="109" t="str">
        <f>IF($E458="EUC",COUNTIFS($C468:$C492,"FST",$E468:$E492,"12"),"0")</f>
        <v>0</v>
      </c>
      <c r="AL461" s="109" t="str">
        <f>IF($E458="RPX-T",COUNTIFS($C468:$C492,"FST",$E468:$E492,"12"),"0")</f>
        <v>0</v>
      </c>
      <c r="BA461" s="226"/>
    </row>
    <row r="462" spans="1:53" ht="16.5" customHeight="1" thickTop="1" thickBot="1" x14ac:dyDescent="0.3">
      <c r="A462" s="88"/>
      <c r="B462" s="36" t="s">
        <v>249</v>
      </c>
      <c r="C462" s="30">
        <v>0</v>
      </c>
      <c r="D462" s="49" t="s">
        <v>250</v>
      </c>
      <c r="E462" s="50">
        <f>E459/12</f>
        <v>6</v>
      </c>
      <c r="F462" s="88"/>
      <c r="G462" s="321" t="s">
        <v>251</v>
      </c>
      <c r="H462" s="51" t="s">
        <v>252</v>
      </c>
      <c r="I462" s="112">
        <f>E461</f>
        <v>721</v>
      </c>
      <c r="J462" s="323" t="s">
        <v>253</v>
      </c>
      <c r="K462" s="324"/>
      <c r="L462" s="325"/>
      <c r="M462" s="52" t="s">
        <v>254</v>
      </c>
      <c r="N462" s="106"/>
      <c r="O462" s="106"/>
      <c r="P462" s="191"/>
      <c r="Q462" s="191"/>
      <c r="R462" s="191"/>
      <c r="S462" s="191"/>
      <c r="T462" s="191"/>
      <c r="U462" s="191"/>
      <c r="V462" s="191"/>
      <c r="W462" s="53">
        <f>SUM(P462:U462)</f>
        <v>0</v>
      </c>
      <c r="X462" s="54"/>
      <c r="Y462" s="25"/>
      <c r="Z462" s="45">
        <v>3</v>
      </c>
      <c r="AA462" s="46">
        <v>25</v>
      </c>
      <c r="AB462" s="46">
        <v>36</v>
      </c>
      <c r="AC462" s="25"/>
      <c r="AD462" s="25"/>
      <c r="BA462" s="226"/>
    </row>
    <row r="463" spans="1:53" ht="16.5" thickTop="1" thickBot="1" x14ac:dyDescent="0.3">
      <c r="A463" s="88"/>
      <c r="B463" s="36" t="s">
        <v>255</v>
      </c>
      <c r="C463" s="30">
        <v>0</v>
      </c>
      <c r="D463" s="31" t="s">
        <v>256</v>
      </c>
      <c r="E463" s="101" t="str">
        <f>IF('Cable Calculator'!BG5="","",'Cable Calculator'!BG5)</f>
        <v>N</v>
      </c>
      <c r="F463" s="88"/>
      <c r="G463" s="322"/>
      <c r="H463" s="47" t="s">
        <v>257</v>
      </c>
      <c r="I463" s="35">
        <f>IF(E461="","0",IF(AND(E458="EUC",E459=432), I462+(203-E460),IF(E461=0,0,(E461+(E459-E460)-1))))</f>
        <v>780</v>
      </c>
      <c r="J463" s="286" t="str">
        <f>IFERROR(IF(OR(E458="EUC",E458="SS"),"---",IF(OR(P457,S457),"NO 2F Tethers for RPX!",IF(OR(P459,S459),"NO 6F Tethers for RPX!","---"))),"---")</f>
        <v>---</v>
      </c>
      <c r="K463" s="287"/>
      <c r="L463" s="288"/>
      <c r="M463" s="286" t="str">
        <f>IF(E460&gt;60,"Dead Count &gt;60: Consider Downsize","---")</f>
        <v>---</v>
      </c>
      <c r="N463" s="287"/>
      <c r="O463" s="287"/>
      <c r="P463" s="287"/>
      <c r="Q463" s="287"/>
      <c r="R463" s="287"/>
      <c r="S463" s="287"/>
      <c r="T463" s="287"/>
      <c r="U463" s="288"/>
      <c r="V463" s="100"/>
      <c r="W463" s="54">
        <f>SUM(P463:U463)</f>
        <v>0</v>
      </c>
      <c r="X463" s="54"/>
      <c r="Y463" s="25"/>
      <c r="Z463" s="45">
        <v>4</v>
      </c>
      <c r="AA463" s="46">
        <v>37</v>
      </c>
      <c r="AB463" s="46">
        <v>48</v>
      </c>
      <c r="AC463" s="25"/>
      <c r="AD463" s="25"/>
      <c r="BA463" s="226"/>
    </row>
    <row r="464" spans="1:53" ht="16.5" thickTop="1" thickBot="1" x14ac:dyDescent="0.3">
      <c r="A464" s="88"/>
      <c r="B464" s="55" t="s">
        <v>258</v>
      </c>
      <c r="C464" s="56">
        <f>SUM(C458:C463)+I457</f>
        <v>60</v>
      </c>
      <c r="D464" s="31" t="s">
        <v>259</v>
      </c>
      <c r="E464" s="101" t="str">
        <f>IF(AS458="Y","DBL",IF(AS459="Y","TRPL",IF(AS460="Y","QUAD","")))</f>
        <v/>
      </c>
      <c r="F464" s="88"/>
      <c r="G464" s="191"/>
      <c r="H464" s="57"/>
      <c r="I464" s="191"/>
      <c r="J464" s="286"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7"/>
      <c r="L464" s="288"/>
      <c r="M464" s="286" t="str">
        <f>IF(AND(OR(E458="SS",E458="RPX",E458="EUC",E458="RPX-T"),(OR(C468="",C468="Field SPL"))),"Cannot have FlexNap cables without tethers","---")</f>
        <v>---</v>
      </c>
      <c r="N464" s="287"/>
      <c r="O464" s="287"/>
      <c r="P464" s="287"/>
      <c r="Q464" s="287"/>
      <c r="R464" s="287"/>
      <c r="S464" s="287"/>
      <c r="T464" s="287"/>
      <c r="U464" s="288"/>
      <c r="V464" s="25"/>
      <c r="W464" s="58"/>
      <c r="X464" s="58"/>
      <c r="Y464" s="25"/>
      <c r="Z464" s="45">
        <v>5</v>
      </c>
      <c r="AA464" s="46">
        <v>49</v>
      </c>
      <c r="AB464" s="46">
        <v>60</v>
      </c>
      <c r="AC464" s="25"/>
      <c r="AD464" s="25"/>
      <c r="BA464" s="226"/>
    </row>
    <row r="465" spans="1:53" ht="16.5" thickTop="1" thickBot="1" x14ac:dyDescent="0.3">
      <c r="A465" s="88"/>
      <c r="B465" s="59"/>
      <c r="C465" s="60"/>
      <c r="D465" s="61"/>
      <c r="E465" s="62"/>
      <c r="F465" s="88"/>
      <c r="G465" s="63"/>
      <c r="H465" s="64"/>
      <c r="I465" s="63"/>
      <c r="J465" s="286" t="str">
        <f>IF(AND(OR(E458="RPX", E458="RPX-T", E458="SS"),E459=216),"NO 216 For RPX, RPX-T, OR SS CABLE","---")</f>
        <v>---</v>
      </c>
      <c r="K465" s="287"/>
      <c r="L465" s="288"/>
      <c r="M465" s="286" t="str" cm="1">
        <f t="array" ref="M465">IF(AND(E458="",OR(C468:C492="FST",C468:C492="REV T",C468:C492="DBL REV",C468:C492="TPL REV", C468:C492="QD REV")),"Non-FlexNap cables cannot have tethers","---")</f>
        <v>---</v>
      </c>
      <c r="N465" s="287"/>
      <c r="O465" s="287"/>
      <c r="P465" s="287"/>
      <c r="Q465" s="287"/>
      <c r="R465" s="287"/>
      <c r="S465" s="287"/>
      <c r="T465" s="287"/>
      <c r="U465" s="288"/>
      <c r="V465" s="25"/>
      <c r="W465" s="58"/>
      <c r="X465" s="58"/>
      <c r="Y465" s="25"/>
      <c r="Z465" s="45">
        <v>6</v>
      </c>
      <c r="AA465" s="65">
        <v>61</v>
      </c>
      <c r="AB465" s="65">
        <v>72</v>
      </c>
      <c r="AC465" s="25"/>
      <c r="AD465" s="25"/>
      <c r="BA465" s="225"/>
    </row>
    <row r="466" spans="1:53" ht="15.75" customHeight="1" thickBot="1" x14ac:dyDescent="0.3">
      <c r="A466" s="88"/>
      <c r="B466" s="321" t="s">
        <v>260</v>
      </c>
      <c r="C466" s="293" t="s">
        <v>261</v>
      </c>
      <c r="D466" s="293" t="s">
        <v>262</v>
      </c>
      <c r="E466" s="306" t="s">
        <v>263</v>
      </c>
      <c r="F466" s="293" t="s">
        <v>264</v>
      </c>
      <c r="G466" s="308" t="s">
        <v>265</v>
      </c>
      <c r="H466" s="308" t="s">
        <v>266</v>
      </c>
      <c r="I466" s="308" t="s">
        <v>267</v>
      </c>
      <c r="J466" s="310" t="s">
        <v>268</v>
      </c>
      <c r="K466" s="293" t="s">
        <v>269</v>
      </c>
      <c r="L466" s="280" t="s">
        <v>270</v>
      </c>
      <c r="M466" s="282" t="s">
        <v>271</v>
      </c>
      <c r="N466" s="282"/>
      <c r="O466" s="282"/>
      <c r="P466" s="282"/>
      <c r="Q466" s="282"/>
      <c r="R466" s="282"/>
      <c r="S466" s="282"/>
      <c r="T466" s="282"/>
      <c r="U466" s="283"/>
      <c r="V466" s="107"/>
      <c r="W466" s="72"/>
      <c r="X466" s="72"/>
      <c r="Y466" s="72"/>
      <c r="Z466" s="45">
        <v>7</v>
      </c>
      <c r="AA466" s="65">
        <v>73</v>
      </c>
      <c r="AB466" s="65">
        <v>84</v>
      </c>
      <c r="AC466" s="25"/>
      <c r="AD466" s="25"/>
      <c r="BA466" s="227"/>
    </row>
    <row r="467" spans="1:53" ht="15.75" thickBot="1" x14ac:dyDescent="0.3">
      <c r="A467" s="88"/>
      <c r="B467" s="322"/>
      <c r="C467" s="294"/>
      <c r="D467" s="294"/>
      <c r="E467" s="307"/>
      <c r="F467" s="294"/>
      <c r="G467" s="309"/>
      <c r="H467" s="309"/>
      <c r="I467" s="309"/>
      <c r="J467" s="311"/>
      <c r="K467" s="294"/>
      <c r="L467" s="281"/>
      <c r="M467" s="284"/>
      <c r="N467" s="284"/>
      <c r="O467" s="284"/>
      <c r="P467" s="284"/>
      <c r="Q467" s="284"/>
      <c r="R467" s="284"/>
      <c r="S467" s="284"/>
      <c r="T467" s="284"/>
      <c r="U467" s="285"/>
      <c r="V467" s="107"/>
      <c r="W467" s="72"/>
      <c r="X467" s="72"/>
      <c r="Y467" s="72"/>
      <c r="Z467" s="45">
        <v>8</v>
      </c>
      <c r="AA467" s="46">
        <v>85</v>
      </c>
      <c r="AB467" s="46">
        <v>96</v>
      </c>
      <c r="AC467" s="25"/>
      <c r="AD467" s="25"/>
      <c r="AI467" s="109" t="s">
        <v>272</v>
      </c>
      <c r="AJ467" s="109" t="s">
        <v>273</v>
      </c>
      <c r="AK467" s="109" t="s">
        <v>274</v>
      </c>
      <c r="AL467" s="109" t="s">
        <v>275</v>
      </c>
      <c r="BA467" s="227"/>
    </row>
    <row r="468" spans="1:53" ht="15.75" thickBot="1" x14ac:dyDescent="0.3">
      <c r="A468" s="88"/>
      <c r="B468" s="66" t="s">
        <v>276</v>
      </c>
      <c r="C468" s="67" t="s">
        <v>484</v>
      </c>
      <c r="D468" s="102" t="s">
        <v>761</v>
      </c>
      <c r="E468" s="32">
        <v>4</v>
      </c>
      <c r="F468" s="32" t="s">
        <v>483</v>
      </c>
      <c r="G468" s="68" t="s">
        <v>277</v>
      </c>
      <c r="H468" s="69">
        <f>IF(I468=0,0,I468-(E468-1))</f>
        <v>777</v>
      </c>
      <c r="I468" s="70">
        <f>IF(E468=0,0,I463)</f>
        <v>780</v>
      </c>
      <c r="J468" s="71" t="s">
        <v>278</v>
      </c>
      <c r="K468" s="32"/>
      <c r="L468" s="232"/>
      <c r="M468" s="278"/>
      <c r="N468" s="278"/>
      <c r="O468" s="278"/>
      <c r="P468" s="278"/>
      <c r="Q468" s="278"/>
      <c r="R468" s="278"/>
      <c r="S468" s="278"/>
      <c r="T468" s="278"/>
      <c r="U468" s="279"/>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777-780</v>
      </c>
      <c r="AF468" s="109" t="str">
        <f t="shared" ref="AF468:AF492" si="190">IF(C468="Field SPL","N","Y")</f>
        <v>Y</v>
      </c>
      <c r="AG468" s="109" t="str">
        <f t="shared" ref="AG468:AG492" si="191">IF(OR(E$458="RPX",E$458="SS"),"A","B")</f>
        <v>A</v>
      </c>
      <c r="AH468" s="109">
        <v>2</v>
      </c>
      <c r="AI468" s="109" t="str">
        <f>IF(E458="SS",COUNTIFS(C468:C492,"TCF",E468:E492,"2"),"")</f>
        <v/>
      </c>
      <c r="AJ468" s="109">
        <f>IF(E458="RPX",COUNTIFS(C468:C492,"TCF",E468:E492,"2"),"")</f>
        <v>0</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8">
        <f>MOD(E468,12)</f>
        <v>4</v>
      </c>
    </row>
    <row r="469" spans="1:53" ht="15.75" thickBot="1" x14ac:dyDescent="0.3">
      <c r="A469" s="88"/>
      <c r="B469" s="66" t="s">
        <v>279</v>
      </c>
      <c r="C469" s="67" t="s">
        <v>484</v>
      </c>
      <c r="D469" s="102" t="s">
        <v>762</v>
      </c>
      <c r="E469" s="32">
        <v>8</v>
      </c>
      <c r="F469" s="32" t="s">
        <v>483</v>
      </c>
      <c r="G469" s="68" t="s">
        <v>277</v>
      </c>
      <c r="H469" s="69">
        <f t="shared" ref="H469:H492" si="196">IF(E469=0,0,I469-(E469-1))</f>
        <v>769</v>
      </c>
      <c r="I469" s="70">
        <f t="shared" ref="I469:I492" si="197">IF(E469=0,0,H468-1)</f>
        <v>776</v>
      </c>
      <c r="J469" s="73" t="str">
        <f>IF(C469="","--",IF(AND(C469&lt;&gt;"FST",C469&lt;&gt;"TCF",BA468&lt;&gt;0),BA468,"--"))</f>
        <v>--</v>
      </c>
      <c r="K469" s="32"/>
      <c r="L469" s="232"/>
      <c r="M469" s="278"/>
      <c r="N469" s="278"/>
      <c r="O469" s="278"/>
      <c r="P469" s="278"/>
      <c r="Q469" s="278"/>
      <c r="R469" s="278"/>
      <c r="S469" s="278"/>
      <c r="T469" s="278"/>
      <c r="U469" s="279"/>
      <c r="V469" s="103"/>
      <c r="W469" s="72"/>
      <c r="X469" s="72"/>
      <c r="Y469" s="72"/>
      <c r="Z469" s="45">
        <v>10</v>
      </c>
      <c r="AA469" s="46">
        <v>109</v>
      </c>
      <c r="AB469" s="46">
        <v>120</v>
      </c>
      <c r="AC469" s="72">
        <f t="shared" si="187"/>
        <v>1</v>
      </c>
      <c r="AD469" s="72">
        <f t="shared" si="188"/>
        <v>0</v>
      </c>
      <c r="AE469" s="109" t="str">
        <f t="shared" si="189"/>
        <v>769-776</v>
      </c>
      <c r="AF469" s="109" t="str">
        <f t="shared" si="190"/>
        <v>Y</v>
      </c>
      <c r="AG469" s="109" t="str">
        <f t="shared" si="191"/>
        <v>A</v>
      </c>
      <c r="AH469" s="109">
        <v>4</v>
      </c>
      <c r="AI469" s="109" t="str">
        <f>IF(E458="SS",COUNTIFS(C468:C492,"TCF",E468:E492,"4"),"")</f>
        <v/>
      </c>
      <c r="AJ469" s="109">
        <f>IF(E458="RPX",COUNTIFS(C468:C492,"TCF",E468:E492,"4"),"")</f>
        <v>0</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8">
        <f>MOD(SUM(E468:E469),12)</f>
        <v>0</v>
      </c>
    </row>
    <row r="470" spans="1:53" ht="15.75" thickBot="1" x14ac:dyDescent="0.3">
      <c r="A470" s="88"/>
      <c r="B470" s="74" t="s">
        <v>280</v>
      </c>
      <c r="C470" s="67" t="s">
        <v>484</v>
      </c>
      <c r="D470" s="102" t="s">
        <v>787</v>
      </c>
      <c r="E470" s="32">
        <v>4</v>
      </c>
      <c r="F470" s="32" t="s">
        <v>483</v>
      </c>
      <c r="G470" s="75" t="s">
        <v>277</v>
      </c>
      <c r="H470" s="69">
        <f t="shared" si="196"/>
        <v>765</v>
      </c>
      <c r="I470" s="70">
        <f t="shared" si="197"/>
        <v>768</v>
      </c>
      <c r="J470" s="73" t="str">
        <f t="shared" ref="J470:J492" si="198">IF(C470="","--",IF(AND(C470&lt;&gt;"FST",C470&lt;&gt;"TCF",BA469&lt;&gt;0),BA469,"--"))</f>
        <v>--</v>
      </c>
      <c r="K470" s="32"/>
      <c r="L470" s="232"/>
      <c r="M470" s="278"/>
      <c r="N470" s="278"/>
      <c r="O470" s="278"/>
      <c r="P470" s="278"/>
      <c r="Q470" s="278"/>
      <c r="R470" s="278"/>
      <c r="S470" s="278"/>
      <c r="T470" s="278"/>
      <c r="U470" s="279"/>
      <c r="V470" s="103"/>
      <c r="W470" s="72"/>
      <c r="X470" s="72"/>
      <c r="Y470" s="72"/>
      <c r="Z470" s="45">
        <v>11</v>
      </c>
      <c r="AA470" s="46">
        <v>121</v>
      </c>
      <c r="AB470" s="46">
        <v>132</v>
      </c>
      <c r="AC470" s="72">
        <f t="shared" si="187"/>
        <v>1</v>
      </c>
      <c r="AD470" s="72">
        <f t="shared" si="188"/>
        <v>0</v>
      </c>
      <c r="AE470" s="109" t="str">
        <f t="shared" si="189"/>
        <v>765-768</v>
      </c>
      <c r="AF470" s="109" t="str">
        <f t="shared" si="190"/>
        <v>Y</v>
      </c>
      <c r="AG470" s="109" t="str">
        <f t="shared" si="191"/>
        <v>A</v>
      </c>
      <c r="AH470" s="109">
        <v>6</v>
      </c>
      <c r="AI470" s="109" t="str">
        <f>IF(E458="SS",COUNTIFS(C468:C492,"TCF",E468:E492,"6"),"")</f>
        <v/>
      </c>
      <c r="AJ470" s="109">
        <f>IF(E458="RPX",COUNTIFS(C468:C492,"TCF",E468:E492,"6"),"")</f>
        <v>0</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8">
        <f>MOD(SUM(E468:E471),12)</f>
        <v>8</v>
      </c>
    </row>
    <row r="471" spans="1:53" ht="15.75" thickBot="1" x14ac:dyDescent="0.3">
      <c r="A471" s="88"/>
      <c r="B471" s="66" t="s">
        <v>281</v>
      </c>
      <c r="C471" s="67" t="s">
        <v>484</v>
      </c>
      <c r="D471" s="102" t="s">
        <v>763</v>
      </c>
      <c r="E471" s="32">
        <v>4</v>
      </c>
      <c r="F471" s="32" t="s">
        <v>483</v>
      </c>
      <c r="G471" s="68" t="s">
        <v>277</v>
      </c>
      <c r="H471" s="69">
        <f t="shared" si="196"/>
        <v>761</v>
      </c>
      <c r="I471" s="70">
        <f t="shared" si="197"/>
        <v>764</v>
      </c>
      <c r="J471" s="73" t="str">
        <f t="shared" si="198"/>
        <v>--</v>
      </c>
      <c r="K471" s="32"/>
      <c r="L471" s="232"/>
      <c r="M471" s="278"/>
      <c r="N471" s="278"/>
      <c r="O471" s="278"/>
      <c r="P471" s="278"/>
      <c r="Q471" s="278"/>
      <c r="R471" s="278"/>
      <c r="S471" s="278"/>
      <c r="T471" s="278"/>
      <c r="U471" s="279"/>
      <c r="V471" s="103"/>
      <c r="W471" s="72"/>
      <c r="X471" s="72"/>
      <c r="Y471" s="72"/>
      <c r="Z471" s="45">
        <v>12</v>
      </c>
      <c r="AA471" s="76">
        <v>133</v>
      </c>
      <c r="AB471" s="76">
        <v>144</v>
      </c>
      <c r="AC471" s="72">
        <f t="shared" si="187"/>
        <v>1</v>
      </c>
      <c r="AD471" s="72">
        <f t="shared" si="188"/>
        <v>0</v>
      </c>
      <c r="AE471" s="109" t="str">
        <f t="shared" si="189"/>
        <v>761-764</v>
      </c>
      <c r="AF471" s="109" t="str">
        <f t="shared" si="190"/>
        <v>Y</v>
      </c>
      <c r="AG471" s="109" t="str">
        <f t="shared" si="191"/>
        <v>A</v>
      </c>
      <c r="AH471" s="109">
        <v>8</v>
      </c>
      <c r="AI471" s="109" t="str">
        <f>IF(E458="SS",COUNTIFS(C468:C492,"TCF",E468:E492,"8"),"")</f>
        <v/>
      </c>
      <c r="AJ471" s="109">
        <f>IF(E458="RPX",COUNTIFS(C468:C492,"TCF",E468:E492,"8"),"")</f>
        <v>0</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8">
        <f>MOD(SUM(E468:E472),12)</f>
        <v>4</v>
      </c>
    </row>
    <row r="472" spans="1:53" ht="15.75" thickBot="1" x14ac:dyDescent="0.3">
      <c r="A472" s="88"/>
      <c r="B472" s="66" t="s">
        <v>282</v>
      </c>
      <c r="C472" s="67" t="s">
        <v>484</v>
      </c>
      <c r="D472" s="102" t="s">
        <v>798</v>
      </c>
      <c r="E472" s="32">
        <v>8</v>
      </c>
      <c r="F472" s="32" t="s">
        <v>483</v>
      </c>
      <c r="G472" s="68" t="s">
        <v>277</v>
      </c>
      <c r="H472" s="69">
        <f t="shared" si="196"/>
        <v>753</v>
      </c>
      <c r="I472" s="70">
        <f t="shared" si="197"/>
        <v>760</v>
      </c>
      <c r="J472" s="73" t="str">
        <f t="shared" si="198"/>
        <v>--</v>
      </c>
      <c r="K472" s="32"/>
      <c r="L472" s="232"/>
      <c r="M472" s="278"/>
      <c r="N472" s="278"/>
      <c r="O472" s="278"/>
      <c r="P472" s="278"/>
      <c r="Q472" s="278"/>
      <c r="R472" s="278"/>
      <c r="S472" s="278"/>
      <c r="T472" s="278"/>
      <c r="U472" s="279"/>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753-760</v>
      </c>
      <c r="AF472" s="109" t="str">
        <f t="shared" si="190"/>
        <v>Y</v>
      </c>
      <c r="AG472" s="109" t="str">
        <f t="shared" si="191"/>
        <v>A</v>
      </c>
      <c r="AH472" s="109">
        <v>12</v>
      </c>
      <c r="AI472" s="109" t="str">
        <f>IF(E458="SS",COUNTIFS(C468:C492,"TCF",E468:E492,"12"),"")</f>
        <v/>
      </c>
      <c r="AJ472" s="109">
        <f>IF(E458="RPX",COUNTIFS(C468:C492,"TCF",E468:E492,"12"),"")</f>
        <v>0</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8">
        <f>MOD(SUM(E468:E473),12)</f>
        <v>0</v>
      </c>
    </row>
    <row r="473" spans="1:53" ht="15.75" thickBot="1" x14ac:dyDescent="0.3">
      <c r="A473" s="88"/>
      <c r="B473" s="66" t="s">
        <v>283</v>
      </c>
      <c r="C473" s="67" t="s">
        <v>484</v>
      </c>
      <c r="D473" s="102" t="s">
        <v>793</v>
      </c>
      <c r="E473" s="32">
        <v>8</v>
      </c>
      <c r="F473" s="32" t="s">
        <v>483</v>
      </c>
      <c r="G473" s="68" t="s">
        <v>277</v>
      </c>
      <c r="H473" s="69">
        <f t="shared" si="196"/>
        <v>745</v>
      </c>
      <c r="I473" s="70">
        <f t="shared" si="197"/>
        <v>752</v>
      </c>
      <c r="J473" s="73" t="str">
        <f t="shared" si="198"/>
        <v>--</v>
      </c>
      <c r="K473" s="32"/>
      <c r="L473" s="232"/>
      <c r="M473" s="278"/>
      <c r="N473" s="278"/>
      <c r="O473" s="278"/>
      <c r="P473" s="278"/>
      <c r="Q473" s="278"/>
      <c r="R473" s="278"/>
      <c r="S473" s="278"/>
      <c r="T473" s="278"/>
      <c r="U473" s="279"/>
      <c r="V473" s="103"/>
      <c r="W473" s="72"/>
      <c r="X473" s="72"/>
      <c r="Y473" s="72"/>
      <c r="Z473" s="45">
        <v>14</v>
      </c>
      <c r="AA473" s="77">
        <f t="shared" si="199"/>
        <v>157</v>
      </c>
      <c r="AB473" s="77">
        <f t="shared" si="200"/>
        <v>168</v>
      </c>
      <c r="AC473" s="72">
        <f t="shared" si="187"/>
        <v>1</v>
      </c>
      <c r="AD473" s="72">
        <f t="shared" si="188"/>
        <v>0</v>
      </c>
      <c r="AE473" s="109" t="str">
        <f t="shared" si="189"/>
        <v>745-752</v>
      </c>
      <c r="AF473" s="109" t="str">
        <f t="shared" si="190"/>
        <v>Y</v>
      </c>
      <c r="AG473" s="109" t="str">
        <f t="shared" si="191"/>
        <v>A</v>
      </c>
      <c r="AM473" s="109">
        <f t="shared" si="192"/>
        <v>0</v>
      </c>
      <c r="AN473" s="109">
        <f t="shared" si="193"/>
        <v>0</v>
      </c>
      <c r="AO473" s="109" t="str">
        <f t="shared" si="194"/>
        <v/>
      </c>
      <c r="AQ473" s="109" t="str">
        <f t="shared" si="195"/>
        <v/>
      </c>
      <c r="BA473" s="228">
        <f>MOD(SUM(E468:E474),12)</f>
        <v>0</v>
      </c>
    </row>
    <row r="474" spans="1:53" ht="15.75" thickBot="1" x14ac:dyDescent="0.3">
      <c r="A474" s="88"/>
      <c r="B474" s="66" t="s">
        <v>284</v>
      </c>
      <c r="C474" s="67" t="s">
        <v>502</v>
      </c>
      <c r="D474" s="102"/>
      <c r="E474" s="32">
        <v>24</v>
      </c>
      <c r="F474" s="32"/>
      <c r="G474" s="68" t="s">
        <v>277</v>
      </c>
      <c r="H474" s="69">
        <f t="shared" si="196"/>
        <v>721</v>
      </c>
      <c r="I474" s="70">
        <f t="shared" si="197"/>
        <v>744</v>
      </c>
      <c r="J474" s="73" t="str">
        <f t="shared" si="198"/>
        <v>--</v>
      </c>
      <c r="K474" s="32"/>
      <c r="L474" s="232"/>
      <c r="M474" s="278" t="s">
        <v>423</v>
      </c>
      <c r="N474" s="278"/>
      <c r="O474" s="278"/>
      <c r="P474" s="278"/>
      <c r="Q474" s="278"/>
      <c r="R474" s="278"/>
      <c r="S474" s="278"/>
      <c r="T474" s="278"/>
      <c r="U474" s="279"/>
      <c r="V474" s="103"/>
      <c r="W474" s="72"/>
      <c r="X474" s="72"/>
      <c r="Y474" s="72"/>
      <c r="Z474" s="45">
        <v>15</v>
      </c>
      <c r="AA474" s="77">
        <f t="shared" si="199"/>
        <v>169</v>
      </c>
      <c r="AB474" s="77">
        <f t="shared" si="200"/>
        <v>180</v>
      </c>
      <c r="AC474" s="72">
        <f t="shared" si="187"/>
        <v>1</v>
      </c>
      <c r="AD474" s="72">
        <f t="shared" si="188"/>
        <v>1</v>
      </c>
      <c r="AE474" s="109" t="str">
        <f t="shared" si="189"/>
        <v>721-744</v>
      </c>
      <c r="AF474" s="109" t="str">
        <f t="shared" si="190"/>
        <v>N</v>
      </c>
      <c r="AG474" s="109" t="str">
        <f t="shared" si="191"/>
        <v>A</v>
      </c>
      <c r="AM474" s="109">
        <f t="shared" si="192"/>
        <v>0</v>
      </c>
      <c r="AN474" s="109">
        <f t="shared" si="193"/>
        <v>0</v>
      </c>
      <c r="AO474" s="109" t="str">
        <f t="shared" si="194"/>
        <v/>
      </c>
      <c r="AQ474" s="109" t="str">
        <f t="shared" si="195"/>
        <v/>
      </c>
      <c r="BA474" s="228">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2"/>
      <c r="M475" s="278"/>
      <c r="N475" s="278"/>
      <c r="O475" s="278"/>
      <c r="P475" s="278"/>
      <c r="Q475" s="278"/>
      <c r="R475" s="278"/>
      <c r="S475" s="278"/>
      <c r="T475" s="278"/>
      <c r="U475" s="279"/>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A</v>
      </c>
      <c r="AM475" s="109">
        <f t="shared" si="192"/>
        <v>0</v>
      </c>
      <c r="AN475" s="109">
        <f t="shared" si="193"/>
        <v>0</v>
      </c>
      <c r="AO475" s="109" t="str">
        <f t="shared" si="194"/>
        <v/>
      </c>
      <c r="AQ475" s="109" t="str">
        <f t="shared" si="195"/>
        <v/>
      </c>
      <c r="BA475" s="228">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2"/>
      <c r="M476" s="278"/>
      <c r="N476" s="278"/>
      <c r="O476" s="278"/>
      <c r="P476" s="278"/>
      <c r="Q476" s="278"/>
      <c r="R476" s="278"/>
      <c r="S476" s="278"/>
      <c r="T476" s="278"/>
      <c r="U476" s="279"/>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A</v>
      </c>
      <c r="AM476" s="109">
        <f t="shared" si="192"/>
        <v>0</v>
      </c>
      <c r="AN476" s="109">
        <f t="shared" si="193"/>
        <v>0</v>
      </c>
      <c r="AO476" s="109" t="str">
        <f t="shared" si="194"/>
        <v/>
      </c>
      <c r="AQ476" s="109" t="str">
        <f t="shared" si="195"/>
        <v/>
      </c>
      <c r="BA476" s="228">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2"/>
      <c r="M477" s="278"/>
      <c r="N477" s="278"/>
      <c r="O477" s="278"/>
      <c r="P477" s="278"/>
      <c r="Q477" s="278"/>
      <c r="R477" s="278"/>
      <c r="S477" s="278"/>
      <c r="T477" s="278"/>
      <c r="U477" s="279"/>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A</v>
      </c>
      <c r="AM477" s="109">
        <f t="shared" si="192"/>
        <v>0</v>
      </c>
      <c r="AN477" s="109">
        <f t="shared" si="193"/>
        <v>0</v>
      </c>
      <c r="AO477" s="109" t="str">
        <f t="shared" si="194"/>
        <v/>
      </c>
      <c r="AQ477" s="109" t="str">
        <f t="shared" si="195"/>
        <v/>
      </c>
      <c r="BA477" s="228">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2"/>
      <c r="M478" s="278"/>
      <c r="N478" s="278"/>
      <c r="O478" s="278"/>
      <c r="P478" s="278"/>
      <c r="Q478" s="278"/>
      <c r="R478" s="278"/>
      <c r="S478" s="278"/>
      <c r="T478" s="278"/>
      <c r="U478" s="279"/>
      <c r="V478" s="103"/>
      <c r="W478" s="84"/>
      <c r="X478" s="84"/>
      <c r="Y478" s="72"/>
      <c r="Z478" s="72"/>
      <c r="AA478" s="72"/>
      <c r="AB478" s="72"/>
      <c r="AC478" s="72">
        <f t="shared" si="187"/>
        <v>1</v>
      </c>
      <c r="AD478" s="72">
        <f t="shared" si="188"/>
        <v>1</v>
      </c>
      <c r="AE478" s="109" t="str">
        <f t="shared" si="189"/>
        <v>0-0</v>
      </c>
      <c r="AF478" s="109" t="str">
        <f t="shared" si="190"/>
        <v>Y</v>
      </c>
      <c r="AG478" s="109" t="str">
        <f t="shared" si="191"/>
        <v>A</v>
      </c>
      <c r="AM478" s="109">
        <f t="shared" si="192"/>
        <v>0</v>
      </c>
      <c r="AN478" s="109">
        <f t="shared" si="193"/>
        <v>0</v>
      </c>
      <c r="AO478" s="109" t="str">
        <f t="shared" si="194"/>
        <v/>
      </c>
      <c r="AQ478" s="109" t="str">
        <f t="shared" si="195"/>
        <v/>
      </c>
      <c r="BA478" s="228">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2"/>
      <c r="M479" s="278"/>
      <c r="N479" s="278"/>
      <c r="O479" s="278"/>
      <c r="P479" s="278"/>
      <c r="Q479" s="278"/>
      <c r="R479" s="278"/>
      <c r="S479" s="278"/>
      <c r="T479" s="278"/>
      <c r="U479" s="279"/>
      <c r="V479" s="103"/>
      <c r="W479" s="84">
        <f>Y479+1</f>
        <v>61</v>
      </c>
      <c r="X479" s="84"/>
      <c r="Y479" s="78">
        <f>SUM(E468:E479)</f>
        <v>60</v>
      </c>
      <c r="Z479" s="72"/>
      <c r="AA479" s="72"/>
      <c r="AB479" s="72"/>
      <c r="AC479" s="72">
        <f t="shared" si="187"/>
        <v>1</v>
      </c>
      <c r="AD479" s="72">
        <f t="shared" si="188"/>
        <v>1</v>
      </c>
      <c r="AE479" s="109" t="str">
        <f t="shared" si="189"/>
        <v>0-0</v>
      </c>
      <c r="AF479" s="109" t="str">
        <f t="shared" si="190"/>
        <v>Y</v>
      </c>
      <c r="AG479" s="109" t="str">
        <f t="shared" si="191"/>
        <v>A</v>
      </c>
      <c r="AM479" s="109">
        <f t="shared" si="192"/>
        <v>0</v>
      </c>
      <c r="AN479" s="109">
        <f t="shared" si="193"/>
        <v>0</v>
      </c>
      <c r="AO479" s="109" t="str">
        <f t="shared" si="194"/>
        <v/>
      </c>
      <c r="AQ479" s="109" t="str">
        <f t="shared" si="195"/>
        <v/>
      </c>
      <c r="BA479" s="228">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2"/>
      <c r="M480" s="278"/>
      <c r="N480" s="278"/>
      <c r="O480" s="278"/>
      <c r="P480" s="278"/>
      <c r="Q480" s="278"/>
      <c r="R480" s="278"/>
      <c r="S480" s="278"/>
      <c r="T480" s="278"/>
      <c r="U480" s="279"/>
      <c r="V480" s="103"/>
      <c r="W480" s="84">
        <f>Y480+1</f>
        <v>61</v>
      </c>
      <c r="X480" s="84"/>
      <c r="Y480" s="78">
        <f>SUM(E468:E480)</f>
        <v>60</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A</v>
      </c>
      <c r="AM480" s="109">
        <f t="shared" si="192"/>
        <v>0</v>
      </c>
      <c r="AN480" s="109">
        <f t="shared" si="193"/>
        <v>0</v>
      </c>
      <c r="AO480" s="109" t="str">
        <f t="shared" si="194"/>
        <v/>
      </c>
      <c r="AQ480" s="109" t="str">
        <f t="shared" si="195"/>
        <v/>
      </c>
      <c r="BA480" s="228">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2"/>
      <c r="M481" s="278"/>
      <c r="N481" s="278"/>
      <c r="O481" s="278"/>
      <c r="P481" s="278"/>
      <c r="Q481" s="278"/>
      <c r="R481" s="278"/>
      <c r="S481" s="278"/>
      <c r="T481" s="278"/>
      <c r="U481" s="279"/>
      <c r="V481" s="103"/>
      <c r="W481" s="84">
        <f>Y481+1</f>
        <v>61</v>
      </c>
      <c r="X481" s="84"/>
      <c r="Y481" s="78">
        <f>SUM(E468:E481)</f>
        <v>60</v>
      </c>
      <c r="Z481" s="72" t="str">
        <f t="shared" si="201"/>
        <v/>
      </c>
      <c r="AA481" s="72"/>
      <c r="AB481" s="72"/>
      <c r="AC481" s="72">
        <f t="shared" si="187"/>
        <v>1</v>
      </c>
      <c r="AD481" s="72">
        <f t="shared" si="188"/>
        <v>1</v>
      </c>
      <c r="AE481" s="109" t="str">
        <f t="shared" si="189"/>
        <v>0-0</v>
      </c>
      <c r="AF481" s="109" t="str">
        <f t="shared" si="190"/>
        <v>Y</v>
      </c>
      <c r="AG481" s="109" t="str">
        <f t="shared" si="191"/>
        <v>A</v>
      </c>
      <c r="AM481" s="109">
        <f t="shared" si="192"/>
        <v>0</v>
      </c>
      <c r="AN481" s="109">
        <f t="shared" si="193"/>
        <v>0</v>
      </c>
      <c r="AO481" s="109" t="str">
        <f t="shared" si="194"/>
        <v/>
      </c>
      <c r="AQ481" s="109" t="str">
        <f t="shared" si="195"/>
        <v/>
      </c>
      <c r="BA481" s="228">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2"/>
      <c r="M482" s="278"/>
      <c r="N482" s="278"/>
      <c r="O482" s="278"/>
      <c r="P482" s="278"/>
      <c r="Q482" s="278"/>
      <c r="R482" s="278"/>
      <c r="S482" s="278"/>
      <c r="T482" s="278"/>
      <c r="U482" s="279"/>
      <c r="V482" s="103"/>
      <c r="W482" s="84">
        <f>Y482+1</f>
        <v>61</v>
      </c>
      <c r="X482" s="84"/>
      <c r="Y482" s="78">
        <f>SUM(E468:E482)</f>
        <v>60</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A</v>
      </c>
      <c r="AM482" s="109">
        <f t="shared" si="192"/>
        <v>0</v>
      </c>
      <c r="AN482" s="109">
        <f t="shared" si="193"/>
        <v>0</v>
      </c>
      <c r="AO482" s="109" t="str">
        <f t="shared" si="194"/>
        <v/>
      </c>
      <c r="AQ482" s="109" t="str">
        <f t="shared" si="195"/>
        <v/>
      </c>
      <c r="BA482" s="228">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2"/>
      <c r="M483" s="278"/>
      <c r="N483" s="278"/>
      <c r="O483" s="278"/>
      <c r="P483" s="278"/>
      <c r="Q483" s="278"/>
      <c r="R483" s="278"/>
      <c r="S483" s="278"/>
      <c r="T483" s="278"/>
      <c r="U483" s="279"/>
      <c r="V483" s="103"/>
      <c r="W483" s="84">
        <f t="shared" ref="W483:W491" si="203">Y483+1</f>
        <v>61</v>
      </c>
      <c r="X483" s="84"/>
      <c r="Y483" s="78">
        <f>SUM(E468:E483)</f>
        <v>60</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A</v>
      </c>
      <c r="AM483" s="109">
        <f t="shared" si="192"/>
        <v>0</v>
      </c>
      <c r="AN483" s="109">
        <f t="shared" si="193"/>
        <v>0</v>
      </c>
      <c r="AO483" s="109" t="str">
        <f t="shared" si="194"/>
        <v/>
      </c>
      <c r="AQ483" s="109" t="str">
        <f t="shared" si="195"/>
        <v/>
      </c>
      <c r="BA483" s="228">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2"/>
      <c r="M484" s="278"/>
      <c r="N484" s="278"/>
      <c r="O484" s="278"/>
      <c r="P484" s="278"/>
      <c r="Q484" s="278"/>
      <c r="R484" s="278"/>
      <c r="S484" s="278"/>
      <c r="T484" s="278"/>
      <c r="U484" s="279"/>
      <c r="V484" s="103"/>
      <c r="W484" s="84">
        <f t="shared" si="203"/>
        <v>61</v>
      </c>
      <c r="X484" s="84"/>
      <c r="Y484" s="78">
        <f>SUM(E468:E484)</f>
        <v>60</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A</v>
      </c>
      <c r="AM484" s="109">
        <f t="shared" si="192"/>
        <v>0</v>
      </c>
      <c r="AN484" s="109">
        <f t="shared" si="193"/>
        <v>0</v>
      </c>
      <c r="AO484" s="109" t="str">
        <f t="shared" si="194"/>
        <v/>
      </c>
      <c r="AQ484" s="109" t="str">
        <f t="shared" si="195"/>
        <v/>
      </c>
      <c r="BA484" s="228">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2"/>
      <c r="M485" s="278"/>
      <c r="N485" s="278"/>
      <c r="O485" s="278"/>
      <c r="P485" s="278"/>
      <c r="Q485" s="278"/>
      <c r="R485" s="278"/>
      <c r="S485" s="278"/>
      <c r="T485" s="278"/>
      <c r="U485" s="279"/>
      <c r="V485" s="103"/>
      <c r="W485" s="84">
        <f t="shared" si="203"/>
        <v>61</v>
      </c>
      <c r="X485" s="84"/>
      <c r="Y485" s="78">
        <f>SUM(E468:E485)</f>
        <v>60</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A</v>
      </c>
      <c r="AM485" s="109">
        <f t="shared" si="192"/>
        <v>0</v>
      </c>
      <c r="AN485" s="109">
        <f t="shared" si="193"/>
        <v>0</v>
      </c>
      <c r="AO485" s="109" t="str">
        <f t="shared" si="194"/>
        <v/>
      </c>
      <c r="AQ485" s="109" t="str">
        <f t="shared" si="195"/>
        <v/>
      </c>
      <c r="BA485" s="228">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2"/>
      <c r="M486" s="278"/>
      <c r="N486" s="278"/>
      <c r="O486" s="278"/>
      <c r="P486" s="278"/>
      <c r="Q486" s="278"/>
      <c r="R486" s="278"/>
      <c r="S486" s="278"/>
      <c r="T486" s="278"/>
      <c r="U486" s="279"/>
      <c r="V486" s="103"/>
      <c r="W486" s="84">
        <f t="shared" si="203"/>
        <v>61</v>
      </c>
      <c r="X486" s="84"/>
      <c r="Y486" s="78">
        <f>SUM(E468:E486)</f>
        <v>60</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A</v>
      </c>
      <c r="AM486" s="109">
        <f t="shared" si="192"/>
        <v>0</v>
      </c>
      <c r="AN486" s="109">
        <f t="shared" si="193"/>
        <v>0</v>
      </c>
      <c r="AO486" s="109" t="str">
        <f t="shared" si="194"/>
        <v/>
      </c>
      <c r="AQ486" s="109" t="str">
        <f t="shared" si="195"/>
        <v/>
      </c>
      <c r="BA486" s="228">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2"/>
      <c r="M487" s="278"/>
      <c r="N487" s="278"/>
      <c r="O487" s="278"/>
      <c r="P487" s="278"/>
      <c r="Q487" s="278"/>
      <c r="R487" s="278"/>
      <c r="S487" s="278"/>
      <c r="T487" s="278"/>
      <c r="U487" s="279"/>
      <c r="V487" s="103"/>
      <c r="W487" s="84">
        <f t="shared" si="203"/>
        <v>61</v>
      </c>
      <c r="X487" s="84"/>
      <c r="Y487" s="78">
        <f>SUM(E468:E487)</f>
        <v>60</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A</v>
      </c>
      <c r="AM487" s="109">
        <f t="shared" si="192"/>
        <v>0</v>
      </c>
      <c r="AN487" s="109">
        <f t="shared" si="193"/>
        <v>0</v>
      </c>
      <c r="AO487" s="109" t="str">
        <f t="shared" si="194"/>
        <v/>
      </c>
      <c r="AQ487" s="109" t="str">
        <f t="shared" si="195"/>
        <v/>
      </c>
      <c r="BA487" s="228">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2"/>
      <c r="M488" s="278"/>
      <c r="N488" s="278"/>
      <c r="O488" s="278"/>
      <c r="P488" s="278"/>
      <c r="Q488" s="278"/>
      <c r="R488" s="278"/>
      <c r="S488" s="278"/>
      <c r="T488" s="278"/>
      <c r="U488" s="279"/>
      <c r="V488" s="103"/>
      <c r="W488" s="84">
        <f t="shared" si="203"/>
        <v>61</v>
      </c>
      <c r="X488" s="84"/>
      <c r="Y488" s="78">
        <f>SUM(E468:E488)</f>
        <v>60</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A</v>
      </c>
      <c r="AM488" s="109">
        <f t="shared" si="192"/>
        <v>0</v>
      </c>
      <c r="AN488" s="109">
        <f t="shared" si="193"/>
        <v>0</v>
      </c>
      <c r="AO488" s="109" t="str">
        <f t="shared" si="194"/>
        <v/>
      </c>
      <c r="AQ488" s="109" t="str">
        <f t="shared" si="195"/>
        <v/>
      </c>
      <c r="BA488" s="228">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2"/>
      <c r="M489" s="278"/>
      <c r="N489" s="278"/>
      <c r="O489" s="278"/>
      <c r="P489" s="278"/>
      <c r="Q489" s="278"/>
      <c r="R489" s="278"/>
      <c r="S489" s="278"/>
      <c r="T489" s="278"/>
      <c r="U489" s="279"/>
      <c r="V489" s="103"/>
      <c r="W489" s="84">
        <f t="shared" si="203"/>
        <v>61</v>
      </c>
      <c r="X489" s="84"/>
      <c r="Y489" s="78">
        <f>SUM(E468:E489)</f>
        <v>60</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A</v>
      </c>
      <c r="AM489" s="109">
        <f t="shared" si="192"/>
        <v>0</v>
      </c>
      <c r="AN489" s="109">
        <f t="shared" si="193"/>
        <v>0</v>
      </c>
      <c r="AO489" s="109" t="str">
        <f t="shared" si="194"/>
        <v/>
      </c>
      <c r="AQ489" s="109" t="str">
        <f t="shared" si="195"/>
        <v/>
      </c>
      <c r="BA489" s="228">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2"/>
      <c r="M490" s="278"/>
      <c r="N490" s="278"/>
      <c r="O490" s="278"/>
      <c r="P490" s="278"/>
      <c r="Q490" s="278"/>
      <c r="R490" s="278"/>
      <c r="S490" s="278"/>
      <c r="T490" s="278"/>
      <c r="U490" s="279"/>
      <c r="V490" s="103"/>
      <c r="W490" s="84">
        <f t="shared" si="203"/>
        <v>61</v>
      </c>
      <c r="X490" s="84"/>
      <c r="Y490" s="78">
        <f>SUM(E468:E490)</f>
        <v>60</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A</v>
      </c>
      <c r="AM490" s="109">
        <f t="shared" si="192"/>
        <v>0</v>
      </c>
      <c r="AN490" s="109">
        <f t="shared" si="193"/>
        <v>0</v>
      </c>
      <c r="AO490" s="109" t="str">
        <f t="shared" si="194"/>
        <v/>
      </c>
      <c r="AQ490" s="109" t="str">
        <f t="shared" si="195"/>
        <v/>
      </c>
      <c r="BA490" s="228">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2"/>
      <c r="M491" s="278"/>
      <c r="N491" s="278"/>
      <c r="O491" s="278"/>
      <c r="P491" s="278"/>
      <c r="Q491" s="278"/>
      <c r="R491" s="278"/>
      <c r="S491" s="278"/>
      <c r="T491" s="278"/>
      <c r="U491" s="279"/>
      <c r="V491" s="103"/>
      <c r="W491" s="84">
        <f t="shared" si="203"/>
        <v>61</v>
      </c>
      <c r="X491" s="84"/>
      <c r="Y491" s="78">
        <f>SUM(E468:E491)</f>
        <v>60</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A</v>
      </c>
      <c r="AM491" s="109">
        <f t="shared" si="192"/>
        <v>0</v>
      </c>
      <c r="AN491" s="109">
        <f t="shared" si="193"/>
        <v>0</v>
      </c>
      <c r="AO491" s="109" t="str">
        <f t="shared" si="194"/>
        <v/>
      </c>
      <c r="AQ491" s="109" t="str">
        <f t="shared" si="195"/>
        <v/>
      </c>
      <c r="BA491" s="228">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3"/>
      <c r="M492" s="278"/>
      <c r="N492" s="278"/>
      <c r="O492" s="278"/>
      <c r="P492" s="278"/>
      <c r="Q492" s="278"/>
      <c r="R492" s="278"/>
      <c r="S492" s="278"/>
      <c r="T492" s="278"/>
      <c r="U492" s="279"/>
      <c r="V492" s="103"/>
      <c r="W492" s="72"/>
      <c r="X492" s="72"/>
      <c r="Y492" s="78">
        <f>SUM(E468:E492)</f>
        <v>60</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A</v>
      </c>
      <c r="AM492" s="109">
        <f t="shared" si="192"/>
        <v>0</v>
      </c>
      <c r="AN492" s="109">
        <f t="shared" si="193"/>
        <v>0</v>
      </c>
      <c r="AO492" s="109" t="str">
        <f t="shared" si="194"/>
        <v/>
      </c>
      <c r="AQ492" s="109" t="str">
        <f t="shared" si="195"/>
        <v/>
      </c>
      <c r="BA492" s="227"/>
    </row>
    <row r="493" spans="1:53" ht="16.5" thickBot="1" x14ac:dyDescent="0.3">
      <c r="A493" s="88"/>
      <c r="B493" s="319" t="s">
        <v>327</v>
      </c>
      <c r="C493" s="320"/>
      <c r="D493" s="79"/>
      <c r="E493" s="80"/>
      <c r="F493" s="80"/>
      <c r="G493" s="81"/>
      <c r="H493" s="191"/>
      <c r="I493" s="191"/>
      <c r="J493" s="191"/>
      <c r="K493" s="82"/>
      <c r="L493" s="319" t="s">
        <v>306</v>
      </c>
      <c r="M493" s="330"/>
      <c r="N493" s="330"/>
      <c r="O493" s="330"/>
      <c r="P493" s="330"/>
      <c r="Q493" s="330"/>
      <c r="R493" s="330"/>
      <c r="S493" s="330"/>
      <c r="T493" s="330"/>
      <c r="U493" s="320"/>
      <c r="V493" s="104"/>
      <c r="W493" s="72"/>
      <c r="X493" s="72"/>
      <c r="Y493" s="72"/>
      <c r="Z493" s="72"/>
      <c r="AA493" s="72" t="str">
        <f t="shared" si="202"/>
        <v/>
      </c>
      <c r="AB493" s="72"/>
      <c r="AC493" s="72">
        <f>SUM(AC468:AC492)</f>
        <v>25</v>
      </c>
      <c r="AD493" s="72">
        <f>SUM(AD468:AD492)</f>
        <v>19</v>
      </c>
      <c r="AM493" s="109">
        <f>SUM(AM468:AM492)</f>
        <v>0</v>
      </c>
      <c r="AN493" s="109">
        <f>SUM(AN468:AN492)</f>
        <v>0</v>
      </c>
      <c r="AO493" s="109">
        <f>((COUNTIF(AO468:AO492,"Y")/3)*2)</f>
        <v>0</v>
      </c>
      <c r="AP493" s="109">
        <f>(COUNTIF(AO468:AO492,"Y")/3)</f>
        <v>0</v>
      </c>
      <c r="AQ493" s="109">
        <f>(COUNTIF(AQ468:AQ492,"Y")/2)</f>
        <v>0</v>
      </c>
      <c r="AR493" s="109">
        <f>(COUNTIF(AQ468:AQ492,"Y")/2)</f>
        <v>0</v>
      </c>
      <c r="BA493" s="227"/>
    </row>
    <row r="494" spans="1:53" ht="16.5" thickBot="1" x14ac:dyDescent="0.3">
      <c r="A494" s="88"/>
      <c r="B494" s="319" t="s">
        <v>307</v>
      </c>
      <c r="C494" s="320"/>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5"/>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5" t="s">
        <v>210</v>
      </c>
      <c r="N497" s="195" t="s">
        <v>211</v>
      </c>
      <c r="O497" s="195" t="s">
        <v>212</v>
      </c>
      <c r="P497" s="195" t="s">
        <v>213</v>
      </c>
      <c r="Q497" s="195" t="s">
        <v>214</v>
      </c>
      <c r="R497" s="195" t="s">
        <v>215</v>
      </c>
      <c r="S497" s="195" t="s">
        <v>216</v>
      </c>
      <c r="T497" s="195" t="s">
        <v>217</v>
      </c>
      <c r="U497" s="195" t="s">
        <v>218</v>
      </c>
      <c r="V497" s="195" t="s">
        <v>219</v>
      </c>
      <c r="W497" s="113" t="s">
        <v>220</v>
      </c>
      <c r="X497" s="195" t="s">
        <v>221</v>
      </c>
      <c r="Y497" s="25"/>
      <c r="Z497" s="25"/>
      <c r="AA497" s="25"/>
      <c r="AB497" s="25"/>
      <c r="AC497" s="25"/>
      <c r="AD497" s="25"/>
      <c r="BA497" s="225"/>
    </row>
    <row r="498" spans="1:53" ht="16.5" thickTop="1" thickBot="1" x14ac:dyDescent="0.3">
      <c r="A498" s="88"/>
      <c r="B498" s="312" t="s">
        <v>222</v>
      </c>
      <c r="C498" s="313"/>
      <c r="D498" s="314" t="s">
        <v>223</v>
      </c>
      <c r="E498" s="305"/>
      <c r="F498" s="88"/>
      <c r="G498" s="315" t="s">
        <v>224</v>
      </c>
      <c r="H498" s="316"/>
      <c r="I498" s="28">
        <f>SUM(E509:E533)</f>
        <v>36</v>
      </c>
      <c r="J498" s="317" t="s">
        <v>225</v>
      </c>
      <c r="K498" s="318"/>
      <c r="L498" s="305"/>
      <c r="M498" s="195">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5" t="s">
        <v>226</v>
      </c>
      <c r="AA498" s="296"/>
      <c r="AB498" s="297"/>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5"/>
    </row>
    <row r="499" spans="1:53" ht="16.5" customHeight="1" thickTop="1" thickBot="1" x14ac:dyDescent="0.3">
      <c r="A499" s="88"/>
      <c r="B499" s="29" t="s">
        <v>228</v>
      </c>
      <c r="C499" s="30">
        <v>0</v>
      </c>
      <c r="D499" s="31" t="s">
        <v>229</v>
      </c>
      <c r="E499" s="66" t="str">
        <f>TEXT(IF('Cable Calculator'!BL7="","",'Cable Calculator'!BL7),)</f>
        <v/>
      </c>
      <c r="F499" s="88"/>
      <c r="G499" s="304" t="s">
        <v>230</v>
      </c>
      <c r="H499" s="305"/>
      <c r="I499" s="33">
        <f>E500-I498</f>
        <v>12</v>
      </c>
      <c r="J499" s="289" t="s">
        <v>231</v>
      </c>
      <c r="K499" s="290"/>
      <c r="L499" s="34">
        <f>I503</f>
        <v>613</v>
      </c>
      <c r="M499" s="195">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298" t="s">
        <v>232</v>
      </c>
      <c r="AA499" s="300" t="s">
        <v>233</v>
      </c>
      <c r="AB499" s="301"/>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6"/>
    </row>
    <row r="500" spans="1:53" ht="16.5" thickTop="1" thickBot="1" x14ac:dyDescent="0.3">
      <c r="A500" s="88"/>
      <c r="B500" s="36" t="s">
        <v>235</v>
      </c>
      <c r="C500" s="37">
        <v>0</v>
      </c>
      <c r="D500" s="38" t="s">
        <v>236</v>
      </c>
      <c r="E500" s="32">
        <v>48</v>
      </c>
      <c r="F500" s="88"/>
      <c r="G500" s="291" t="s">
        <v>237</v>
      </c>
      <c r="H500" s="292"/>
      <c r="I500" s="35">
        <f>IF(E500=0,0,12-(MOD(I498,12)))</f>
        <v>12</v>
      </c>
      <c r="J500" s="289" t="s">
        <v>238</v>
      </c>
      <c r="K500" s="290"/>
      <c r="L500" s="39">
        <f>I504-I498</f>
        <v>612</v>
      </c>
      <c r="M500" s="195">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9"/>
      <c r="AA500" s="302"/>
      <c r="AB500" s="303"/>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6"/>
    </row>
    <row r="501" spans="1:53" ht="16.5" customHeight="1" thickTop="1" thickBot="1" x14ac:dyDescent="0.3">
      <c r="A501" s="88"/>
      <c r="B501" s="40" t="s">
        <v>240</v>
      </c>
      <c r="C501" s="30">
        <v>0</v>
      </c>
      <c r="D501" s="41" t="s">
        <v>241</v>
      </c>
      <c r="E501" s="42">
        <v>12</v>
      </c>
      <c r="F501" s="88"/>
      <c r="G501" s="321" t="s">
        <v>242</v>
      </c>
      <c r="H501" s="43" t="s">
        <v>243</v>
      </c>
      <c r="I501" s="35">
        <f>IF(E501&lt;&gt;0,1,0)</f>
        <v>1</v>
      </c>
      <c r="J501" s="291" t="s">
        <v>244</v>
      </c>
      <c r="K501" s="292"/>
      <c r="L501" s="44">
        <f>'Cable Calculator'!BL3</f>
        <v>758</v>
      </c>
      <c r="M501" s="195">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6"/>
    </row>
    <row r="502" spans="1:53" ht="16.5" thickTop="1" thickBot="1" x14ac:dyDescent="0.3">
      <c r="A502" s="88"/>
      <c r="B502" s="29" t="s">
        <v>246</v>
      </c>
      <c r="C502" s="37">
        <v>0</v>
      </c>
      <c r="D502" s="41" t="s">
        <v>247</v>
      </c>
      <c r="E502" s="42">
        <v>613</v>
      </c>
      <c r="F502" s="88"/>
      <c r="G502" s="322"/>
      <c r="H502" s="47" t="s">
        <v>248</v>
      </c>
      <c r="I502" s="35">
        <f>IF(E501&lt;&gt;0,E501,0)</f>
        <v>12</v>
      </c>
      <c r="J502" s="193"/>
      <c r="K502" s="194"/>
      <c r="L502" s="48"/>
      <c r="M502" s="195">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6"/>
    </row>
    <row r="503" spans="1:53" ht="16.5" customHeight="1" thickTop="1" thickBot="1" x14ac:dyDescent="0.3">
      <c r="A503" s="88"/>
      <c r="B503" s="36" t="s">
        <v>249</v>
      </c>
      <c r="C503" s="30">
        <v>0</v>
      </c>
      <c r="D503" s="49" t="s">
        <v>250</v>
      </c>
      <c r="E503" s="50">
        <f>E500/12</f>
        <v>4</v>
      </c>
      <c r="F503" s="88"/>
      <c r="G503" s="321" t="s">
        <v>251</v>
      </c>
      <c r="H503" s="51" t="s">
        <v>252</v>
      </c>
      <c r="I503" s="112">
        <f>E502</f>
        <v>613</v>
      </c>
      <c r="J503" s="323" t="s">
        <v>253</v>
      </c>
      <c r="K503" s="324"/>
      <c r="L503" s="325"/>
      <c r="M503" s="52" t="s">
        <v>254</v>
      </c>
      <c r="N503" s="106"/>
      <c r="O503" s="106"/>
      <c r="P503" s="191"/>
      <c r="Q503" s="191"/>
      <c r="R503" s="191"/>
      <c r="S503" s="191"/>
      <c r="T503" s="191"/>
      <c r="U503" s="191"/>
      <c r="V503" s="191"/>
      <c r="W503" s="53">
        <f>SUM(P503:U503)</f>
        <v>0</v>
      </c>
      <c r="X503" s="54"/>
      <c r="Y503" s="25"/>
      <c r="Z503" s="45">
        <v>3</v>
      </c>
      <c r="AA503" s="46">
        <v>25</v>
      </c>
      <c r="AB503" s="46">
        <v>36</v>
      </c>
      <c r="AC503" s="25"/>
      <c r="AD503" s="25"/>
      <c r="BA503" s="226"/>
    </row>
    <row r="504" spans="1:53" ht="16.5" thickTop="1" thickBot="1" x14ac:dyDescent="0.3">
      <c r="A504" s="88"/>
      <c r="B504" s="36" t="s">
        <v>255</v>
      </c>
      <c r="C504" s="30">
        <v>0</v>
      </c>
      <c r="D504" s="31" t="s">
        <v>256</v>
      </c>
      <c r="E504" s="101" t="str">
        <f>IF('Cable Calculator'!BL5="","",'Cable Calculator'!BL5)</f>
        <v>N</v>
      </c>
      <c r="F504" s="88"/>
      <c r="G504" s="322"/>
      <c r="H504" s="47" t="s">
        <v>257</v>
      </c>
      <c r="I504" s="35">
        <f>IF(E502="","0",IF(AND(E499="EUC",E500=432), I503+(203-E501),IF(E502=0,0,(E502+(E500-E501)-1))))</f>
        <v>648</v>
      </c>
      <c r="J504" s="286" t="str">
        <f>IFERROR(IF(OR(E499="EUC",E499="SS"),"---",IF(OR(P498,S498),"NO 2F Tethers for RPX!",IF(OR(P500,S500),"NO 6F Tethers for RPX!","---"))),"---")</f>
        <v>---</v>
      </c>
      <c r="K504" s="287"/>
      <c r="L504" s="288"/>
      <c r="M504" s="286" t="str">
        <f>IF(E501&gt;60,"Dead Count &gt;60: Consider Downsize","---")</f>
        <v>---</v>
      </c>
      <c r="N504" s="287"/>
      <c r="O504" s="287"/>
      <c r="P504" s="287"/>
      <c r="Q504" s="287"/>
      <c r="R504" s="287"/>
      <c r="S504" s="287"/>
      <c r="T504" s="287"/>
      <c r="U504" s="288"/>
      <c r="V504" s="100"/>
      <c r="W504" s="54">
        <f>SUM(P504:U504)</f>
        <v>0</v>
      </c>
      <c r="X504" s="54"/>
      <c r="Y504" s="25"/>
      <c r="Z504" s="45">
        <v>4</v>
      </c>
      <c r="AA504" s="46">
        <v>37</v>
      </c>
      <c r="AB504" s="46">
        <v>48</v>
      </c>
      <c r="AC504" s="25"/>
      <c r="AD504" s="25"/>
      <c r="BA504" s="226"/>
    </row>
    <row r="505" spans="1:53" ht="16.5" thickTop="1" thickBot="1" x14ac:dyDescent="0.3">
      <c r="A505" s="88"/>
      <c r="B505" s="55" t="s">
        <v>258</v>
      </c>
      <c r="C505" s="56">
        <f>SUM(C499:C504)+I498</f>
        <v>36</v>
      </c>
      <c r="D505" s="31" t="s">
        <v>259</v>
      </c>
      <c r="E505" s="101" t="str">
        <f>IF(AS499="Y","DBL",IF(AS500="Y","TRPL",IF(AS501="Y","QUAD","")))</f>
        <v/>
      </c>
      <c r="F505" s="88"/>
      <c r="G505" s="191"/>
      <c r="H505" s="57"/>
      <c r="I505" s="191"/>
      <c r="J505" s="286"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7"/>
      <c r="L505" s="288"/>
      <c r="M505" s="286" t="str">
        <f>IF(AND(OR(E499="SS",E499="RPX",E499="EUC",E499="RPX-T"),(OR(C509="",C509="Field SPL"))),"Cannot have FlexNap cables without tethers","---")</f>
        <v>---</v>
      </c>
      <c r="N505" s="287"/>
      <c r="O505" s="287"/>
      <c r="P505" s="287"/>
      <c r="Q505" s="287"/>
      <c r="R505" s="287"/>
      <c r="S505" s="287"/>
      <c r="T505" s="287"/>
      <c r="U505" s="288"/>
      <c r="V505" s="25"/>
      <c r="W505" s="58"/>
      <c r="X505" s="58"/>
      <c r="Y505" s="25"/>
      <c r="Z505" s="45">
        <v>5</v>
      </c>
      <c r="AA505" s="46">
        <v>49</v>
      </c>
      <c r="AB505" s="46">
        <v>60</v>
      </c>
      <c r="AC505" s="25"/>
      <c r="AD505" s="25"/>
      <c r="BA505" s="226"/>
    </row>
    <row r="506" spans="1:53" ht="16.5" thickTop="1" thickBot="1" x14ac:dyDescent="0.3">
      <c r="A506" s="88"/>
      <c r="B506" s="59"/>
      <c r="C506" s="60"/>
      <c r="D506" s="61"/>
      <c r="E506" s="62"/>
      <c r="F506" s="88"/>
      <c r="G506" s="63"/>
      <c r="H506" s="64"/>
      <c r="I506" s="63"/>
      <c r="J506" s="286" t="str">
        <f>IF(AND(OR(E499="RPX", E499="RPX-T", E499="SS"),E500=216),"NO 216 For RPX, RPX-T, OR SS CABLE","---")</f>
        <v>---</v>
      </c>
      <c r="K506" s="287"/>
      <c r="L506" s="288"/>
      <c r="M506" s="286" t="str" cm="1">
        <f t="array" ref="M506">IF(AND(E499="",OR(C509:C533="FST",C509:C533="REV T",C509:C533="DBL REV",C509:C533="TPL REV", C509:C533="QD REV")),"Non-FlexNap cables cannot have tethers","---")</f>
        <v>---</v>
      </c>
      <c r="N506" s="287"/>
      <c r="O506" s="287"/>
      <c r="P506" s="287"/>
      <c r="Q506" s="287"/>
      <c r="R506" s="287"/>
      <c r="S506" s="287"/>
      <c r="T506" s="287"/>
      <c r="U506" s="288"/>
      <c r="V506" s="25"/>
      <c r="W506" s="58"/>
      <c r="X506" s="58"/>
      <c r="Y506" s="25"/>
      <c r="Z506" s="45">
        <v>6</v>
      </c>
      <c r="AA506" s="65">
        <v>61</v>
      </c>
      <c r="AB506" s="65">
        <v>72</v>
      </c>
      <c r="AC506" s="25"/>
      <c r="AD506" s="25"/>
      <c r="BA506" s="225"/>
    </row>
    <row r="507" spans="1:53" ht="15.75" customHeight="1" thickBot="1" x14ac:dyDescent="0.3">
      <c r="A507" s="88"/>
      <c r="B507" s="321" t="s">
        <v>260</v>
      </c>
      <c r="C507" s="293" t="s">
        <v>261</v>
      </c>
      <c r="D507" s="293" t="s">
        <v>262</v>
      </c>
      <c r="E507" s="306" t="s">
        <v>263</v>
      </c>
      <c r="F507" s="293" t="s">
        <v>264</v>
      </c>
      <c r="G507" s="308" t="s">
        <v>265</v>
      </c>
      <c r="H507" s="308" t="s">
        <v>266</v>
      </c>
      <c r="I507" s="308" t="s">
        <v>267</v>
      </c>
      <c r="J507" s="310" t="s">
        <v>268</v>
      </c>
      <c r="K507" s="293" t="s">
        <v>269</v>
      </c>
      <c r="L507" s="280" t="s">
        <v>270</v>
      </c>
      <c r="M507" s="282" t="s">
        <v>271</v>
      </c>
      <c r="N507" s="282"/>
      <c r="O507" s="282"/>
      <c r="P507" s="282"/>
      <c r="Q507" s="282"/>
      <c r="R507" s="282"/>
      <c r="S507" s="282"/>
      <c r="T507" s="282"/>
      <c r="U507" s="283"/>
      <c r="V507" s="107"/>
      <c r="W507" s="72"/>
      <c r="X507" s="72"/>
      <c r="Y507" s="72"/>
      <c r="Z507" s="45">
        <v>7</v>
      </c>
      <c r="AA507" s="65">
        <v>73</v>
      </c>
      <c r="AB507" s="65">
        <v>84</v>
      </c>
      <c r="AC507" s="25"/>
      <c r="AD507" s="25"/>
      <c r="BA507" s="227"/>
    </row>
    <row r="508" spans="1:53" ht="15.75" thickBot="1" x14ac:dyDescent="0.3">
      <c r="A508" s="88"/>
      <c r="B508" s="322"/>
      <c r="C508" s="294"/>
      <c r="D508" s="294"/>
      <c r="E508" s="307"/>
      <c r="F508" s="294"/>
      <c r="G508" s="309"/>
      <c r="H508" s="309"/>
      <c r="I508" s="309"/>
      <c r="J508" s="311"/>
      <c r="K508" s="294"/>
      <c r="L508" s="281"/>
      <c r="M508" s="284"/>
      <c r="N508" s="284"/>
      <c r="O508" s="284"/>
      <c r="P508" s="284"/>
      <c r="Q508" s="284"/>
      <c r="R508" s="284"/>
      <c r="S508" s="284"/>
      <c r="T508" s="284"/>
      <c r="U508" s="285"/>
      <c r="V508" s="107"/>
      <c r="W508" s="72"/>
      <c r="X508" s="72"/>
      <c r="Y508" s="72"/>
      <c r="Z508" s="45">
        <v>8</v>
      </c>
      <c r="AA508" s="46">
        <v>85</v>
      </c>
      <c r="AB508" s="46">
        <v>96</v>
      </c>
      <c r="AC508" s="25"/>
      <c r="AD508" s="25"/>
      <c r="AI508" s="109" t="s">
        <v>272</v>
      </c>
      <c r="AJ508" s="109" t="s">
        <v>273</v>
      </c>
      <c r="AK508" s="109" t="s">
        <v>274</v>
      </c>
      <c r="AL508" s="109" t="s">
        <v>275</v>
      </c>
      <c r="BA508" s="227"/>
    </row>
    <row r="509" spans="1:53" ht="15.75" thickBot="1" x14ac:dyDescent="0.3">
      <c r="A509" s="88"/>
      <c r="B509" s="66" t="s">
        <v>276</v>
      </c>
      <c r="C509" s="67" t="s">
        <v>502</v>
      </c>
      <c r="D509" s="102"/>
      <c r="E509" s="32">
        <v>36</v>
      </c>
      <c r="F509" s="32"/>
      <c r="G509" s="68" t="s">
        <v>277</v>
      </c>
      <c r="H509" s="69">
        <f>IF(I509=0,0,I509-(E509-1))</f>
        <v>613</v>
      </c>
      <c r="I509" s="70">
        <f>IF(E509=0,0,I504)</f>
        <v>648</v>
      </c>
      <c r="J509" s="71" t="s">
        <v>278</v>
      </c>
      <c r="K509" s="32"/>
      <c r="L509" s="232"/>
      <c r="M509" s="278" t="s">
        <v>422</v>
      </c>
      <c r="N509" s="278"/>
      <c r="O509" s="278"/>
      <c r="P509" s="278"/>
      <c r="Q509" s="278"/>
      <c r="R509" s="278"/>
      <c r="S509" s="278"/>
      <c r="T509" s="278"/>
      <c r="U509" s="279"/>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613-648</v>
      </c>
      <c r="AF509" s="109" t="str">
        <f t="shared" ref="AF509:AF533" si="207">IF(C509="Field SPL","N","Y")</f>
        <v>N</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8">
        <f>MOD(E509,12)</f>
        <v>0</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2"/>
      <c r="M510" s="278"/>
      <c r="N510" s="278"/>
      <c r="O510" s="278"/>
      <c r="P510" s="278"/>
      <c r="Q510" s="278"/>
      <c r="R510" s="278"/>
      <c r="S510" s="278"/>
      <c r="T510" s="278"/>
      <c r="U510" s="279"/>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8">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2"/>
      <c r="M511" s="278"/>
      <c r="N511" s="278"/>
      <c r="O511" s="278"/>
      <c r="P511" s="278"/>
      <c r="Q511" s="278"/>
      <c r="R511" s="278"/>
      <c r="S511" s="278"/>
      <c r="T511" s="278"/>
      <c r="U511" s="279"/>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8">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2"/>
      <c r="M512" s="278"/>
      <c r="N512" s="278"/>
      <c r="O512" s="278"/>
      <c r="P512" s="278"/>
      <c r="Q512" s="278"/>
      <c r="R512" s="278"/>
      <c r="S512" s="278"/>
      <c r="T512" s="278"/>
      <c r="U512" s="279"/>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8">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2"/>
      <c r="M513" s="278"/>
      <c r="N513" s="278"/>
      <c r="O513" s="278"/>
      <c r="P513" s="278"/>
      <c r="Q513" s="278"/>
      <c r="R513" s="278"/>
      <c r="S513" s="278"/>
      <c r="T513" s="278"/>
      <c r="U513" s="279"/>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8">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2"/>
      <c r="M514" s="278"/>
      <c r="N514" s="278"/>
      <c r="O514" s="278"/>
      <c r="P514" s="278"/>
      <c r="Q514" s="278"/>
      <c r="R514" s="278"/>
      <c r="S514" s="278"/>
      <c r="T514" s="278"/>
      <c r="U514" s="279"/>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8">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2"/>
      <c r="M515" s="278"/>
      <c r="N515" s="278"/>
      <c r="O515" s="278"/>
      <c r="P515" s="278"/>
      <c r="Q515" s="278"/>
      <c r="R515" s="278"/>
      <c r="S515" s="278"/>
      <c r="T515" s="278"/>
      <c r="U515" s="279"/>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8">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2"/>
      <c r="M516" s="278"/>
      <c r="N516" s="278"/>
      <c r="O516" s="278"/>
      <c r="P516" s="278"/>
      <c r="Q516" s="278"/>
      <c r="R516" s="278"/>
      <c r="S516" s="278"/>
      <c r="T516" s="278"/>
      <c r="U516" s="279"/>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8">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2"/>
      <c r="M517" s="278"/>
      <c r="N517" s="278"/>
      <c r="O517" s="278"/>
      <c r="P517" s="278"/>
      <c r="Q517" s="278"/>
      <c r="R517" s="278"/>
      <c r="S517" s="278"/>
      <c r="T517" s="278"/>
      <c r="U517" s="279"/>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8">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2"/>
      <c r="M518" s="278"/>
      <c r="N518" s="278"/>
      <c r="O518" s="278"/>
      <c r="P518" s="278"/>
      <c r="Q518" s="278"/>
      <c r="R518" s="278"/>
      <c r="S518" s="278"/>
      <c r="T518" s="278"/>
      <c r="U518" s="279"/>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8">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2"/>
      <c r="M519" s="278"/>
      <c r="N519" s="278"/>
      <c r="O519" s="278"/>
      <c r="P519" s="278"/>
      <c r="Q519" s="278"/>
      <c r="R519" s="278"/>
      <c r="S519" s="278"/>
      <c r="T519" s="278"/>
      <c r="U519" s="279"/>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8">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2"/>
      <c r="M520" s="278"/>
      <c r="N520" s="278"/>
      <c r="O520" s="278"/>
      <c r="P520" s="278"/>
      <c r="Q520" s="278"/>
      <c r="R520" s="278"/>
      <c r="S520" s="278"/>
      <c r="T520" s="278"/>
      <c r="U520" s="279"/>
      <c r="V520" s="103"/>
      <c r="W520" s="84">
        <f>Y520+1</f>
        <v>37</v>
      </c>
      <c r="X520" s="84"/>
      <c r="Y520" s="78">
        <f>SUM(E509:E520)</f>
        <v>36</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8">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2"/>
      <c r="M521" s="278"/>
      <c r="N521" s="278"/>
      <c r="O521" s="278"/>
      <c r="P521" s="278"/>
      <c r="Q521" s="278"/>
      <c r="R521" s="278"/>
      <c r="S521" s="278"/>
      <c r="T521" s="278"/>
      <c r="U521" s="279"/>
      <c r="V521" s="103"/>
      <c r="W521" s="84">
        <f>Y521+1</f>
        <v>37</v>
      </c>
      <c r="X521" s="84"/>
      <c r="Y521" s="78">
        <f>SUM(E509:E521)</f>
        <v>36</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8">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2"/>
      <c r="M522" s="278"/>
      <c r="N522" s="278"/>
      <c r="O522" s="278"/>
      <c r="P522" s="278"/>
      <c r="Q522" s="278"/>
      <c r="R522" s="278"/>
      <c r="S522" s="278"/>
      <c r="T522" s="278"/>
      <c r="U522" s="279"/>
      <c r="V522" s="103"/>
      <c r="W522" s="84">
        <f>Y522+1</f>
        <v>37</v>
      </c>
      <c r="X522" s="84"/>
      <c r="Y522" s="78">
        <f>SUM(E509:E522)</f>
        <v>36</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8">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2"/>
      <c r="M523" s="278"/>
      <c r="N523" s="278"/>
      <c r="O523" s="278"/>
      <c r="P523" s="278"/>
      <c r="Q523" s="278"/>
      <c r="R523" s="278"/>
      <c r="S523" s="278"/>
      <c r="T523" s="278"/>
      <c r="U523" s="279"/>
      <c r="V523" s="103"/>
      <c r="W523" s="84">
        <f>Y523+1</f>
        <v>37</v>
      </c>
      <c r="X523" s="84"/>
      <c r="Y523" s="78">
        <f>SUM(E509:E523)</f>
        <v>36</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8">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2"/>
      <c r="M524" s="278"/>
      <c r="N524" s="278"/>
      <c r="O524" s="278"/>
      <c r="P524" s="278"/>
      <c r="Q524" s="278"/>
      <c r="R524" s="278"/>
      <c r="S524" s="278"/>
      <c r="T524" s="278"/>
      <c r="U524" s="279"/>
      <c r="V524" s="103"/>
      <c r="W524" s="84">
        <f t="shared" ref="W524:W532" si="220">Y524+1</f>
        <v>37</v>
      </c>
      <c r="X524" s="84"/>
      <c r="Y524" s="78">
        <f>SUM(E509:E524)</f>
        <v>36</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8">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2"/>
      <c r="M525" s="278"/>
      <c r="N525" s="278"/>
      <c r="O525" s="278"/>
      <c r="P525" s="278"/>
      <c r="Q525" s="278"/>
      <c r="R525" s="278"/>
      <c r="S525" s="278"/>
      <c r="T525" s="278"/>
      <c r="U525" s="279"/>
      <c r="V525" s="103"/>
      <c r="W525" s="84">
        <f t="shared" si="220"/>
        <v>37</v>
      </c>
      <c r="X525" s="84"/>
      <c r="Y525" s="78">
        <f>SUM(E509:E525)</f>
        <v>36</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8">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2"/>
      <c r="M526" s="278"/>
      <c r="N526" s="278"/>
      <c r="O526" s="278"/>
      <c r="P526" s="278"/>
      <c r="Q526" s="278"/>
      <c r="R526" s="278"/>
      <c r="S526" s="278"/>
      <c r="T526" s="278"/>
      <c r="U526" s="279"/>
      <c r="V526" s="103"/>
      <c r="W526" s="84">
        <f t="shared" si="220"/>
        <v>37</v>
      </c>
      <c r="X526" s="84"/>
      <c r="Y526" s="78">
        <f>SUM(E509:E526)</f>
        <v>36</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8">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2"/>
      <c r="M527" s="278"/>
      <c r="N527" s="278"/>
      <c r="O527" s="278"/>
      <c r="P527" s="278"/>
      <c r="Q527" s="278"/>
      <c r="R527" s="278"/>
      <c r="S527" s="278"/>
      <c r="T527" s="278"/>
      <c r="U527" s="279"/>
      <c r="V527" s="103"/>
      <c r="W527" s="84">
        <f t="shared" si="220"/>
        <v>37</v>
      </c>
      <c r="X527" s="84"/>
      <c r="Y527" s="78">
        <f>SUM(E509:E527)</f>
        <v>36</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8">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2"/>
      <c r="M528" s="278"/>
      <c r="N528" s="278"/>
      <c r="O528" s="278"/>
      <c r="P528" s="278"/>
      <c r="Q528" s="278"/>
      <c r="R528" s="278"/>
      <c r="S528" s="278"/>
      <c r="T528" s="278"/>
      <c r="U528" s="279"/>
      <c r="V528" s="103"/>
      <c r="W528" s="84">
        <f t="shared" si="220"/>
        <v>37</v>
      </c>
      <c r="X528" s="84"/>
      <c r="Y528" s="78">
        <f>SUM(E509:E528)</f>
        <v>36</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8">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2"/>
      <c r="M529" s="278"/>
      <c r="N529" s="278"/>
      <c r="O529" s="278"/>
      <c r="P529" s="278"/>
      <c r="Q529" s="278"/>
      <c r="R529" s="278"/>
      <c r="S529" s="278"/>
      <c r="T529" s="278"/>
      <c r="U529" s="279"/>
      <c r="V529" s="103"/>
      <c r="W529" s="84">
        <f t="shared" si="220"/>
        <v>37</v>
      </c>
      <c r="X529" s="84"/>
      <c r="Y529" s="78">
        <f>SUM(E509:E529)</f>
        <v>36</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8">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2"/>
      <c r="M530" s="278"/>
      <c r="N530" s="278"/>
      <c r="O530" s="278"/>
      <c r="P530" s="278"/>
      <c r="Q530" s="278"/>
      <c r="R530" s="278"/>
      <c r="S530" s="278"/>
      <c r="T530" s="278"/>
      <c r="U530" s="279"/>
      <c r="V530" s="103"/>
      <c r="W530" s="84">
        <f t="shared" si="220"/>
        <v>37</v>
      </c>
      <c r="X530" s="84"/>
      <c r="Y530" s="78">
        <f>SUM(E509:E530)</f>
        <v>36</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8">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2"/>
      <c r="M531" s="278"/>
      <c r="N531" s="278"/>
      <c r="O531" s="278"/>
      <c r="P531" s="278"/>
      <c r="Q531" s="278"/>
      <c r="R531" s="278"/>
      <c r="S531" s="278"/>
      <c r="T531" s="278"/>
      <c r="U531" s="279"/>
      <c r="V531" s="103"/>
      <c r="W531" s="84">
        <f t="shared" si="220"/>
        <v>37</v>
      </c>
      <c r="X531" s="84"/>
      <c r="Y531" s="78">
        <f>SUM(E509:E531)</f>
        <v>36</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8">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2"/>
      <c r="M532" s="278"/>
      <c r="N532" s="278"/>
      <c r="O532" s="278"/>
      <c r="P532" s="278"/>
      <c r="Q532" s="278"/>
      <c r="R532" s="278"/>
      <c r="S532" s="278"/>
      <c r="T532" s="278"/>
      <c r="U532" s="279"/>
      <c r="V532" s="103"/>
      <c r="W532" s="84">
        <f t="shared" si="220"/>
        <v>37</v>
      </c>
      <c r="X532" s="84"/>
      <c r="Y532" s="78">
        <f>SUM(E509:E532)</f>
        <v>36</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8">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3"/>
      <c r="M533" s="278"/>
      <c r="N533" s="278"/>
      <c r="O533" s="278"/>
      <c r="P533" s="278"/>
      <c r="Q533" s="278"/>
      <c r="R533" s="278"/>
      <c r="S533" s="278"/>
      <c r="T533" s="278"/>
      <c r="U533" s="279"/>
      <c r="V533" s="103"/>
      <c r="W533" s="72"/>
      <c r="X533" s="72"/>
      <c r="Y533" s="78">
        <f>SUM(E509:E533)</f>
        <v>36</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7"/>
    </row>
    <row r="534" spans="1:53" ht="16.5" thickBot="1" x14ac:dyDescent="0.3">
      <c r="A534" s="88"/>
      <c r="B534" s="319" t="s">
        <v>329</v>
      </c>
      <c r="C534" s="320"/>
      <c r="D534" s="79"/>
      <c r="E534" s="80"/>
      <c r="F534" s="80"/>
      <c r="G534" s="81"/>
      <c r="H534" s="191"/>
      <c r="I534" s="191"/>
      <c r="J534" s="191"/>
      <c r="K534" s="82"/>
      <c r="L534" s="319" t="s">
        <v>306</v>
      </c>
      <c r="M534" s="330"/>
      <c r="N534" s="330"/>
      <c r="O534" s="330"/>
      <c r="P534" s="330"/>
      <c r="Q534" s="330"/>
      <c r="R534" s="330"/>
      <c r="S534" s="330"/>
      <c r="T534" s="330"/>
      <c r="U534" s="320"/>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7"/>
    </row>
    <row r="535" spans="1:53" ht="16.5" thickBot="1" x14ac:dyDescent="0.3">
      <c r="A535" s="88"/>
      <c r="B535" s="319" t="s">
        <v>307</v>
      </c>
      <c r="C535" s="320"/>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5"/>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5" t="s">
        <v>210</v>
      </c>
      <c r="N538" s="195" t="s">
        <v>211</v>
      </c>
      <c r="O538" s="195" t="s">
        <v>212</v>
      </c>
      <c r="P538" s="195" t="s">
        <v>213</v>
      </c>
      <c r="Q538" s="195" t="s">
        <v>214</v>
      </c>
      <c r="R538" s="195" t="s">
        <v>215</v>
      </c>
      <c r="S538" s="195" t="s">
        <v>216</v>
      </c>
      <c r="T538" s="195" t="s">
        <v>217</v>
      </c>
      <c r="U538" s="195" t="s">
        <v>218</v>
      </c>
      <c r="V538" s="195" t="s">
        <v>219</v>
      </c>
      <c r="W538" s="113" t="s">
        <v>220</v>
      </c>
      <c r="X538" s="195" t="s">
        <v>221</v>
      </c>
      <c r="Y538" s="25"/>
      <c r="Z538" s="25"/>
      <c r="AA538" s="25"/>
      <c r="AB538" s="25"/>
      <c r="AC538" s="25"/>
      <c r="AD538" s="25"/>
      <c r="BA538" s="225"/>
    </row>
    <row r="539" spans="1:53" ht="16.5" thickTop="1" thickBot="1" x14ac:dyDescent="0.3">
      <c r="A539" s="88"/>
      <c r="B539" s="312" t="s">
        <v>222</v>
      </c>
      <c r="C539" s="313"/>
      <c r="D539" s="314" t="s">
        <v>223</v>
      </c>
      <c r="E539" s="305"/>
      <c r="F539" s="88"/>
      <c r="G539" s="315" t="s">
        <v>224</v>
      </c>
      <c r="H539" s="316"/>
      <c r="I539" s="28">
        <f>SUM(E550:E574)</f>
        <v>12</v>
      </c>
      <c r="J539" s="317" t="s">
        <v>225</v>
      </c>
      <c r="K539" s="318"/>
      <c r="L539" s="305"/>
      <c r="M539" s="195">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5" t="s">
        <v>226</v>
      </c>
      <c r="AA539" s="296"/>
      <c r="AB539" s="297"/>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5"/>
    </row>
    <row r="540" spans="1:53" ht="16.5" customHeight="1" thickTop="1" thickBot="1" x14ac:dyDescent="0.3">
      <c r="A540" s="88"/>
      <c r="B540" s="29" t="s">
        <v>228</v>
      </c>
      <c r="C540" s="30">
        <v>0</v>
      </c>
      <c r="D540" s="31" t="s">
        <v>229</v>
      </c>
      <c r="E540" s="66" t="str">
        <f>TEXT(IF('Cable Calculator'!BQ7="","",'Cable Calculator'!BQ7),)</f>
        <v>EUC</v>
      </c>
      <c r="F540" s="88"/>
      <c r="G540" s="304" t="s">
        <v>230</v>
      </c>
      <c r="H540" s="305"/>
      <c r="I540" s="33">
        <f>E541-I539</f>
        <v>12</v>
      </c>
      <c r="J540" s="289" t="s">
        <v>231</v>
      </c>
      <c r="K540" s="290"/>
      <c r="L540" s="34">
        <f>I544</f>
        <v>553</v>
      </c>
      <c r="M540" s="195">
        <v>4</v>
      </c>
      <c r="N540" s="35">
        <f>SUM(AI540,AI551)</f>
        <v>0</v>
      </c>
      <c r="O540" s="35">
        <v>0</v>
      </c>
      <c r="P540" s="35">
        <f>SUM(AJ540,AJ551)</f>
        <v>0</v>
      </c>
      <c r="Q540" s="35">
        <v>0</v>
      </c>
      <c r="R540" s="35">
        <f>COUNTIFS($E550:$E574,"4",$F550:$F574,"Pole",$C550:$C574,"FST")</f>
        <v>1</v>
      </c>
      <c r="S540" s="35">
        <f>SUM(AL540,AK551)</f>
        <v>0</v>
      </c>
      <c r="T540" s="35">
        <v>0</v>
      </c>
      <c r="U540" s="35">
        <f>SUM(AK540,AL551)</f>
        <v>1</v>
      </c>
      <c r="V540" s="35">
        <v>0</v>
      </c>
      <c r="W540" s="34">
        <f>COUNTIFS($E550:$E574,"4",$F550:$F574,"HH",$C550:$C574,"FST")</f>
        <v>0</v>
      </c>
      <c r="X540" s="35">
        <f>COUNTIFS($E550:$E574,"4",$F550:$F574,"Ped",$C550:$C574,"FST")</f>
        <v>0</v>
      </c>
      <c r="Y540" s="25"/>
      <c r="Z540" s="298" t="s">
        <v>232</v>
      </c>
      <c r="AA540" s="300" t="s">
        <v>233</v>
      </c>
      <c r="AB540" s="301"/>
      <c r="AC540" s="25"/>
      <c r="AD540" s="25"/>
      <c r="AH540" s="109">
        <v>4</v>
      </c>
      <c r="AI540" s="109" t="str">
        <f>IF($E540="SS",COUNTIFS($C550:$C574,"FST",$E550:$E574,"4"),"0")</f>
        <v>0</v>
      </c>
      <c r="AJ540" s="109" t="str">
        <f>IF($E540="RPX",COUNTIFS($C550:$C574,"FST",$E550:$E574,"4"),"0")</f>
        <v>0</v>
      </c>
      <c r="AK540" s="109">
        <f>IF($E540="EUC",COUNTIFS($C550:$C574,"FST",$E550:$E574,"4"),"0")</f>
        <v>1</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6"/>
    </row>
    <row r="541" spans="1:53" ht="16.5" thickTop="1" thickBot="1" x14ac:dyDescent="0.3">
      <c r="A541" s="88"/>
      <c r="B541" s="36" t="s">
        <v>235</v>
      </c>
      <c r="C541" s="37">
        <v>0</v>
      </c>
      <c r="D541" s="38" t="s">
        <v>236</v>
      </c>
      <c r="E541" s="32">
        <v>24</v>
      </c>
      <c r="F541" s="88"/>
      <c r="G541" s="291" t="s">
        <v>237</v>
      </c>
      <c r="H541" s="292"/>
      <c r="I541" s="35">
        <f>IF(E541=0,0,12-(MOD(I539,12)))</f>
        <v>12</v>
      </c>
      <c r="J541" s="289" t="s">
        <v>238</v>
      </c>
      <c r="K541" s="290"/>
      <c r="L541" s="39">
        <f>I545-I539</f>
        <v>552</v>
      </c>
      <c r="M541" s="195">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9"/>
      <c r="AA541" s="302"/>
      <c r="AB541" s="303"/>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6"/>
    </row>
    <row r="542" spans="1:53" ht="16.5" customHeight="1" thickTop="1" thickBot="1" x14ac:dyDescent="0.3">
      <c r="A542" s="88"/>
      <c r="B542" s="40" t="s">
        <v>240</v>
      </c>
      <c r="C542" s="30">
        <v>0</v>
      </c>
      <c r="D542" s="41" t="s">
        <v>241</v>
      </c>
      <c r="E542" s="42">
        <v>12</v>
      </c>
      <c r="F542" s="88"/>
      <c r="G542" s="321" t="s">
        <v>242</v>
      </c>
      <c r="H542" s="43" t="s">
        <v>243</v>
      </c>
      <c r="I542" s="35">
        <f>IF(E542&lt;&gt;0,1,0)</f>
        <v>1</v>
      </c>
      <c r="J542" s="291" t="s">
        <v>244</v>
      </c>
      <c r="K542" s="292"/>
      <c r="L542" s="44">
        <f>'Cable Calculator'!BQ3</f>
        <v>1142</v>
      </c>
      <c r="M542" s="195">
        <v>8</v>
      </c>
      <c r="N542" s="35">
        <f>SUM(AI542,AI553)</f>
        <v>0</v>
      </c>
      <c r="O542" s="35">
        <v>0</v>
      </c>
      <c r="P542" s="35">
        <f>SUM(AJ542,AJ553)</f>
        <v>0</v>
      </c>
      <c r="Q542" s="35">
        <v>0</v>
      </c>
      <c r="R542" s="35">
        <f>COUNTIFS($E550:$E574,"8",$F550:$F574,"Pole",$C550:$C574,"FST")</f>
        <v>1</v>
      </c>
      <c r="S542" s="35">
        <f>SUM(AL542,AK553)</f>
        <v>0</v>
      </c>
      <c r="T542" s="35">
        <v>0</v>
      </c>
      <c r="U542" s="35">
        <f>SUM(AK542,AL553)</f>
        <v>1</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1</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6"/>
    </row>
    <row r="543" spans="1:53" ht="16.5" thickTop="1" thickBot="1" x14ac:dyDescent="0.3">
      <c r="A543" s="88"/>
      <c r="B543" s="29" t="s">
        <v>246</v>
      </c>
      <c r="C543" s="37">
        <v>0</v>
      </c>
      <c r="D543" s="41" t="s">
        <v>247</v>
      </c>
      <c r="E543" s="42">
        <v>553</v>
      </c>
      <c r="F543" s="88"/>
      <c r="G543" s="322"/>
      <c r="H543" s="47" t="s">
        <v>248</v>
      </c>
      <c r="I543" s="35">
        <f>IF(E542&lt;&gt;0,E542,0)</f>
        <v>12</v>
      </c>
      <c r="J543" s="193"/>
      <c r="K543" s="194"/>
      <c r="L543" s="48"/>
      <c r="M543" s="195">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0</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0</v>
      </c>
      <c r="AL543" s="109" t="str">
        <f>IF($E540="RPX-T",COUNTIFS($C550:$C574,"FST",$E550:$E574,"12"),"0")</f>
        <v>0</v>
      </c>
      <c r="BA543" s="226"/>
    </row>
    <row r="544" spans="1:53" ht="16.5" customHeight="1" thickTop="1" thickBot="1" x14ac:dyDescent="0.3">
      <c r="A544" s="88"/>
      <c r="B544" s="36" t="s">
        <v>249</v>
      </c>
      <c r="C544" s="30">
        <v>0</v>
      </c>
      <c r="D544" s="49" t="s">
        <v>250</v>
      </c>
      <c r="E544" s="50">
        <f>E541/12</f>
        <v>2</v>
      </c>
      <c r="F544" s="88"/>
      <c r="G544" s="321" t="s">
        <v>251</v>
      </c>
      <c r="H544" s="51" t="s">
        <v>252</v>
      </c>
      <c r="I544" s="112">
        <f>E543</f>
        <v>553</v>
      </c>
      <c r="J544" s="323" t="s">
        <v>253</v>
      </c>
      <c r="K544" s="324"/>
      <c r="L544" s="325"/>
      <c r="M544" s="52" t="s">
        <v>254</v>
      </c>
      <c r="N544" s="106"/>
      <c r="O544" s="106"/>
      <c r="P544" s="191"/>
      <c r="Q544" s="191"/>
      <c r="R544" s="191"/>
      <c r="S544" s="191"/>
      <c r="T544" s="191"/>
      <c r="U544" s="191"/>
      <c r="V544" s="191"/>
      <c r="W544" s="53">
        <f>SUM(P544:U544)</f>
        <v>0</v>
      </c>
      <c r="X544" s="54"/>
      <c r="Y544" s="25"/>
      <c r="Z544" s="45">
        <v>3</v>
      </c>
      <c r="AA544" s="46">
        <v>25</v>
      </c>
      <c r="AB544" s="46">
        <v>36</v>
      </c>
      <c r="AC544" s="25"/>
      <c r="AD544" s="25"/>
      <c r="BA544" s="226"/>
    </row>
    <row r="545" spans="1:53" ht="16.5" thickTop="1" thickBot="1" x14ac:dyDescent="0.3">
      <c r="A545" s="88"/>
      <c r="B545" s="36" t="s">
        <v>255</v>
      </c>
      <c r="C545" s="30">
        <v>0</v>
      </c>
      <c r="D545" s="31" t="s">
        <v>256</v>
      </c>
      <c r="E545" s="101" t="str">
        <f>IF('Cable Calculator'!BQ5="","",'Cable Calculator'!BQ5)</f>
        <v>N</v>
      </c>
      <c r="F545" s="88"/>
      <c r="G545" s="322"/>
      <c r="H545" s="47" t="s">
        <v>257</v>
      </c>
      <c r="I545" s="35">
        <f>IF(E543="","0",IF(AND(E540="EUC",E541=432), I544+(203-E542),IF(E543=0,0,(E543+(E541-E542)-1))))</f>
        <v>564</v>
      </c>
      <c r="J545" s="286" t="str">
        <f>IFERROR(IF(OR(E540="EUC",E540="SS"),"---",IF(OR(P539,S539),"NO 2F Tethers for RPX!",IF(OR(P541,S541),"NO 6F Tethers for RPX!","---"))),"---")</f>
        <v>---</v>
      </c>
      <c r="K545" s="287"/>
      <c r="L545" s="288"/>
      <c r="M545" s="286" t="str">
        <f>IF(E542&gt;60,"Dead Count &gt;60: Consider Downsize","---")</f>
        <v>---</v>
      </c>
      <c r="N545" s="287"/>
      <c r="O545" s="287"/>
      <c r="P545" s="287"/>
      <c r="Q545" s="287"/>
      <c r="R545" s="287"/>
      <c r="S545" s="287"/>
      <c r="T545" s="287"/>
      <c r="U545" s="288"/>
      <c r="V545" s="100"/>
      <c r="W545" s="54">
        <f>SUM(P545:U545)</f>
        <v>0</v>
      </c>
      <c r="X545" s="54"/>
      <c r="Y545" s="25"/>
      <c r="Z545" s="45">
        <v>4</v>
      </c>
      <c r="AA545" s="46">
        <v>37</v>
      </c>
      <c r="AB545" s="46">
        <v>48</v>
      </c>
      <c r="AC545" s="25"/>
      <c r="AD545" s="25"/>
      <c r="BA545" s="226"/>
    </row>
    <row r="546" spans="1:53" ht="16.5" thickTop="1" thickBot="1" x14ac:dyDescent="0.3">
      <c r="A546" s="88"/>
      <c r="B546" s="55" t="s">
        <v>258</v>
      </c>
      <c r="C546" s="56">
        <f>SUM(C540:C545)+I539</f>
        <v>12</v>
      </c>
      <c r="D546" s="31" t="s">
        <v>259</v>
      </c>
      <c r="E546" s="101" t="str">
        <f>IF(AS540="Y","DBL",IF(AS541="Y","TRPL",IF(AS542="Y","QUAD","")))</f>
        <v/>
      </c>
      <c r="F546" s="88"/>
      <c r="G546" s="191"/>
      <c r="H546" s="57"/>
      <c r="I546" s="191"/>
      <c r="J546" s="286"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7"/>
      <c r="L546" s="288"/>
      <c r="M546" s="286" t="str">
        <f>IF(AND(OR(E540="SS",E540="RPX",E540="EUC",E540="RPX-T"),(OR(C550="",C550="Field SPL"))),"Cannot have FlexNap cables without tethers","---")</f>
        <v>---</v>
      </c>
      <c r="N546" s="287"/>
      <c r="O546" s="287"/>
      <c r="P546" s="287"/>
      <c r="Q546" s="287"/>
      <c r="R546" s="287"/>
      <c r="S546" s="287"/>
      <c r="T546" s="287"/>
      <c r="U546" s="288"/>
      <c r="V546" s="25"/>
      <c r="W546" s="58"/>
      <c r="X546" s="58"/>
      <c r="Y546" s="25"/>
      <c r="Z546" s="45">
        <v>5</v>
      </c>
      <c r="AA546" s="46">
        <v>49</v>
      </c>
      <c r="AB546" s="46">
        <v>60</v>
      </c>
      <c r="AC546" s="25"/>
      <c r="AD546" s="25"/>
      <c r="BA546" s="226"/>
    </row>
    <row r="547" spans="1:53" ht="16.5" thickTop="1" thickBot="1" x14ac:dyDescent="0.3">
      <c r="A547" s="88"/>
      <c r="B547" s="59"/>
      <c r="C547" s="60"/>
      <c r="D547" s="61"/>
      <c r="E547" s="62"/>
      <c r="F547" s="88"/>
      <c r="G547" s="63"/>
      <c r="H547" s="64"/>
      <c r="I547" s="63"/>
      <c r="J547" s="286" t="str">
        <f>IF(AND(OR(E540="RPX", E540="RPX-T", E540="SS"),E541=216),"NO 216 For RPX, RPX-T, OR SS CABLE","---")</f>
        <v>---</v>
      </c>
      <c r="K547" s="287"/>
      <c r="L547" s="288"/>
      <c r="M547" s="286" t="str" cm="1">
        <f t="array" ref="M547">IF(AND(E540="",OR(C550:C574="FST",C550:C574="REV T",C550:C574="DBL REV",C550:C574="TPL REV", C550:C574="QD REV")),"Non-FlexNap cables cannot have tethers","---")</f>
        <v>---</v>
      </c>
      <c r="N547" s="287"/>
      <c r="O547" s="287"/>
      <c r="P547" s="287"/>
      <c r="Q547" s="287"/>
      <c r="R547" s="287"/>
      <c r="S547" s="287"/>
      <c r="T547" s="287"/>
      <c r="U547" s="288"/>
      <c r="V547" s="25"/>
      <c r="W547" s="58"/>
      <c r="X547" s="58"/>
      <c r="Y547" s="25"/>
      <c r="Z547" s="45">
        <v>6</v>
      </c>
      <c r="AA547" s="65">
        <v>61</v>
      </c>
      <c r="AB547" s="65">
        <v>72</v>
      </c>
      <c r="AC547" s="25"/>
      <c r="AD547" s="25"/>
      <c r="BA547" s="225"/>
    </row>
    <row r="548" spans="1:53" ht="15.75" customHeight="1" thickBot="1" x14ac:dyDescent="0.3">
      <c r="A548" s="88"/>
      <c r="B548" s="321" t="s">
        <v>260</v>
      </c>
      <c r="C548" s="293" t="s">
        <v>261</v>
      </c>
      <c r="D548" s="293" t="s">
        <v>262</v>
      </c>
      <c r="E548" s="306" t="s">
        <v>263</v>
      </c>
      <c r="F548" s="293" t="s">
        <v>264</v>
      </c>
      <c r="G548" s="308" t="s">
        <v>265</v>
      </c>
      <c r="H548" s="308" t="s">
        <v>266</v>
      </c>
      <c r="I548" s="308" t="s">
        <v>267</v>
      </c>
      <c r="J548" s="310" t="s">
        <v>268</v>
      </c>
      <c r="K548" s="293" t="s">
        <v>269</v>
      </c>
      <c r="L548" s="280" t="s">
        <v>270</v>
      </c>
      <c r="M548" s="282" t="s">
        <v>271</v>
      </c>
      <c r="N548" s="282"/>
      <c r="O548" s="282"/>
      <c r="P548" s="282"/>
      <c r="Q548" s="282"/>
      <c r="R548" s="282"/>
      <c r="S548" s="282"/>
      <c r="T548" s="282"/>
      <c r="U548" s="283"/>
      <c r="V548" s="107"/>
      <c r="W548" s="72"/>
      <c r="X548" s="72"/>
      <c r="Y548" s="72"/>
      <c r="Z548" s="45">
        <v>7</v>
      </c>
      <c r="AA548" s="65">
        <v>73</v>
      </c>
      <c r="AB548" s="65">
        <v>84</v>
      </c>
      <c r="AC548" s="25"/>
      <c r="AD548" s="25"/>
      <c r="BA548" s="227"/>
    </row>
    <row r="549" spans="1:53" ht="15.75" thickBot="1" x14ac:dyDescent="0.3">
      <c r="A549" s="88"/>
      <c r="B549" s="322"/>
      <c r="C549" s="294"/>
      <c r="D549" s="294"/>
      <c r="E549" s="307"/>
      <c r="F549" s="294"/>
      <c r="G549" s="309"/>
      <c r="H549" s="309"/>
      <c r="I549" s="309"/>
      <c r="J549" s="311"/>
      <c r="K549" s="294"/>
      <c r="L549" s="281"/>
      <c r="M549" s="284"/>
      <c r="N549" s="284"/>
      <c r="O549" s="284"/>
      <c r="P549" s="284"/>
      <c r="Q549" s="284"/>
      <c r="R549" s="284"/>
      <c r="S549" s="284"/>
      <c r="T549" s="284"/>
      <c r="U549" s="285"/>
      <c r="V549" s="107"/>
      <c r="W549" s="72"/>
      <c r="X549" s="72"/>
      <c r="Y549" s="72"/>
      <c r="Z549" s="45">
        <v>8</v>
      </c>
      <c r="AA549" s="46">
        <v>85</v>
      </c>
      <c r="AB549" s="46">
        <v>96</v>
      </c>
      <c r="AC549" s="25"/>
      <c r="AD549" s="25"/>
      <c r="AI549" s="109" t="s">
        <v>272</v>
      </c>
      <c r="AJ549" s="109" t="s">
        <v>273</v>
      </c>
      <c r="AK549" s="109" t="s">
        <v>274</v>
      </c>
      <c r="AL549" s="109" t="s">
        <v>275</v>
      </c>
      <c r="BA549" s="227"/>
    </row>
    <row r="550" spans="1:53" ht="15.75" thickBot="1" x14ac:dyDescent="0.3">
      <c r="A550" s="88"/>
      <c r="B550" s="66" t="s">
        <v>276</v>
      </c>
      <c r="C550" s="67" t="s">
        <v>484</v>
      </c>
      <c r="D550" s="102" t="s">
        <v>764</v>
      </c>
      <c r="E550" s="32">
        <v>4</v>
      </c>
      <c r="F550" s="32" t="s">
        <v>483</v>
      </c>
      <c r="G550" s="68" t="s">
        <v>277</v>
      </c>
      <c r="H550" s="69">
        <f>IF(I550=0,0,I550-(E550-1))</f>
        <v>561</v>
      </c>
      <c r="I550" s="70">
        <f>IF(E550=0,0,I545)</f>
        <v>564</v>
      </c>
      <c r="J550" s="71" t="s">
        <v>278</v>
      </c>
      <c r="K550" s="32"/>
      <c r="L550" s="232"/>
      <c r="M550" s="278"/>
      <c r="N550" s="278"/>
      <c r="O550" s="278"/>
      <c r="P550" s="278"/>
      <c r="Q550" s="278"/>
      <c r="R550" s="278"/>
      <c r="S550" s="278"/>
      <c r="T550" s="278"/>
      <c r="U550" s="279"/>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561-564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8">
        <f>MOD(E550,12)</f>
        <v>4</v>
      </c>
    </row>
    <row r="551" spans="1:53" ht="15.75" thickBot="1" x14ac:dyDescent="0.3">
      <c r="A551" s="88"/>
      <c r="B551" s="66" t="s">
        <v>279</v>
      </c>
      <c r="C551" s="67" t="s">
        <v>484</v>
      </c>
      <c r="D551" s="102" t="s">
        <v>788</v>
      </c>
      <c r="E551" s="32">
        <v>8</v>
      </c>
      <c r="F551" s="32" t="s">
        <v>483</v>
      </c>
      <c r="G551" s="68" t="s">
        <v>277</v>
      </c>
      <c r="H551" s="69">
        <f t="shared" ref="H551:H574" si="230">IF(E551=0,0,I551-(E551-1))</f>
        <v>553</v>
      </c>
      <c r="I551" s="70">
        <f t="shared" ref="I551:I574" si="231">IF(E551=0,0,H550-1)</f>
        <v>560</v>
      </c>
      <c r="J551" s="73" t="str">
        <f>IF(C551="","--",IF(AND(C551&lt;&gt;"FST",C551&lt;&gt;"TCF",BA550&lt;&gt;0),BA550,"--"))</f>
        <v>--</v>
      </c>
      <c r="K551" s="32"/>
      <c r="L551" s="232"/>
      <c r="M551" s="278"/>
      <c r="N551" s="278"/>
      <c r="O551" s="278"/>
      <c r="P551" s="278"/>
      <c r="Q551" s="278"/>
      <c r="R551" s="278"/>
      <c r="S551" s="278"/>
      <c r="T551" s="278"/>
      <c r="U551" s="279"/>
      <c r="V551" s="103"/>
      <c r="W551" s="72"/>
      <c r="X551" s="72"/>
      <c r="Y551" s="72"/>
      <c r="Z551" s="45">
        <v>10</v>
      </c>
      <c r="AA551" s="46">
        <v>109</v>
      </c>
      <c r="AB551" s="46">
        <v>120</v>
      </c>
      <c r="AC551" s="72">
        <f t="shared" si="221"/>
        <v>1</v>
      </c>
      <c r="AD551" s="72">
        <f t="shared" si="222"/>
        <v>0</v>
      </c>
      <c r="AE551" s="109" t="str">
        <f t="shared" si="223"/>
        <v>553-560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8">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2"/>
      <c r="M552" s="278"/>
      <c r="N552" s="278"/>
      <c r="O552" s="278"/>
      <c r="P552" s="278"/>
      <c r="Q552" s="278"/>
      <c r="R552" s="278"/>
      <c r="S552" s="278"/>
      <c r="T552" s="278"/>
      <c r="U552" s="279"/>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8">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2"/>
      <c r="M553" s="278"/>
      <c r="N553" s="278"/>
      <c r="O553" s="278"/>
      <c r="P553" s="278"/>
      <c r="Q553" s="278"/>
      <c r="R553" s="278"/>
      <c r="S553" s="278"/>
      <c r="T553" s="278"/>
      <c r="U553" s="279"/>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8">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2"/>
      <c r="M554" s="278"/>
      <c r="N554" s="278"/>
      <c r="O554" s="278"/>
      <c r="P554" s="278"/>
      <c r="Q554" s="278"/>
      <c r="R554" s="278"/>
      <c r="S554" s="278"/>
      <c r="T554" s="278"/>
      <c r="U554" s="279"/>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8">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2"/>
      <c r="M555" s="278"/>
      <c r="N555" s="278"/>
      <c r="O555" s="278"/>
      <c r="P555" s="278"/>
      <c r="Q555" s="278"/>
      <c r="R555" s="278"/>
      <c r="S555" s="278"/>
      <c r="T555" s="278"/>
      <c r="U555" s="279"/>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8">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2"/>
      <c r="M556" s="278"/>
      <c r="N556" s="278"/>
      <c r="O556" s="278"/>
      <c r="P556" s="278"/>
      <c r="Q556" s="278"/>
      <c r="R556" s="278"/>
      <c r="S556" s="278"/>
      <c r="T556" s="278"/>
      <c r="U556" s="279"/>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8">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2"/>
      <c r="M557" s="278"/>
      <c r="N557" s="278"/>
      <c r="O557" s="278"/>
      <c r="P557" s="278"/>
      <c r="Q557" s="278"/>
      <c r="R557" s="278"/>
      <c r="S557" s="278"/>
      <c r="T557" s="278"/>
      <c r="U557" s="279"/>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8">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2"/>
      <c r="M558" s="278"/>
      <c r="N558" s="278"/>
      <c r="O558" s="278"/>
      <c r="P558" s="278"/>
      <c r="Q558" s="278"/>
      <c r="R558" s="278"/>
      <c r="S558" s="278"/>
      <c r="T558" s="278"/>
      <c r="U558" s="279"/>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8">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2"/>
      <c r="M559" s="278"/>
      <c r="N559" s="278"/>
      <c r="O559" s="278"/>
      <c r="P559" s="278"/>
      <c r="Q559" s="278"/>
      <c r="R559" s="278"/>
      <c r="S559" s="278"/>
      <c r="T559" s="278"/>
      <c r="U559" s="279"/>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8">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2"/>
      <c r="M560" s="278"/>
      <c r="N560" s="278"/>
      <c r="O560" s="278"/>
      <c r="P560" s="278"/>
      <c r="Q560" s="278"/>
      <c r="R560" s="278"/>
      <c r="S560" s="278"/>
      <c r="T560" s="278"/>
      <c r="U560" s="279"/>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8">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2"/>
      <c r="M561" s="278"/>
      <c r="N561" s="278"/>
      <c r="O561" s="278"/>
      <c r="P561" s="278"/>
      <c r="Q561" s="278"/>
      <c r="R561" s="278"/>
      <c r="S561" s="278"/>
      <c r="T561" s="278"/>
      <c r="U561" s="279"/>
      <c r="V561" s="103"/>
      <c r="W561" s="84">
        <f>Y561+1</f>
        <v>13</v>
      </c>
      <c r="X561" s="84"/>
      <c r="Y561" s="78">
        <f>SUM(E550:E561)</f>
        <v>12</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8">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2"/>
      <c r="M562" s="278"/>
      <c r="N562" s="278"/>
      <c r="O562" s="278"/>
      <c r="P562" s="278"/>
      <c r="Q562" s="278"/>
      <c r="R562" s="278"/>
      <c r="S562" s="278"/>
      <c r="T562" s="278"/>
      <c r="U562" s="279"/>
      <c r="V562" s="103"/>
      <c r="W562" s="84">
        <f>Y562+1</f>
        <v>13</v>
      </c>
      <c r="X562" s="84"/>
      <c r="Y562" s="78">
        <f>SUM(E550:E562)</f>
        <v>12</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8">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2"/>
      <c r="M563" s="278"/>
      <c r="N563" s="278"/>
      <c r="O563" s="278"/>
      <c r="P563" s="278"/>
      <c r="Q563" s="278"/>
      <c r="R563" s="278"/>
      <c r="S563" s="278"/>
      <c r="T563" s="278"/>
      <c r="U563" s="279"/>
      <c r="V563" s="103"/>
      <c r="W563" s="84">
        <f>Y563+1</f>
        <v>13</v>
      </c>
      <c r="X563" s="84"/>
      <c r="Y563" s="78">
        <f>SUM(E550:E563)</f>
        <v>12</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8">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2"/>
      <c r="M564" s="278"/>
      <c r="N564" s="278"/>
      <c r="O564" s="278"/>
      <c r="P564" s="278"/>
      <c r="Q564" s="278"/>
      <c r="R564" s="278"/>
      <c r="S564" s="278"/>
      <c r="T564" s="278"/>
      <c r="U564" s="279"/>
      <c r="V564" s="103"/>
      <c r="W564" s="84">
        <f>Y564+1</f>
        <v>13</v>
      </c>
      <c r="X564" s="84"/>
      <c r="Y564" s="78">
        <f>SUM(E550:E564)</f>
        <v>12</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8">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2"/>
      <c r="M565" s="278"/>
      <c r="N565" s="278"/>
      <c r="O565" s="278"/>
      <c r="P565" s="278"/>
      <c r="Q565" s="278"/>
      <c r="R565" s="278"/>
      <c r="S565" s="278"/>
      <c r="T565" s="278"/>
      <c r="U565" s="279"/>
      <c r="V565" s="103"/>
      <c r="W565" s="84">
        <f t="shared" ref="W565:W573" si="237">Y565+1</f>
        <v>13</v>
      </c>
      <c r="X565" s="84"/>
      <c r="Y565" s="78">
        <f>SUM(E550:E565)</f>
        <v>12</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8">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2"/>
      <c r="M566" s="278"/>
      <c r="N566" s="278"/>
      <c r="O566" s="278"/>
      <c r="P566" s="278"/>
      <c r="Q566" s="278"/>
      <c r="R566" s="278"/>
      <c r="S566" s="278"/>
      <c r="T566" s="278"/>
      <c r="U566" s="279"/>
      <c r="V566" s="103"/>
      <c r="W566" s="84">
        <f t="shared" si="237"/>
        <v>13</v>
      </c>
      <c r="X566" s="84"/>
      <c r="Y566" s="78">
        <f>SUM(E550:E566)</f>
        <v>12</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8">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2"/>
      <c r="M567" s="278"/>
      <c r="N567" s="278"/>
      <c r="O567" s="278"/>
      <c r="P567" s="278"/>
      <c r="Q567" s="278"/>
      <c r="R567" s="278"/>
      <c r="S567" s="278"/>
      <c r="T567" s="278"/>
      <c r="U567" s="279"/>
      <c r="V567" s="103"/>
      <c r="W567" s="84">
        <f t="shared" si="237"/>
        <v>13</v>
      </c>
      <c r="X567" s="84"/>
      <c r="Y567" s="78">
        <f>SUM(E550:E567)</f>
        <v>12</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8">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2"/>
      <c r="M568" s="278"/>
      <c r="N568" s="278"/>
      <c r="O568" s="278"/>
      <c r="P568" s="278"/>
      <c r="Q568" s="278"/>
      <c r="R568" s="278"/>
      <c r="S568" s="278"/>
      <c r="T568" s="278"/>
      <c r="U568" s="279"/>
      <c r="V568" s="103"/>
      <c r="W568" s="84">
        <f t="shared" si="237"/>
        <v>13</v>
      </c>
      <c r="X568" s="84"/>
      <c r="Y568" s="78">
        <f>SUM(E550:E568)</f>
        <v>12</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8">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2"/>
      <c r="M569" s="278"/>
      <c r="N569" s="278"/>
      <c r="O569" s="278"/>
      <c r="P569" s="278"/>
      <c r="Q569" s="278"/>
      <c r="R569" s="278"/>
      <c r="S569" s="278"/>
      <c r="T569" s="278"/>
      <c r="U569" s="279"/>
      <c r="V569" s="103"/>
      <c r="W569" s="84">
        <f t="shared" si="237"/>
        <v>13</v>
      </c>
      <c r="X569" s="84"/>
      <c r="Y569" s="78">
        <f>SUM(E550:E569)</f>
        <v>12</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8">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2"/>
      <c r="M570" s="278"/>
      <c r="N570" s="278"/>
      <c r="O570" s="278"/>
      <c r="P570" s="278"/>
      <c r="Q570" s="278"/>
      <c r="R570" s="278"/>
      <c r="S570" s="278"/>
      <c r="T570" s="278"/>
      <c r="U570" s="279"/>
      <c r="V570" s="103"/>
      <c r="W570" s="84">
        <f t="shared" si="237"/>
        <v>13</v>
      </c>
      <c r="X570" s="84"/>
      <c r="Y570" s="78">
        <f>SUM(E550:E570)</f>
        <v>12</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8">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2"/>
      <c r="M571" s="278"/>
      <c r="N571" s="278"/>
      <c r="O571" s="278"/>
      <c r="P571" s="278"/>
      <c r="Q571" s="278"/>
      <c r="R571" s="278"/>
      <c r="S571" s="278"/>
      <c r="T571" s="278"/>
      <c r="U571" s="279"/>
      <c r="V571" s="103"/>
      <c r="W571" s="84">
        <f t="shared" si="237"/>
        <v>13</v>
      </c>
      <c r="X571" s="84"/>
      <c r="Y571" s="78">
        <f>SUM(E550:E571)</f>
        <v>12</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8">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2"/>
      <c r="M572" s="278"/>
      <c r="N572" s="278"/>
      <c r="O572" s="278"/>
      <c r="P572" s="278"/>
      <c r="Q572" s="278"/>
      <c r="R572" s="278"/>
      <c r="S572" s="278"/>
      <c r="T572" s="278"/>
      <c r="U572" s="279"/>
      <c r="V572" s="103"/>
      <c r="W572" s="84">
        <f t="shared" si="237"/>
        <v>13</v>
      </c>
      <c r="X572" s="84"/>
      <c r="Y572" s="78">
        <f>SUM(E550:E572)</f>
        <v>12</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8">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2"/>
      <c r="M573" s="278"/>
      <c r="N573" s="278"/>
      <c r="O573" s="278"/>
      <c r="P573" s="278"/>
      <c r="Q573" s="278"/>
      <c r="R573" s="278"/>
      <c r="S573" s="278"/>
      <c r="T573" s="278"/>
      <c r="U573" s="279"/>
      <c r="V573" s="103"/>
      <c r="W573" s="84">
        <f t="shared" si="237"/>
        <v>13</v>
      </c>
      <c r="X573" s="84"/>
      <c r="Y573" s="78">
        <f>SUM(E550:E573)</f>
        <v>12</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8">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3"/>
      <c r="M574" s="278"/>
      <c r="N574" s="278"/>
      <c r="O574" s="278"/>
      <c r="P574" s="278"/>
      <c r="Q574" s="278"/>
      <c r="R574" s="278"/>
      <c r="S574" s="278"/>
      <c r="T574" s="278"/>
      <c r="U574" s="279"/>
      <c r="V574" s="103"/>
      <c r="W574" s="72"/>
      <c r="X574" s="72"/>
      <c r="Y574" s="78">
        <f>SUM(E550:E574)</f>
        <v>12</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7"/>
    </row>
    <row r="575" spans="1:53" ht="16.5" thickBot="1" x14ac:dyDescent="0.3">
      <c r="A575" s="88"/>
      <c r="B575" s="319" t="s">
        <v>331</v>
      </c>
      <c r="C575" s="320"/>
      <c r="D575" s="79"/>
      <c r="E575" s="80"/>
      <c r="F575" s="80"/>
      <c r="G575" s="81"/>
      <c r="H575" s="191"/>
      <c r="I575" s="191"/>
      <c r="J575" s="191"/>
      <c r="K575" s="82"/>
      <c r="L575" s="319" t="s">
        <v>306</v>
      </c>
      <c r="M575" s="330"/>
      <c r="N575" s="330"/>
      <c r="O575" s="330"/>
      <c r="P575" s="330"/>
      <c r="Q575" s="330"/>
      <c r="R575" s="330"/>
      <c r="S575" s="330"/>
      <c r="T575" s="330"/>
      <c r="U575" s="320"/>
      <c r="V575" s="104"/>
      <c r="W575" s="72"/>
      <c r="X575" s="72"/>
      <c r="Y575" s="72"/>
      <c r="Z575" s="72"/>
      <c r="AA575" s="72" t="str">
        <f t="shared" si="236"/>
        <v/>
      </c>
      <c r="AB575" s="72"/>
      <c r="AC575" s="72">
        <f>SUM(AC550:AC574)</f>
        <v>25</v>
      </c>
      <c r="AD575" s="72">
        <f>SUM(AD550:AD574)</f>
        <v>23</v>
      </c>
      <c r="AM575" s="109">
        <f>SUM(AM550:AM574)</f>
        <v>0</v>
      </c>
      <c r="AN575" s="109">
        <f>SUM(AN550:AN574)</f>
        <v>0</v>
      </c>
      <c r="AO575" s="109">
        <f>((COUNTIF(AO550:AO574,"Y")/3)*2)</f>
        <v>0</v>
      </c>
      <c r="AP575" s="109">
        <f>(COUNTIF(AO550:AO574,"Y")/3)</f>
        <v>0</v>
      </c>
      <c r="AQ575" s="109">
        <f>(COUNTIF(AQ550:AQ574,"Y")/2)</f>
        <v>0</v>
      </c>
      <c r="AR575" s="109">
        <f>(COUNTIF(AQ550:AQ574,"Y")/2)</f>
        <v>0</v>
      </c>
      <c r="BA575" s="227"/>
    </row>
    <row r="576" spans="1:53" ht="16.5" thickBot="1" x14ac:dyDescent="0.3">
      <c r="A576" s="88"/>
      <c r="B576" s="319" t="s">
        <v>307</v>
      </c>
      <c r="C576" s="320"/>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5"/>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5" t="s">
        <v>210</v>
      </c>
      <c r="N579" s="195" t="s">
        <v>211</v>
      </c>
      <c r="O579" s="195" t="s">
        <v>212</v>
      </c>
      <c r="P579" s="195" t="s">
        <v>213</v>
      </c>
      <c r="Q579" s="195" t="s">
        <v>214</v>
      </c>
      <c r="R579" s="195" t="s">
        <v>215</v>
      </c>
      <c r="S579" s="195" t="s">
        <v>216</v>
      </c>
      <c r="T579" s="195" t="s">
        <v>217</v>
      </c>
      <c r="U579" s="195" t="s">
        <v>218</v>
      </c>
      <c r="V579" s="195" t="s">
        <v>219</v>
      </c>
      <c r="W579" s="113" t="s">
        <v>220</v>
      </c>
      <c r="X579" s="195" t="s">
        <v>221</v>
      </c>
      <c r="Y579" s="25"/>
      <c r="Z579" s="25"/>
      <c r="AA579" s="25"/>
      <c r="AB579" s="25"/>
      <c r="AC579" s="25"/>
      <c r="AD579" s="25"/>
      <c r="BA579" s="225"/>
    </row>
    <row r="580" spans="1:53" ht="16.5" thickTop="1" thickBot="1" x14ac:dyDescent="0.3">
      <c r="A580" s="88"/>
      <c r="B580" s="312" t="s">
        <v>222</v>
      </c>
      <c r="C580" s="313"/>
      <c r="D580" s="314" t="s">
        <v>223</v>
      </c>
      <c r="E580" s="305"/>
      <c r="F580" s="88"/>
      <c r="G580" s="315" t="s">
        <v>224</v>
      </c>
      <c r="H580" s="316"/>
      <c r="I580" s="28">
        <f>SUM(E591:E615)</f>
        <v>132</v>
      </c>
      <c r="J580" s="317" t="s">
        <v>225</v>
      </c>
      <c r="K580" s="318"/>
      <c r="L580" s="305"/>
      <c r="M580" s="195">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5" t="s">
        <v>226</v>
      </c>
      <c r="AA580" s="296"/>
      <c r="AB580" s="297"/>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5"/>
    </row>
    <row r="581" spans="1:53" ht="16.5" customHeight="1" thickTop="1" thickBot="1" x14ac:dyDescent="0.3">
      <c r="A581" s="88"/>
      <c r="B581" s="29" t="s">
        <v>228</v>
      </c>
      <c r="C581" s="30">
        <v>0</v>
      </c>
      <c r="D581" s="31" t="s">
        <v>229</v>
      </c>
      <c r="E581" s="66" t="str">
        <f>TEXT(IF('Cable Calculator'!BV7="","",'Cable Calculator'!BV7),)</f>
        <v>EUC</v>
      </c>
      <c r="F581" s="88"/>
      <c r="G581" s="304" t="s">
        <v>230</v>
      </c>
      <c r="H581" s="305"/>
      <c r="I581" s="33">
        <f>E582-I580</f>
        <v>12</v>
      </c>
      <c r="J581" s="289" t="s">
        <v>231</v>
      </c>
      <c r="K581" s="290"/>
      <c r="L581" s="34">
        <f>I585</f>
        <v>421</v>
      </c>
      <c r="M581" s="195">
        <v>4</v>
      </c>
      <c r="N581" s="35">
        <f>SUM(AI581,AI592)</f>
        <v>0</v>
      </c>
      <c r="O581" s="35">
        <v>0</v>
      </c>
      <c r="P581" s="35">
        <f>SUM(AJ581,AJ592)</f>
        <v>0</v>
      </c>
      <c r="Q581" s="35">
        <v>0</v>
      </c>
      <c r="R581" s="35">
        <f>COUNTIFS($E591:$E615,"4",$F591:$F615,"Pole",$C591:$C615,"FST")</f>
        <v>1</v>
      </c>
      <c r="S581" s="35">
        <f>SUM(AL581,AK592)</f>
        <v>0</v>
      </c>
      <c r="T581" s="35">
        <v>0</v>
      </c>
      <c r="U581" s="35">
        <f>SUM(AK581,AL592)</f>
        <v>1</v>
      </c>
      <c r="V581" s="35">
        <v>0</v>
      </c>
      <c r="W581" s="34">
        <f>COUNTIFS($E591:$E615,"4",$F591:$F615,"HH",$C591:$C615,"FST")</f>
        <v>0</v>
      </c>
      <c r="X581" s="35">
        <f>COUNTIFS($E591:$E615,"4",$F591:$F615,"Ped",$C591:$C615,"FST")</f>
        <v>0</v>
      </c>
      <c r="Y581" s="25"/>
      <c r="Z581" s="298" t="s">
        <v>232</v>
      </c>
      <c r="AA581" s="300" t="s">
        <v>233</v>
      </c>
      <c r="AB581" s="301"/>
      <c r="AC581" s="25"/>
      <c r="AD581" s="25"/>
      <c r="AH581" s="109">
        <v>4</v>
      </c>
      <c r="AI581" s="109" t="str">
        <f>IF($E581="SS",COUNTIFS($C591:$C615,"FST",$E591:$E615,"4"),"0")</f>
        <v>0</v>
      </c>
      <c r="AJ581" s="109" t="str">
        <f>IF($E581="RPX",COUNTIFS($C591:$C615,"FST",$E591:$E615,"4"),"0")</f>
        <v>0</v>
      </c>
      <c r="AK581" s="109">
        <f>IF($E581="EUC",COUNTIFS($C591:$C615,"FST",$E591:$E615,"4"),"0")</f>
        <v>1</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6"/>
    </row>
    <row r="582" spans="1:53" ht="16.5" thickTop="1" thickBot="1" x14ac:dyDescent="0.3">
      <c r="A582" s="88"/>
      <c r="B582" s="36" t="s">
        <v>235</v>
      </c>
      <c r="C582" s="37">
        <v>0</v>
      </c>
      <c r="D582" s="38" t="s">
        <v>236</v>
      </c>
      <c r="E582" s="32">
        <v>144</v>
      </c>
      <c r="F582" s="88"/>
      <c r="G582" s="291" t="s">
        <v>237</v>
      </c>
      <c r="H582" s="292"/>
      <c r="I582" s="35">
        <f>IF(E582=0,0,12-(MOD(I580,12)))</f>
        <v>12</v>
      </c>
      <c r="J582" s="289" t="s">
        <v>238</v>
      </c>
      <c r="K582" s="290"/>
      <c r="L582" s="39">
        <f>I586-I580</f>
        <v>420</v>
      </c>
      <c r="M582" s="195">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9"/>
      <c r="AA582" s="302"/>
      <c r="AB582" s="303"/>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6"/>
    </row>
    <row r="583" spans="1:53" ht="16.5" customHeight="1" thickTop="1" thickBot="1" x14ac:dyDescent="0.3">
      <c r="A583" s="88"/>
      <c r="B583" s="40" t="s">
        <v>240</v>
      </c>
      <c r="C583" s="30">
        <v>0</v>
      </c>
      <c r="D583" s="41" t="s">
        <v>241</v>
      </c>
      <c r="E583" s="42">
        <v>12</v>
      </c>
      <c r="F583" s="88"/>
      <c r="G583" s="321" t="s">
        <v>242</v>
      </c>
      <c r="H583" s="43" t="s">
        <v>243</v>
      </c>
      <c r="I583" s="35">
        <f>IF(E583&lt;&gt;0,1,0)</f>
        <v>1</v>
      </c>
      <c r="J583" s="291" t="s">
        <v>244</v>
      </c>
      <c r="K583" s="292"/>
      <c r="L583" s="44">
        <f>'Cable Calculator'!BV3</f>
        <v>1710</v>
      </c>
      <c r="M583" s="195">
        <v>8</v>
      </c>
      <c r="N583" s="35">
        <f>SUM(AI583,AI594)</f>
        <v>0</v>
      </c>
      <c r="O583" s="35">
        <v>0</v>
      </c>
      <c r="P583" s="35">
        <f>SUM(AJ583,AJ594)</f>
        <v>0</v>
      </c>
      <c r="Q583" s="35">
        <v>0</v>
      </c>
      <c r="R583" s="35">
        <f>COUNTIFS($E591:$E615,"8",$F591:$F615,"Pole",$C591:$C615,"FST")</f>
        <v>1</v>
      </c>
      <c r="S583" s="35">
        <f>SUM(AL583,AK594)</f>
        <v>0</v>
      </c>
      <c r="T583" s="35">
        <v>0</v>
      </c>
      <c r="U583" s="35">
        <f>SUM(AK583,AL594)</f>
        <v>1</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1</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6"/>
    </row>
    <row r="584" spans="1:53" ht="16.5" thickTop="1" thickBot="1" x14ac:dyDescent="0.3">
      <c r="A584" s="88"/>
      <c r="B584" s="29" t="s">
        <v>246</v>
      </c>
      <c r="C584" s="37">
        <v>0</v>
      </c>
      <c r="D584" s="41" t="s">
        <v>247</v>
      </c>
      <c r="E584" s="42">
        <v>421</v>
      </c>
      <c r="F584" s="88"/>
      <c r="G584" s="322"/>
      <c r="H584" s="47" t="s">
        <v>248</v>
      </c>
      <c r="I584" s="35">
        <f>IF(E583&lt;&gt;0,E583,0)</f>
        <v>12</v>
      </c>
      <c r="J584" s="193"/>
      <c r="K584" s="194"/>
      <c r="L584" s="48"/>
      <c r="M584" s="195">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0</v>
      </c>
      <c r="V584" s="35">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0</v>
      </c>
      <c r="AL584" s="109" t="str">
        <f>IF($E581="RPX-T",COUNTIFS($C591:$C615,"FST",$E591:$E615,"12"),"0")</f>
        <v>0</v>
      </c>
      <c r="BA584" s="226"/>
    </row>
    <row r="585" spans="1:53" ht="16.5" customHeight="1" thickTop="1" thickBot="1" x14ac:dyDescent="0.3">
      <c r="A585" s="88"/>
      <c r="B585" s="36" t="s">
        <v>249</v>
      </c>
      <c r="C585" s="30">
        <v>0</v>
      </c>
      <c r="D585" s="49" t="s">
        <v>250</v>
      </c>
      <c r="E585" s="50">
        <f>E582/12</f>
        <v>12</v>
      </c>
      <c r="F585" s="88"/>
      <c r="G585" s="321" t="s">
        <v>251</v>
      </c>
      <c r="H585" s="51" t="s">
        <v>252</v>
      </c>
      <c r="I585" s="112">
        <f>E584</f>
        <v>421</v>
      </c>
      <c r="J585" s="323" t="s">
        <v>253</v>
      </c>
      <c r="K585" s="324"/>
      <c r="L585" s="325"/>
      <c r="M585" s="52" t="s">
        <v>254</v>
      </c>
      <c r="N585" s="106"/>
      <c r="O585" s="106"/>
      <c r="P585" s="191"/>
      <c r="Q585" s="191"/>
      <c r="R585" s="191"/>
      <c r="S585" s="191"/>
      <c r="T585" s="191"/>
      <c r="U585" s="191"/>
      <c r="V585" s="191"/>
      <c r="W585" s="53">
        <f>SUM(P585:U585)</f>
        <v>0</v>
      </c>
      <c r="X585" s="54"/>
      <c r="Y585" s="25"/>
      <c r="Z585" s="45">
        <v>3</v>
      </c>
      <c r="AA585" s="46">
        <v>25</v>
      </c>
      <c r="AB585" s="46">
        <v>36</v>
      </c>
      <c r="AC585" s="25"/>
      <c r="AD585" s="25"/>
      <c r="BA585" s="226"/>
    </row>
    <row r="586" spans="1:53" ht="16.5" thickTop="1" thickBot="1" x14ac:dyDescent="0.3">
      <c r="A586" s="88"/>
      <c r="B586" s="36" t="s">
        <v>255</v>
      </c>
      <c r="C586" s="30">
        <v>0</v>
      </c>
      <c r="D586" s="31" t="s">
        <v>256</v>
      </c>
      <c r="E586" s="101" t="str">
        <f>IF('Cable Calculator'!BV5="","",'Cable Calculator'!BV5)</f>
        <v>N</v>
      </c>
      <c r="F586" s="88"/>
      <c r="G586" s="322"/>
      <c r="H586" s="47" t="s">
        <v>257</v>
      </c>
      <c r="I586" s="35">
        <f>IF(E584="","0",IF(AND(E581="EUC",E582=432), I585+(203-E583),IF(E584=0,0,(E584+(E582-E583)-1))))</f>
        <v>552</v>
      </c>
      <c r="J586" s="286" t="str">
        <f>IFERROR(IF(OR(E581="EUC",E581="SS"),"---",IF(OR(P580,S580),"NO 2F Tethers for RPX!",IF(OR(P582,S582),"NO 6F Tethers for RPX!","---"))),"---")</f>
        <v>---</v>
      </c>
      <c r="K586" s="287"/>
      <c r="L586" s="288"/>
      <c r="M586" s="286" t="str">
        <f>IF(E583&gt;60,"Dead Count &gt;60: Consider Downsize","---")</f>
        <v>---</v>
      </c>
      <c r="N586" s="287"/>
      <c r="O586" s="287"/>
      <c r="P586" s="287"/>
      <c r="Q586" s="287"/>
      <c r="R586" s="287"/>
      <c r="S586" s="287"/>
      <c r="T586" s="287"/>
      <c r="U586" s="288"/>
      <c r="V586" s="100"/>
      <c r="W586" s="54">
        <f>SUM(P586:U586)</f>
        <v>0</v>
      </c>
      <c r="X586" s="54"/>
      <c r="Y586" s="25"/>
      <c r="Z586" s="45">
        <v>4</v>
      </c>
      <c r="AA586" s="46">
        <v>37</v>
      </c>
      <c r="AB586" s="46">
        <v>48</v>
      </c>
      <c r="AC586" s="25"/>
      <c r="AD586" s="25"/>
      <c r="BA586" s="226"/>
    </row>
    <row r="587" spans="1:53" ht="16.5" thickTop="1" thickBot="1" x14ac:dyDescent="0.3">
      <c r="A587" s="88"/>
      <c r="B587" s="55" t="s">
        <v>258</v>
      </c>
      <c r="C587" s="56">
        <f>SUM(C581:C586)+I580</f>
        <v>132</v>
      </c>
      <c r="D587" s="31" t="s">
        <v>259</v>
      </c>
      <c r="E587" s="101" t="str">
        <f>IF(AS581="Y","DBL",IF(AS582="Y","TRPL",IF(AS583="Y","QUAD","")))</f>
        <v/>
      </c>
      <c r="F587" s="88"/>
      <c r="G587" s="191"/>
      <c r="H587" s="57"/>
      <c r="I587" s="191"/>
      <c r="J587" s="286"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7"/>
      <c r="L587" s="288"/>
      <c r="M587" s="286" t="str">
        <f>IF(AND(OR(E581="SS",E581="RPX",E581="EUC",E581="RPX-T"),(OR(C591="",C591="Field SPL"))),"Cannot have FlexNap cables without tethers","---")</f>
        <v>---</v>
      </c>
      <c r="N587" s="287"/>
      <c r="O587" s="287"/>
      <c r="P587" s="287"/>
      <c r="Q587" s="287"/>
      <c r="R587" s="287"/>
      <c r="S587" s="287"/>
      <c r="T587" s="287"/>
      <c r="U587" s="288"/>
      <c r="V587" s="25"/>
      <c r="W587" s="58"/>
      <c r="X587" s="58"/>
      <c r="Y587" s="25"/>
      <c r="Z587" s="45">
        <v>5</v>
      </c>
      <c r="AA587" s="46">
        <v>49</v>
      </c>
      <c r="AB587" s="46">
        <v>60</v>
      </c>
      <c r="AC587" s="25"/>
      <c r="AD587" s="25"/>
      <c r="BA587" s="226"/>
    </row>
    <row r="588" spans="1:53" ht="16.5" thickTop="1" thickBot="1" x14ac:dyDescent="0.3">
      <c r="A588" s="88"/>
      <c r="B588" s="59"/>
      <c r="C588" s="60"/>
      <c r="D588" s="61"/>
      <c r="E588" s="62"/>
      <c r="F588" s="88"/>
      <c r="G588" s="63"/>
      <c r="H588" s="64"/>
      <c r="I588" s="63"/>
      <c r="J588" s="286" t="str">
        <f>IF(AND(OR(E581="RPX", E581="RPX-T", E581="SS"),E582=216),"NO 216 For RPX, RPX-T, OR SS CABLE","---")</f>
        <v>---</v>
      </c>
      <c r="K588" s="287"/>
      <c r="L588" s="288"/>
      <c r="M588" s="286" t="str" cm="1">
        <f t="array" ref="M588">IF(AND(E581="",OR(C591:C615="FST",C591:C615="REV T",C591:C615="DBL REV",C591:C615="TPL REV", C591:C615="QD REV")),"Non-FlexNap cables cannot have tethers","---")</f>
        <v>---</v>
      </c>
      <c r="N588" s="287"/>
      <c r="O588" s="287"/>
      <c r="P588" s="287"/>
      <c r="Q588" s="287"/>
      <c r="R588" s="287"/>
      <c r="S588" s="287"/>
      <c r="T588" s="287"/>
      <c r="U588" s="288"/>
      <c r="V588" s="25"/>
      <c r="W588" s="58"/>
      <c r="X588" s="58"/>
      <c r="Y588" s="25"/>
      <c r="Z588" s="45">
        <v>6</v>
      </c>
      <c r="AA588" s="65">
        <v>61</v>
      </c>
      <c r="AB588" s="65">
        <v>72</v>
      </c>
      <c r="AC588" s="25"/>
      <c r="AD588" s="25"/>
      <c r="BA588" s="225"/>
    </row>
    <row r="589" spans="1:53" ht="15.75" customHeight="1" thickBot="1" x14ac:dyDescent="0.3">
      <c r="A589" s="88"/>
      <c r="B589" s="321" t="s">
        <v>260</v>
      </c>
      <c r="C589" s="293" t="s">
        <v>261</v>
      </c>
      <c r="D589" s="293" t="s">
        <v>262</v>
      </c>
      <c r="E589" s="306" t="s">
        <v>263</v>
      </c>
      <c r="F589" s="293" t="s">
        <v>264</v>
      </c>
      <c r="G589" s="308" t="s">
        <v>265</v>
      </c>
      <c r="H589" s="308" t="s">
        <v>266</v>
      </c>
      <c r="I589" s="308" t="s">
        <v>267</v>
      </c>
      <c r="J589" s="310" t="s">
        <v>268</v>
      </c>
      <c r="K589" s="293" t="s">
        <v>269</v>
      </c>
      <c r="L589" s="280" t="s">
        <v>270</v>
      </c>
      <c r="M589" s="282" t="s">
        <v>271</v>
      </c>
      <c r="N589" s="282"/>
      <c r="O589" s="282"/>
      <c r="P589" s="282"/>
      <c r="Q589" s="282"/>
      <c r="R589" s="282"/>
      <c r="S589" s="282"/>
      <c r="T589" s="282"/>
      <c r="U589" s="283"/>
      <c r="V589" s="107"/>
      <c r="W589" s="72"/>
      <c r="X589" s="72"/>
      <c r="Y589" s="72"/>
      <c r="Z589" s="45">
        <v>7</v>
      </c>
      <c r="AA589" s="65">
        <v>73</v>
      </c>
      <c r="AB589" s="65">
        <v>84</v>
      </c>
      <c r="AC589" s="25"/>
      <c r="AD589" s="25"/>
      <c r="BA589" s="227"/>
    </row>
    <row r="590" spans="1:53" ht="15.75" thickBot="1" x14ac:dyDescent="0.3">
      <c r="A590" s="88"/>
      <c r="B590" s="322"/>
      <c r="C590" s="294"/>
      <c r="D590" s="294"/>
      <c r="E590" s="307"/>
      <c r="F590" s="294"/>
      <c r="G590" s="309"/>
      <c r="H590" s="309"/>
      <c r="I590" s="309"/>
      <c r="J590" s="311"/>
      <c r="K590" s="294"/>
      <c r="L590" s="281"/>
      <c r="M590" s="284"/>
      <c r="N590" s="284"/>
      <c r="O590" s="284"/>
      <c r="P590" s="284"/>
      <c r="Q590" s="284"/>
      <c r="R590" s="284"/>
      <c r="S590" s="284"/>
      <c r="T590" s="284"/>
      <c r="U590" s="285"/>
      <c r="V590" s="107"/>
      <c r="W590" s="72"/>
      <c r="X590" s="72"/>
      <c r="Y590" s="72"/>
      <c r="Z590" s="45">
        <v>8</v>
      </c>
      <c r="AA590" s="46">
        <v>85</v>
      </c>
      <c r="AB590" s="46">
        <v>96</v>
      </c>
      <c r="AC590" s="25"/>
      <c r="AD590" s="25"/>
      <c r="AI590" s="109" t="s">
        <v>272</v>
      </c>
      <c r="AJ590" s="109" t="s">
        <v>273</v>
      </c>
      <c r="AK590" s="109" t="s">
        <v>274</v>
      </c>
      <c r="AL590" s="109" t="s">
        <v>275</v>
      </c>
      <c r="BA590" s="227"/>
    </row>
    <row r="591" spans="1:53" ht="15.75" thickBot="1" x14ac:dyDescent="0.3">
      <c r="A591" s="88"/>
      <c r="B591" s="66" t="s">
        <v>276</v>
      </c>
      <c r="C591" s="67" t="s">
        <v>484</v>
      </c>
      <c r="D591" s="102" t="s">
        <v>765</v>
      </c>
      <c r="E591" s="32">
        <v>4</v>
      </c>
      <c r="F591" s="32" t="s">
        <v>483</v>
      </c>
      <c r="G591" s="68" t="s">
        <v>277</v>
      </c>
      <c r="H591" s="69">
        <f>IF(I591=0,0,I591-(E591-1))</f>
        <v>549</v>
      </c>
      <c r="I591" s="70">
        <f>IF(E591=0,0,I586)</f>
        <v>552</v>
      </c>
      <c r="J591" s="71" t="s">
        <v>278</v>
      </c>
      <c r="K591" s="32"/>
      <c r="L591" s="232"/>
      <c r="M591" s="278"/>
      <c r="N591" s="278"/>
      <c r="O591" s="278"/>
      <c r="P591" s="278"/>
      <c r="Q591" s="278"/>
      <c r="R591" s="278"/>
      <c r="S591" s="278"/>
      <c r="T591" s="278"/>
      <c r="U591" s="279"/>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549-552</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8">
        <f>MOD(E591,12)</f>
        <v>4</v>
      </c>
    </row>
    <row r="592" spans="1:53" ht="15.75" thickBot="1" x14ac:dyDescent="0.3">
      <c r="A592" s="88"/>
      <c r="B592" s="66" t="s">
        <v>279</v>
      </c>
      <c r="C592" s="67" t="s">
        <v>484</v>
      </c>
      <c r="D592" s="102" t="s">
        <v>784</v>
      </c>
      <c r="E592" s="32">
        <v>8</v>
      </c>
      <c r="F592" s="32" t="s">
        <v>483</v>
      </c>
      <c r="G592" s="68" t="s">
        <v>277</v>
      </c>
      <c r="H592" s="69">
        <f t="shared" ref="H592:H615" si="247">IF(E592=0,0,I592-(E592-1))</f>
        <v>541</v>
      </c>
      <c r="I592" s="70">
        <f t="shared" ref="I592:I615" si="248">IF(E592=0,0,H591-1)</f>
        <v>548</v>
      </c>
      <c r="J592" s="73" t="str">
        <f>IF(C592="","--",IF(AND(C592&lt;&gt;"FST",C592&lt;&gt;"TCF",BA591&lt;&gt;0),BA591,"--"))</f>
        <v>--</v>
      </c>
      <c r="K592" s="32"/>
      <c r="L592" s="232"/>
      <c r="M592" s="278"/>
      <c r="N592" s="278"/>
      <c r="O592" s="278"/>
      <c r="P592" s="278"/>
      <c r="Q592" s="278"/>
      <c r="R592" s="278"/>
      <c r="S592" s="278"/>
      <c r="T592" s="278"/>
      <c r="U592" s="279"/>
      <c r="V592" s="103"/>
      <c r="W592" s="72"/>
      <c r="X592" s="72"/>
      <c r="Y592" s="72"/>
      <c r="Z592" s="45">
        <v>10</v>
      </c>
      <c r="AA592" s="46">
        <v>109</v>
      </c>
      <c r="AB592" s="46">
        <v>120</v>
      </c>
      <c r="AC592" s="72">
        <f t="shared" si="238"/>
        <v>1</v>
      </c>
      <c r="AD592" s="72">
        <f t="shared" si="239"/>
        <v>0</v>
      </c>
      <c r="AE592" s="109" t="str">
        <f t="shared" si="240"/>
        <v>541-548</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8">
        <f>MOD(SUM(E591:E592),12)</f>
        <v>0</v>
      </c>
    </row>
    <row r="593" spans="1:53" ht="15.75" thickBot="1" x14ac:dyDescent="0.3">
      <c r="A593" s="88"/>
      <c r="B593" s="74" t="s">
        <v>280</v>
      </c>
      <c r="C593" s="67" t="s">
        <v>502</v>
      </c>
      <c r="D593" s="102"/>
      <c r="E593" s="32">
        <v>24</v>
      </c>
      <c r="F593" s="32"/>
      <c r="G593" s="75" t="s">
        <v>277</v>
      </c>
      <c r="H593" s="69">
        <f t="shared" si="247"/>
        <v>517</v>
      </c>
      <c r="I593" s="70">
        <f t="shared" si="248"/>
        <v>540</v>
      </c>
      <c r="J593" s="73" t="str">
        <f t="shared" ref="J593:J615" si="249">IF(C593="","--",IF(AND(C593&lt;&gt;"FST",C593&lt;&gt;"TCF",BA592&lt;&gt;0),BA592,"--"))</f>
        <v>--</v>
      </c>
      <c r="K593" s="32"/>
      <c r="L593" s="232"/>
      <c r="M593" s="278" t="s">
        <v>418</v>
      </c>
      <c r="N593" s="278"/>
      <c r="O593" s="278"/>
      <c r="P593" s="278"/>
      <c r="Q593" s="278"/>
      <c r="R593" s="278"/>
      <c r="S593" s="278"/>
      <c r="T593" s="278"/>
      <c r="U593" s="279"/>
      <c r="V593" s="103"/>
      <c r="W593" s="72"/>
      <c r="X593" s="72"/>
      <c r="Y593" s="72"/>
      <c r="Z593" s="45">
        <v>11</v>
      </c>
      <c r="AA593" s="46">
        <v>121</v>
      </c>
      <c r="AB593" s="46">
        <v>132</v>
      </c>
      <c r="AC593" s="72">
        <f t="shared" si="238"/>
        <v>1</v>
      </c>
      <c r="AD593" s="72">
        <f t="shared" si="239"/>
        <v>1</v>
      </c>
      <c r="AE593" s="109" t="str">
        <f t="shared" si="240"/>
        <v>517-540</v>
      </c>
      <c r="AF593" s="109" t="str">
        <f t="shared" si="241"/>
        <v>N</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8">
        <f>MOD(SUM(E591:E594),12)</f>
        <v>0</v>
      </c>
    </row>
    <row r="594" spans="1:53" ht="15.75" thickBot="1" x14ac:dyDescent="0.3">
      <c r="A594" s="88"/>
      <c r="B594" s="66" t="s">
        <v>281</v>
      </c>
      <c r="C594" s="67" t="s">
        <v>502</v>
      </c>
      <c r="D594" s="102"/>
      <c r="E594" s="32">
        <v>96</v>
      </c>
      <c r="F594" s="32"/>
      <c r="G594" s="68" t="s">
        <v>277</v>
      </c>
      <c r="H594" s="69">
        <f t="shared" si="247"/>
        <v>421</v>
      </c>
      <c r="I594" s="70">
        <f t="shared" si="248"/>
        <v>516</v>
      </c>
      <c r="J594" s="73" t="str">
        <f t="shared" si="249"/>
        <v>--</v>
      </c>
      <c r="K594" s="32"/>
      <c r="L594" s="232"/>
      <c r="M594" s="278" t="s">
        <v>419</v>
      </c>
      <c r="N594" s="278"/>
      <c r="O594" s="278"/>
      <c r="P594" s="278"/>
      <c r="Q594" s="278"/>
      <c r="R594" s="278"/>
      <c r="S594" s="278"/>
      <c r="T594" s="278"/>
      <c r="U594" s="279"/>
      <c r="V594" s="103"/>
      <c r="W594" s="72"/>
      <c r="X594" s="72"/>
      <c r="Y594" s="72"/>
      <c r="Z594" s="45">
        <v>12</v>
      </c>
      <c r="AA594" s="76">
        <v>133</v>
      </c>
      <c r="AB594" s="76">
        <v>144</v>
      </c>
      <c r="AC594" s="72">
        <f t="shared" si="238"/>
        <v>1</v>
      </c>
      <c r="AD594" s="72">
        <f t="shared" si="239"/>
        <v>1</v>
      </c>
      <c r="AE594" s="109" t="str">
        <f t="shared" si="240"/>
        <v>421-516</v>
      </c>
      <c r="AF594" s="109" t="str">
        <f t="shared" si="241"/>
        <v>N</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8">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2"/>
      <c r="M595" s="278"/>
      <c r="N595" s="278"/>
      <c r="O595" s="278"/>
      <c r="P595" s="278"/>
      <c r="Q595" s="278"/>
      <c r="R595" s="278"/>
      <c r="S595" s="278"/>
      <c r="T595" s="278"/>
      <c r="U595" s="279"/>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8">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2"/>
      <c r="M596" s="278"/>
      <c r="N596" s="278"/>
      <c r="O596" s="278"/>
      <c r="P596" s="278"/>
      <c r="Q596" s="278"/>
      <c r="R596" s="278"/>
      <c r="S596" s="278"/>
      <c r="T596" s="278"/>
      <c r="U596" s="279"/>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8">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2"/>
      <c r="M597" s="278"/>
      <c r="N597" s="278"/>
      <c r="O597" s="278"/>
      <c r="P597" s="278"/>
      <c r="Q597" s="278"/>
      <c r="R597" s="278"/>
      <c r="S597" s="278"/>
      <c r="T597" s="278"/>
      <c r="U597" s="279"/>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8">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2"/>
      <c r="M598" s="278"/>
      <c r="N598" s="278"/>
      <c r="O598" s="278"/>
      <c r="P598" s="278"/>
      <c r="Q598" s="278"/>
      <c r="R598" s="278"/>
      <c r="S598" s="278"/>
      <c r="T598" s="278"/>
      <c r="U598" s="279"/>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8">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2"/>
      <c r="M599" s="278"/>
      <c r="N599" s="278"/>
      <c r="O599" s="278"/>
      <c r="P599" s="278"/>
      <c r="Q599" s="278"/>
      <c r="R599" s="278"/>
      <c r="S599" s="278"/>
      <c r="T599" s="278"/>
      <c r="U599" s="279"/>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8">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2"/>
      <c r="M600" s="278"/>
      <c r="N600" s="278"/>
      <c r="O600" s="278"/>
      <c r="P600" s="278"/>
      <c r="Q600" s="278"/>
      <c r="R600" s="278"/>
      <c r="S600" s="278"/>
      <c r="T600" s="278"/>
      <c r="U600" s="279"/>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8">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2"/>
      <c r="M601" s="278"/>
      <c r="N601" s="278"/>
      <c r="O601" s="278"/>
      <c r="P601" s="278"/>
      <c r="Q601" s="278"/>
      <c r="R601" s="278"/>
      <c r="S601" s="278"/>
      <c r="T601" s="278"/>
      <c r="U601" s="279"/>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8">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2"/>
      <c r="M602" s="278"/>
      <c r="N602" s="278"/>
      <c r="O602" s="278"/>
      <c r="P602" s="278"/>
      <c r="Q602" s="278"/>
      <c r="R602" s="278"/>
      <c r="S602" s="278"/>
      <c r="T602" s="278"/>
      <c r="U602" s="279"/>
      <c r="V602" s="103"/>
      <c r="W602" s="84">
        <f>Y602+1</f>
        <v>133</v>
      </c>
      <c r="X602" s="84"/>
      <c r="Y602" s="78">
        <f>SUM(E591:E602)</f>
        <v>132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8">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2"/>
      <c r="M603" s="278"/>
      <c r="N603" s="278"/>
      <c r="O603" s="278"/>
      <c r="P603" s="278"/>
      <c r="Q603" s="278"/>
      <c r="R603" s="278"/>
      <c r="S603" s="278"/>
      <c r="T603" s="278"/>
      <c r="U603" s="279"/>
      <c r="V603" s="103"/>
      <c r="W603" s="84">
        <f>Y603+1</f>
        <v>133</v>
      </c>
      <c r="X603" s="84"/>
      <c r="Y603" s="78">
        <f>SUM(E591:E603)</f>
        <v>132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8">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2"/>
      <c r="M604" s="278"/>
      <c r="N604" s="278"/>
      <c r="O604" s="278"/>
      <c r="P604" s="278"/>
      <c r="Q604" s="278"/>
      <c r="R604" s="278"/>
      <c r="S604" s="278"/>
      <c r="T604" s="278"/>
      <c r="U604" s="279"/>
      <c r="V604" s="103"/>
      <c r="W604" s="84">
        <f>Y604+1</f>
        <v>133</v>
      </c>
      <c r="X604" s="84"/>
      <c r="Y604" s="78">
        <f>SUM(E591:E604)</f>
        <v>132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8">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2"/>
      <c r="M605" s="278"/>
      <c r="N605" s="278"/>
      <c r="O605" s="278"/>
      <c r="P605" s="278"/>
      <c r="Q605" s="278"/>
      <c r="R605" s="278"/>
      <c r="S605" s="278"/>
      <c r="T605" s="278"/>
      <c r="U605" s="279"/>
      <c r="V605" s="103"/>
      <c r="W605" s="84">
        <f>Y605+1</f>
        <v>133</v>
      </c>
      <c r="X605" s="84"/>
      <c r="Y605" s="78">
        <f>SUM(E591:E605)</f>
        <v>132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8">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2"/>
      <c r="M606" s="278"/>
      <c r="N606" s="278"/>
      <c r="O606" s="278"/>
      <c r="P606" s="278"/>
      <c r="Q606" s="278"/>
      <c r="R606" s="278"/>
      <c r="S606" s="278"/>
      <c r="T606" s="278"/>
      <c r="U606" s="279"/>
      <c r="V606" s="103"/>
      <c r="W606" s="84">
        <f t="shared" ref="W606:W614" si="254">Y606+1</f>
        <v>133</v>
      </c>
      <c r="X606" s="84"/>
      <c r="Y606" s="78">
        <f>SUM(E591:E606)</f>
        <v>132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8">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2"/>
      <c r="M607" s="278"/>
      <c r="N607" s="278"/>
      <c r="O607" s="278"/>
      <c r="P607" s="278"/>
      <c r="Q607" s="278"/>
      <c r="R607" s="278"/>
      <c r="S607" s="278"/>
      <c r="T607" s="278"/>
      <c r="U607" s="279"/>
      <c r="V607" s="103"/>
      <c r="W607" s="84">
        <f t="shared" si="254"/>
        <v>133</v>
      </c>
      <c r="X607" s="84"/>
      <c r="Y607" s="78">
        <f>SUM(E591:E607)</f>
        <v>132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8">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2"/>
      <c r="M608" s="278"/>
      <c r="N608" s="278"/>
      <c r="O608" s="278"/>
      <c r="P608" s="278"/>
      <c r="Q608" s="278"/>
      <c r="R608" s="278"/>
      <c r="S608" s="278"/>
      <c r="T608" s="278"/>
      <c r="U608" s="279"/>
      <c r="V608" s="103"/>
      <c r="W608" s="84">
        <f t="shared" si="254"/>
        <v>133</v>
      </c>
      <c r="X608" s="84"/>
      <c r="Y608" s="78">
        <f>SUM(E591:E608)</f>
        <v>132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8">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2"/>
      <c r="M609" s="278"/>
      <c r="N609" s="278"/>
      <c r="O609" s="278"/>
      <c r="P609" s="278"/>
      <c r="Q609" s="278"/>
      <c r="R609" s="278"/>
      <c r="S609" s="278"/>
      <c r="T609" s="278"/>
      <c r="U609" s="279"/>
      <c r="V609" s="103"/>
      <c r="W609" s="84">
        <f t="shared" si="254"/>
        <v>133</v>
      </c>
      <c r="X609" s="84"/>
      <c r="Y609" s="78">
        <f>SUM(E591:E609)</f>
        <v>132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8">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2"/>
      <c r="M610" s="278"/>
      <c r="N610" s="278"/>
      <c r="O610" s="278"/>
      <c r="P610" s="278"/>
      <c r="Q610" s="278"/>
      <c r="R610" s="278"/>
      <c r="S610" s="278"/>
      <c r="T610" s="278"/>
      <c r="U610" s="279"/>
      <c r="V610" s="103"/>
      <c r="W610" s="84">
        <f t="shared" si="254"/>
        <v>133</v>
      </c>
      <c r="X610" s="84"/>
      <c r="Y610" s="78">
        <f>SUM(E591:E610)</f>
        <v>132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8">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2"/>
      <c r="M611" s="278"/>
      <c r="N611" s="278"/>
      <c r="O611" s="278"/>
      <c r="P611" s="278"/>
      <c r="Q611" s="278"/>
      <c r="R611" s="278"/>
      <c r="S611" s="278"/>
      <c r="T611" s="278"/>
      <c r="U611" s="279"/>
      <c r="V611" s="103"/>
      <c r="W611" s="84">
        <f t="shared" si="254"/>
        <v>133</v>
      </c>
      <c r="X611" s="84"/>
      <c r="Y611" s="78">
        <f>SUM(E591:E611)</f>
        <v>132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8">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2"/>
      <c r="M612" s="278"/>
      <c r="N612" s="278"/>
      <c r="O612" s="278"/>
      <c r="P612" s="278"/>
      <c r="Q612" s="278"/>
      <c r="R612" s="278"/>
      <c r="S612" s="278"/>
      <c r="T612" s="278"/>
      <c r="U612" s="279"/>
      <c r="V612" s="103"/>
      <c r="W612" s="84">
        <f t="shared" si="254"/>
        <v>133</v>
      </c>
      <c r="X612" s="84"/>
      <c r="Y612" s="78">
        <f>SUM(E591:E612)</f>
        <v>132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8">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2"/>
      <c r="M613" s="278"/>
      <c r="N613" s="278"/>
      <c r="O613" s="278"/>
      <c r="P613" s="278"/>
      <c r="Q613" s="278"/>
      <c r="R613" s="278"/>
      <c r="S613" s="278"/>
      <c r="T613" s="278"/>
      <c r="U613" s="279"/>
      <c r="V613" s="103"/>
      <c r="W613" s="84">
        <f t="shared" si="254"/>
        <v>133</v>
      </c>
      <c r="X613" s="84"/>
      <c r="Y613" s="78">
        <f>SUM(E591:E613)</f>
        <v>132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8">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2"/>
      <c r="M614" s="278"/>
      <c r="N614" s="278"/>
      <c r="O614" s="278"/>
      <c r="P614" s="278"/>
      <c r="Q614" s="278"/>
      <c r="R614" s="278"/>
      <c r="S614" s="278"/>
      <c r="T614" s="278"/>
      <c r="U614" s="279"/>
      <c r="V614" s="103"/>
      <c r="W614" s="84">
        <f t="shared" si="254"/>
        <v>133</v>
      </c>
      <c r="X614" s="84"/>
      <c r="Y614" s="78">
        <f>SUM(E591:E614)</f>
        <v>132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8">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3"/>
      <c r="M615" s="278"/>
      <c r="N615" s="278"/>
      <c r="O615" s="278"/>
      <c r="P615" s="278"/>
      <c r="Q615" s="278"/>
      <c r="R615" s="278"/>
      <c r="S615" s="278"/>
      <c r="T615" s="278"/>
      <c r="U615" s="279"/>
      <c r="V615" s="103"/>
      <c r="W615" s="72"/>
      <c r="X615" s="72"/>
      <c r="Y615" s="78">
        <f>SUM(E591:E615)</f>
        <v>132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7"/>
    </row>
    <row r="616" spans="1:53" ht="16.5" thickBot="1" x14ac:dyDescent="0.3">
      <c r="A616" s="88"/>
      <c r="B616" s="319" t="s">
        <v>333</v>
      </c>
      <c r="C616" s="320"/>
      <c r="D616" s="79"/>
      <c r="E616" s="80"/>
      <c r="F616" s="80"/>
      <c r="G616" s="81"/>
      <c r="H616" s="191"/>
      <c r="I616" s="191"/>
      <c r="J616" s="191"/>
      <c r="K616" s="82"/>
      <c r="L616" s="319" t="s">
        <v>306</v>
      </c>
      <c r="M616" s="330"/>
      <c r="N616" s="330"/>
      <c r="O616" s="330"/>
      <c r="P616" s="330"/>
      <c r="Q616" s="330"/>
      <c r="R616" s="330"/>
      <c r="S616" s="330"/>
      <c r="T616" s="330"/>
      <c r="U616" s="320"/>
      <c r="V616" s="104"/>
      <c r="W616" s="72"/>
      <c r="X616" s="72"/>
      <c r="Y616" s="72"/>
      <c r="Z616" s="72"/>
      <c r="AA616" s="72" t="str">
        <f t="shared" si="253"/>
        <v/>
      </c>
      <c r="AB616" s="72"/>
      <c r="AC616" s="72">
        <f>SUM(AC591:AC615)</f>
        <v>25</v>
      </c>
      <c r="AD616" s="72">
        <f>SUM(AD591:AD615)</f>
        <v>23</v>
      </c>
      <c r="AM616" s="109">
        <f>SUM(AM591:AM615)</f>
        <v>0</v>
      </c>
      <c r="AN616" s="109">
        <f>SUM(AN591:AN615)</f>
        <v>0</v>
      </c>
      <c r="AO616" s="109">
        <f>((COUNTIF(AO591:AO615,"Y")/3)*2)</f>
        <v>0</v>
      </c>
      <c r="AP616" s="109">
        <f>(COUNTIF(AO591:AO615,"Y")/3)</f>
        <v>0</v>
      </c>
      <c r="AQ616" s="109">
        <f>(COUNTIF(AQ591:AQ615,"Y")/2)</f>
        <v>0</v>
      </c>
      <c r="AR616" s="109">
        <f>(COUNTIF(AQ591:AQ615,"Y")/2)</f>
        <v>0</v>
      </c>
      <c r="BA616" s="227"/>
    </row>
    <row r="617" spans="1:53" ht="16.5" thickBot="1" x14ac:dyDescent="0.3">
      <c r="A617" s="88"/>
      <c r="B617" s="319" t="s">
        <v>307</v>
      </c>
      <c r="C617" s="320"/>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5"/>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5" t="s">
        <v>210</v>
      </c>
      <c r="N620" s="195" t="s">
        <v>211</v>
      </c>
      <c r="O620" s="195" t="s">
        <v>212</v>
      </c>
      <c r="P620" s="195" t="s">
        <v>213</v>
      </c>
      <c r="Q620" s="195" t="s">
        <v>214</v>
      </c>
      <c r="R620" s="195" t="s">
        <v>215</v>
      </c>
      <c r="S620" s="195" t="s">
        <v>216</v>
      </c>
      <c r="T620" s="195" t="s">
        <v>217</v>
      </c>
      <c r="U620" s="195" t="s">
        <v>218</v>
      </c>
      <c r="V620" s="195" t="s">
        <v>219</v>
      </c>
      <c r="W620" s="113" t="s">
        <v>220</v>
      </c>
      <c r="X620" s="195" t="s">
        <v>221</v>
      </c>
      <c r="Y620" s="25"/>
      <c r="Z620" s="25"/>
      <c r="AA620" s="25"/>
      <c r="AB620" s="25"/>
      <c r="AC620" s="25"/>
      <c r="AD620" s="25"/>
      <c r="BA620" s="225"/>
    </row>
    <row r="621" spans="1:53" ht="16.5" thickTop="1" thickBot="1" x14ac:dyDescent="0.3">
      <c r="A621" s="88"/>
      <c r="B621" s="312" t="s">
        <v>222</v>
      </c>
      <c r="C621" s="313"/>
      <c r="D621" s="314" t="s">
        <v>223</v>
      </c>
      <c r="E621" s="305"/>
      <c r="F621" s="88"/>
      <c r="G621" s="315" t="s">
        <v>224</v>
      </c>
      <c r="H621" s="316"/>
      <c r="I621" s="28">
        <f>SUM(E632:E656)</f>
        <v>24</v>
      </c>
      <c r="J621" s="317" t="s">
        <v>225</v>
      </c>
      <c r="K621" s="318"/>
      <c r="L621" s="305"/>
      <c r="M621" s="195">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5" t="s">
        <v>226</v>
      </c>
      <c r="AA621" s="296"/>
      <c r="AB621" s="297"/>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5"/>
    </row>
    <row r="622" spans="1:53" ht="16.5" customHeight="1" thickTop="1" thickBot="1" x14ac:dyDescent="0.3">
      <c r="A622" s="88"/>
      <c r="B622" s="29" t="s">
        <v>228</v>
      </c>
      <c r="C622" s="30">
        <v>0</v>
      </c>
      <c r="D622" s="31" t="s">
        <v>229</v>
      </c>
      <c r="E622" s="66" t="str">
        <f>TEXT(IF('Cable Calculator'!CA7="","",'Cable Calculator'!CA7),)</f>
        <v>EUC</v>
      </c>
      <c r="F622" s="88"/>
      <c r="G622" s="304" t="s">
        <v>230</v>
      </c>
      <c r="H622" s="305"/>
      <c r="I622" s="33">
        <f>E623-I621</f>
        <v>0</v>
      </c>
      <c r="J622" s="289" t="s">
        <v>231</v>
      </c>
      <c r="K622" s="290"/>
      <c r="L622" s="34">
        <f>I626</f>
        <v>517</v>
      </c>
      <c r="M622" s="195">
        <v>4</v>
      </c>
      <c r="N622" s="35">
        <f>SUM(AI622,AI633)</f>
        <v>0</v>
      </c>
      <c r="O622" s="35">
        <v>0</v>
      </c>
      <c r="P622" s="35">
        <f>SUM(AJ622,AJ633)</f>
        <v>0</v>
      </c>
      <c r="Q622" s="35">
        <v>0</v>
      </c>
      <c r="R622" s="35">
        <f>COUNTIFS($E632:$E656,"4",$F632:$F656,"Pole",$C632:$C656,"FST")</f>
        <v>0</v>
      </c>
      <c r="S622" s="35">
        <f>SUM(AL622,AK633)</f>
        <v>0</v>
      </c>
      <c r="T622" s="35">
        <v>0</v>
      </c>
      <c r="U622" s="35">
        <f>SUM(AK622,AL633)</f>
        <v>2</v>
      </c>
      <c r="V622" s="35">
        <v>0</v>
      </c>
      <c r="W622" s="34">
        <f>COUNTIFS($E632:$E656,"4",$F632:$F656,"HH",$C632:$C656,"FST")</f>
        <v>2</v>
      </c>
      <c r="X622" s="35">
        <f>COUNTIFS($E632:$E656,"4",$F632:$F656,"Ped",$C632:$C656,"FST")</f>
        <v>0</v>
      </c>
      <c r="Y622" s="25"/>
      <c r="Z622" s="298" t="s">
        <v>232</v>
      </c>
      <c r="AA622" s="300" t="s">
        <v>233</v>
      </c>
      <c r="AB622" s="301"/>
      <c r="AC622" s="25"/>
      <c r="AD622" s="25"/>
      <c r="AH622" s="109">
        <v>4</v>
      </c>
      <c r="AI622" s="109" t="str">
        <f>IF($E622="SS",COUNTIFS($C632:$C656,"FST",$E632:$E656,"4"),"0")</f>
        <v>0</v>
      </c>
      <c r="AJ622" s="109" t="str">
        <f>IF($E622="RPX",COUNTIFS($C632:$C656,"FST",$E632:$E656,"4"),"0")</f>
        <v>0</v>
      </c>
      <c r="AK622" s="109">
        <f>IF($E622="EUC",COUNTIFS($C632:$C656,"FST",$E632:$E656,"4"),"0")</f>
        <v>2</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6"/>
    </row>
    <row r="623" spans="1:53" ht="16.5" thickTop="1" thickBot="1" x14ac:dyDescent="0.3">
      <c r="A623" s="88"/>
      <c r="B623" s="36" t="s">
        <v>235</v>
      </c>
      <c r="C623" s="37">
        <v>0</v>
      </c>
      <c r="D623" s="38" t="s">
        <v>236</v>
      </c>
      <c r="E623" s="32">
        <v>24</v>
      </c>
      <c r="F623" s="88"/>
      <c r="G623" s="291" t="s">
        <v>237</v>
      </c>
      <c r="H623" s="292"/>
      <c r="I623" s="35">
        <f>IF(E623=0,0,12-(MOD(I621,12)))</f>
        <v>12</v>
      </c>
      <c r="J623" s="289" t="s">
        <v>238</v>
      </c>
      <c r="K623" s="290"/>
      <c r="L623" s="39">
        <f>I627-I621</f>
        <v>516</v>
      </c>
      <c r="M623" s="195">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9"/>
      <c r="AA623" s="302"/>
      <c r="AB623" s="303"/>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6"/>
    </row>
    <row r="624" spans="1:53" ht="16.5" customHeight="1" thickTop="1" thickBot="1" x14ac:dyDescent="0.3">
      <c r="A624" s="88"/>
      <c r="B624" s="40" t="s">
        <v>240</v>
      </c>
      <c r="C624" s="30">
        <v>0</v>
      </c>
      <c r="D624" s="41" t="s">
        <v>241</v>
      </c>
      <c r="E624" s="42">
        <v>0</v>
      </c>
      <c r="F624" s="88"/>
      <c r="G624" s="321" t="s">
        <v>242</v>
      </c>
      <c r="H624" s="43" t="s">
        <v>243</v>
      </c>
      <c r="I624" s="35">
        <f>IF(E624&lt;&gt;0,1,0)</f>
        <v>0</v>
      </c>
      <c r="J624" s="291" t="s">
        <v>244</v>
      </c>
      <c r="K624" s="292"/>
      <c r="L624" s="44">
        <f>'Cable Calculator'!CA3</f>
        <v>2139</v>
      </c>
      <c r="M624" s="195">
        <v>8</v>
      </c>
      <c r="N624" s="35">
        <f>SUM(AI624,AI635)</f>
        <v>0</v>
      </c>
      <c r="O624" s="35">
        <v>0</v>
      </c>
      <c r="P624" s="35">
        <f>SUM(AJ624,AJ635)</f>
        <v>0</v>
      </c>
      <c r="Q624" s="35">
        <v>0</v>
      </c>
      <c r="R624" s="35">
        <f>COUNTIFS($E632:$E656,"8",$F632:$F656,"Pole",$C632:$C656,"FST")</f>
        <v>0</v>
      </c>
      <c r="S624" s="35">
        <f>SUM(AL624,AK635)</f>
        <v>0</v>
      </c>
      <c r="T624" s="35">
        <v>0</v>
      </c>
      <c r="U624" s="35">
        <f>SUM(AK624,AL635)</f>
        <v>2</v>
      </c>
      <c r="V624" s="35">
        <v>0</v>
      </c>
      <c r="W624" s="34">
        <f>COUNTIFS($E632:$E656,"8",$F632:$F656,"HH",$C632:$C656,"FST")</f>
        <v>2</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2</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6"/>
    </row>
    <row r="625" spans="1:53" ht="16.5" thickTop="1" thickBot="1" x14ac:dyDescent="0.3">
      <c r="A625" s="88"/>
      <c r="B625" s="29" t="s">
        <v>246</v>
      </c>
      <c r="C625" s="37">
        <v>0</v>
      </c>
      <c r="D625" s="41" t="s">
        <v>247</v>
      </c>
      <c r="E625" s="42">
        <v>517</v>
      </c>
      <c r="F625" s="88"/>
      <c r="G625" s="322"/>
      <c r="H625" s="47" t="s">
        <v>248</v>
      </c>
      <c r="I625" s="35">
        <f>IF(E624&lt;&gt;0,E624,0)</f>
        <v>0</v>
      </c>
      <c r="J625" s="193"/>
      <c r="K625" s="194"/>
      <c r="L625" s="48"/>
      <c r="M625" s="195">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6"/>
    </row>
    <row r="626" spans="1:53" ht="16.5" customHeight="1" thickTop="1" thickBot="1" x14ac:dyDescent="0.3">
      <c r="A626" s="88"/>
      <c r="B626" s="36" t="s">
        <v>249</v>
      </c>
      <c r="C626" s="30">
        <v>0</v>
      </c>
      <c r="D626" s="49" t="s">
        <v>250</v>
      </c>
      <c r="E626" s="50">
        <f>E623/12</f>
        <v>2</v>
      </c>
      <c r="F626" s="88"/>
      <c r="G626" s="321" t="s">
        <v>251</v>
      </c>
      <c r="H626" s="51" t="s">
        <v>252</v>
      </c>
      <c r="I626" s="112">
        <f>E625</f>
        <v>517</v>
      </c>
      <c r="J626" s="323" t="s">
        <v>253</v>
      </c>
      <c r="K626" s="324"/>
      <c r="L626" s="325"/>
      <c r="M626" s="52" t="s">
        <v>254</v>
      </c>
      <c r="N626" s="106"/>
      <c r="O626" s="106"/>
      <c r="P626" s="191"/>
      <c r="Q626" s="191"/>
      <c r="R626" s="191"/>
      <c r="S626" s="191"/>
      <c r="T626" s="191"/>
      <c r="U626" s="191"/>
      <c r="V626" s="191"/>
      <c r="W626" s="53">
        <f>SUM(P626:U626)</f>
        <v>0</v>
      </c>
      <c r="X626" s="54"/>
      <c r="Y626" s="25"/>
      <c r="Z626" s="45">
        <v>3</v>
      </c>
      <c r="AA626" s="46">
        <v>25</v>
      </c>
      <c r="AB626" s="46">
        <v>36</v>
      </c>
      <c r="AC626" s="25"/>
      <c r="AD626" s="25"/>
      <c r="BA626" s="226"/>
    </row>
    <row r="627" spans="1:53" ht="16.5" thickTop="1" thickBot="1" x14ac:dyDescent="0.3">
      <c r="A627" s="88"/>
      <c r="B627" s="36" t="s">
        <v>255</v>
      </c>
      <c r="C627" s="30">
        <v>0</v>
      </c>
      <c r="D627" s="31" t="s">
        <v>256</v>
      </c>
      <c r="E627" s="101" t="str">
        <f>IF('Cable Calculator'!CA5="","",'Cable Calculator'!CA5)</f>
        <v>N</v>
      </c>
      <c r="F627" s="88"/>
      <c r="G627" s="322"/>
      <c r="H627" s="47" t="s">
        <v>257</v>
      </c>
      <c r="I627" s="35">
        <f>IF(E625="","0",IF(AND(E622="EUC",E623=432), I626+(203-E624),IF(E625=0,0,(E625+(E623-E624)-1))))</f>
        <v>540</v>
      </c>
      <c r="J627" s="286" t="str">
        <f>IFERROR(IF(OR(E622="EUC",E622="SS"),"---",IF(OR(P621,S621),"NO 2F Tethers for RPX!",IF(OR(P623,S623),"NO 6F Tethers for RPX!","---"))),"---")</f>
        <v>---</v>
      </c>
      <c r="K627" s="287"/>
      <c r="L627" s="288"/>
      <c r="M627" s="286" t="str">
        <f>IF(E624&gt;60,"Dead Count &gt;60: Consider Downsize","---")</f>
        <v>---</v>
      </c>
      <c r="N627" s="287"/>
      <c r="O627" s="287"/>
      <c r="P627" s="287"/>
      <c r="Q627" s="287"/>
      <c r="R627" s="287"/>
      <c r="S627" s="287"/>
      <c r="T627" s="287"/>
      <c r="U627" s="288"/>
      <c r="V627" s="100"/>
      <c r="W627" s="54">
        <f>SUM(P627:U627)</f>
        <v>0</v>
      </c>
      <c r="X627" s="54"/>
      <c r="Y627" s="25"/>
      <c r="Z627" s="45">
        <v>4</v>
      </c>
      <c r="AA627" s="46">
        <v>37</v>
      </c>
      <c r="AB627" s="46">
        <v>48</v>
      </c>
      <c r="AC627" s="25"/>
      <c r="AD627" s="25"/>
      <c r="BA627" s="226"/>
    </row>
    <row r="628" spans="1:53" ht="16.5" thickTop="1" thickBot="1" x14ac:dyDescent="0.3">
      <c r="A628" s="88"/>
      <c r="B628" s="55" t="s">
        <v>258</v>
      </c>
      <c r="C628" s="56">
        <f>SUM(C622:C627)+I621</f>
        <v>24</v>
      </c>
      <c r="D628" s="31" t="s">
        <v>259</v>
      </c>
      <c r="E628" s="101" t="str">
        <f>IF(AS622="Y","DBL",IF(AS623="Y","TRPL",IF(AS624="Y","QUAD","")))</f>
        <v/>
      </c>
      <c r="F628" s="88"/>
      <c r="G628" s="191"/>
      <c r="H628" s="57"/>
      <c r="I628" s="191"/>
      <c r="J628" s="286"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7"/>
      <c r="L628" s="288"/>
      <c r="M628" s="286" t="str">
        <f>IF(AND(OR(E622="SS",E622="RPX",E622="EUC",E622="RPX-T"),(OR(C632="",C632="Field SPL"))),"Cannot have FlexNap cables without tethers","---")</f>
        <v>---</v>
      </c>
      <c r="N628" s="287"/>
      <c r="O628" s="287"/>
      <c r="P628" s="287"/>
      <c r="Q628" s="287"/>
      <c r="R628" s="287"/>
      <c r="S628" s="287"/>
      <c r="T628" s="287"/>
      <c r="U628" s="288"/>
      <c r="V628" s="25"/>
      <c r="W628" s="58"/>
      <c r="X628" s="58"/>
      <c r="Y628" s="25"/>
      <c r="Z628" s="45">
        <v>5</v>
      </c>
      <c r="AA628" s="46">
        <v>49</v>
      </c>
      <c r="AB628" s="46">
        <v>60</v>
      </c>
      <c r="AC628" s="25"/>
      <c r="AD628" s="25"/>
      <c r="BA628" s="226"/>
    </row>
    <row r="629" spans="1:53" ht="16.5" thickTop="1" thickBot="1" x14ac:dyDescent="0.3">
      <c r="A629" s="88"/>
      <c r="B629" s="59"/>
      <c r="C629" s="60"/>
      <c r="D629" s="61"/>
      <c r="E629" s="62"/>
      <c r="F629" s="88"/>
      <c r="G629" s="63"/>
      <c r="H629" s="64"/>
      <c r="I629" s="63"/>
      <c r="J629" s="286" t="str">
        <f>IF(AND(OR(E622="RPX", E622="RPX-T", E622="SS"),E623=216),"NO 216 For RPX, RPX-T, OR SS CABLE","---")</f>
        <v>---</v>
      </c>
      <c r="K629" s="287"/>
      <c r="L629" s="288"/>
      <c r="M629" s="286" t="str" cm="1">
        <f t="array" ref="M629">IF(AND(E622="",OR(C632:C656="FST",C632:C656="REV T",C632:C656="DBL REV",C632:C656="TPL REV", C632:C656="QD REV")),"Non-FlexNap cables cannot have tethers","---")</f>
        <v>---</v>
      </c>
      <c r="N629" s="287"/>
      <c r="O629" s="287"/>
      <c r="P629" s="287"/>
      <c r="Q629" s="287"/>
      <c r="R629" s="287"/>
      <c r="S629" s="287"/>
      <c r="T629" s="287"/>
      <c r="U629" s="288"/>
      <c r="V629" s="25"/>
      <c r="W629" s="58"/>
      <c r="X629" s="58"/>
      <c r="Y629" s="25"/>
      <c r="Z629" s="45">
        <v>6</v>
      </c>
      <c r="AA629" s="65">
        <v>61</v>
      </c>
      <c r="AB629" s="65">
        <v>72</v>
      </c>
      <c r="AC629" s="25"/>
      <c r="AD629" s="25"/>
      <c r="BA629" s="225"/>
    </row>
    <row r="630" spans="1:53" ht="15.75" customHeight="1" thickBot="1" x14ac:dyDescent="0.3">
      <c r="A630" s="88"/>
      <c r="B630" s="321" t="s">
        <v>260</v>
      </c>
      <c r="C630" s="293" t="s">
        <v>261</v>
      </c>
      <c r="D630" s="293" t="s">
        <v>262</v>
      </c>
      <c r="E630" s="306" t="s">
        <v>263</v>
      </c>
      <c r="F630" s="293" t="s">
        <v>264</v>
      </c>
      <c r="G630" s="308" t="s">
        <v>265</v>
      </c>
      <c r="H630" s="308" t="s">
        <v>266</v>
      </c>
      <c r="I630" s="308" t="s">
        <v>267</v>
      </c>
      <c r="J630" s="310" t="s">
        <v>268</v>
      </c>
      <c r="K630" s="293" t="s">
        <v>269</v>
      </c>
      <c r="L630" s="280" t="s">
        <v>270</v>
      </c>
      <c r="M630" s="282" t="s">
        <v>271</v>
      </c>
      <c r="N630" s="282"/>
      <c r="O630" s="282"/>
      <c r="P630" s="282"/>
      <c r="Q630" s="282"/>
      <c r="R630" s="282"/>
      <c r="S630" s="282"/>
      <c r="T630" s="282"/>
      <c r="U630" s="283"/>
      <c r="V630" s="107"/>
      <c r="W630" s="72"/>
      <c r="X630" s="72"/>
      <c r="Y630" s="72"/>
      <c r="Z630" s="45">
        <v>7</v>
      </c>
      <c r="AA630" s="65">
        <v>73</v>
      </c>
      <c r="AB630" s="65">
        <v>84</v>
      </c>
      <c r="AC630" s="25"/>
      <c r="AD630" s="25"/>
      <c r="BA630" s="227"/>
    </row>
    <row r="631" spans="1:53" ht="15.75" thickBot="1" x14ac:dyDescent="0.3">
      <c r="A631" s="88"/>
      <c r="B631" s="322"/>
      <c r="C631" s="294"/>
      <c r="D631" s="294"/>
      <c r="E631" s="307"/>
      <c r="F631" s="294"/>
      <c r="G631" s="309"/>
      <c r="H631" s="309"/>
      <c r="I631" s="309"/>
      <c r="J631" s="311"/>
      <c r="K631" s="294"/>
      <c r="L631" s="281"/>
      <c r="M631" s="284"/>
      <c r="N631" s="284"/>
      <c r="O631" s="284"/>
      <c r="P631" s="284"/>
      <c r="Q631" s="284"/>
      <c r="R631" s="284"/>
      <c r="S631" s="284"/>
      <c r="T631" s="284"/>
      <c r="U631" s="285"/>
      <c r="V631" s="107"/>
      <c r="W631" s="72"/>
      <c r="X631" s="72"/>
      <c r="Y631" s="72"/>
      <c r="Z631" s="45">
        <v>8</v>
      </c>
      <c r="AA631" s="46">
        <v>85</v>
      </c>
      <c r="AB631" s="46">
        <v>96</v>
      </c>
      <c r="AC631" s="25"/>
      <c r="AD631" s="25"/>
      <c r="AI631" s="109" t="s">
        <v>272</v>
      </c>
      <c r="AJ631" s="109" t="s">
        <v>273</v>
      </c>
      <c r="AK631" s="109" t="s">
        <v>274</v>
      </c>
      <c r="AL631" s="109" t="s">
        <v>275</v>
      </c>
      <c r="BA631" s="227"/>
    </row>
    <row r="632" spans="1:53" ht="15.75" thickBot="1" x14ac:dyDescent="0.3">
      <c r="A632" s="88"/>
      <c r="B632" s="66" t="s">
        <v>276</v>
      </c>
      <c r="C632" s="67" t="s">
        <v>484</v>
      </c>
      <c r="D632" s="102" t="s">
        <v>768</v>
      </c>
      <c r="E632" s="32">
        <v>4</v>
      </c>
      <c r="F632" s="32" t="s">
        <v>488</v>
      </c>
      <c r="G632" s="68" t="s">
        <v>277</v>
      </c>
      <c r="H632" s="69">
        <f>IF(I632=0,0,I632-(E632-1))</f>
        <v>537</v>
      </c>
      <c r="I632" s="70">
        <f>IF(E632=0,0,I627)</f>
        <v>540</v>
      </c>
      <c r="J632" s="71" t="s">
        <v>278</v>
      </c>
      <c r="K632" s="32"/>
      <c r="L632" s="232"/>
      <c r="M632" s="278"/>
      <c r="N632" s="278"/>
      <c r="O632" s="278"/>
      <c r="P632" s="278"/>
      <c r="Q632" s="278"/>
      <c r="R632" s="278"/>
      <c r="S632" s="278"/>
      <c r="T632" s="278"/>
      <c r="U632" s="279"/>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537-540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8">
        <f>MOD(E632,12)</f>
        <v>4</v>
      </c>
    </row>
    <row r="633" spans="1:53" ht="15.75" thickBot="1" x14ac:dyDescent="0.3">
      <c r="A633" s="88"/>
      <c r="B633" s="66" t="s">
        <v>279</v>
      </c>
      <c r="C633" s="67" t="s">
        <v>484</v>
      </c>
      <c r="D633" s="102" t="s">
        <v>766</v>
      </c>
      <c r="E633" s="32">
        <v>4</v>
      </c>
      <c r="F633" s="32" t="s">
        <v>488</v>
      </c>
      <c r="G633" s="68" t="s">
        <v>277</v>
      </c>
      <c r="H633" s="69">
        <f t="shared" ref="H633:H656" si="264">IF(E633=0,0,I633-(E633-1))</f>
        <v>533</v>
      </c>
      <c r="I633" s="70">
        <f t="shared" ref="I633:I656" si="265">IF(E633=0,0,H632-1)</f>
        <v>536</v>
      </c>
      <c r="J633" s="73" t="str">
        <f>IF(C633="","--",IF(AND(C633&lt;&gt;"FST",C633&lt;&gt;"TCF",BA632&lt;&gt;0),BA632,"--"))</f>
        <v>--</v>
      </c>
      <c r="K633" s="32"/>
      <c r="L633" s="232"/>
      <c r="M633" s="278"/>
      <c r="N633" s="278"/>
      <c r="O633" s="278"/>
      <c r="P633" s="278"/>
      <c r="Q633" s="278"/>
      <c r="R633" s="278"/>
      <c r="S633" s="278"/>
      <c r="T633" s="278"/>
      <c r="U633" s="279"/>
      <c r="V633" s="103"/>
      <c r="W633" s="72"/>
      <c r="X633" s="72"/>
      <c r="Y633" s="72"/>
      <c r="Z633" s="45">
        <v>10</v>
      </c>
      <c r="AA633" s="46">
        <v>109</v>
      </c>
      <c r="AB633" s="46">
        <v>120</v>
      </c>
      <c r="AC633" s="72">
        <f t="shared" si="255"/>
        <v>1</v>
      </c>
      <c r="AD633" s="72">
        <f t="shared" si="256"/>
        <v>0</v>
      </c>
      <c r="AE633" s="109" t="str">
        <f t="shared" si="257"/>
        <v>533-536</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8">
        <f>MOD(SUM(E632:E633),12)</f>
        <v>8</v>
      </c>
    </row>
    <row r="634" spans="1:53" ht="15.75" thickBot="1" x14ac:dyDescent="0.3">
      <c r="A634" s="88"/>
      <c r="B634" s="74" t="s">
        <v>280</v>
      </c>
      <c r="C634" s="67" t="s">
        <v>484</v>
      </c>
      <c r="D634" s="102" t="s">
        <v>789</v>
      </c>
      <c r="E634" s="32">
        <v>8</v>
      </c>
      <c r="F634" s="32" t="s">
        <v>488</v>
      </c>
      <c r="G634" s="75" t="s">
        <v>277</v>
      </c>
      <c r="H634" s="69">
        <f t="shared" si="264"/>
        <v>525</v>
      </c>
      <c r="I634" s="70">
        <f t="shared" si="265"/>
        <v>532</v>
      </c>
      <c r="J634" s="73" t="str">
        <f t="shared" ref="J634:J656" si="266">IF(C634="","--",IF(AND(C634&lt;&gt;"FST",C634&lt;&gt;"TCF",BA633&lt;&gt;0),BA633,"--"))</f>
        <v>--</v>
      </c>
      <c r="K634" s="32"/>
      <c r="L634" s="232"/>
      <c r="M634" s="278"/>
      <c r="N634" s="278"/>
      <c r="O634" s="278"/>
      <c r="P634" s="278"/>
      <c r="Q634" s="278"/>
      <c r="R634" s="278"/>
      <c r="S634" s="278"/>
      <c r="T634" s="278"/>
      <c r="U634" s="279"/>
      <c r="V634" s="103"/>
      <c r="W634" s="72"/>
      <c r="X634" s="72"/>
      <c r="Y634" s="72"/>
      <c r="Z634" s="45">
        <v>11</v>
      </c>
      <c r="AA634" s="46">
        <v>121</v>
      </c>
      <c r="AB634" s="46">
        <v>132</v>
      </c>
      <c r="AC634" s="72">
        <f t="shared" si="255"/>
        <v>1</v>
      </c>
      <c r="AD634" s="72">
        <f t="shared" si="256"/>
        <v>0</v>
      </c>
      <c r="AE634" s="109" t="str">
        <f t="shared" si="257"/>
        <v>525-532</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8">
        <f>MOD(SUM(E632:E635),12)</f>
        <v>0</v>
      </c>
    </row>
    <row r="635" spans="1:53" ht="15.75" thickBot="1" x14ac:dyDescent="0.3">
      <c r="A635" s="88"/>
      <c r="B635" s="66" t="s">
        <v>281</v>
      </c>
      <c r="C635" s="67" t="s">
        <v>484</v>
      </c>
      <c r="D635" s="102" t="s">
        <v>767</v>
      </c>
      <c r="E635" s="32">
        <v>8</v>
      </c>
      <c r="F635" s="32" t="s">
        <v>488</v>
      </c>
      <c r="G635" s="68" t="s">
        <v>277</v>
      </c>
      <c r="H635" s="69">
        <f t="shared" si="264"/>
        <v>517</v>
      </c>
      <c r="I635" s="70">
        <f t="shared" si="265"/>
        <v>524</v>
      </c>
      <c r="J635" s="73" t="str">
        <f t="shared" si="266"/>
        <v>--</v>
      </c>
      <c r="K635" s="32"/>
      <c r="L635" s="232"/>
      <c r="M635" s="278"/>
      <c r="N635" s="278"/>
      <c r="O635" s="278"/>
      <c r="P635" s="278"/>
      <c r="Q635" s="278"/>
      <c r="R635" s="278"/>
      <c r="S635" s="278"/>
      <c r="T635" s="278"/>
      <c r="U635" s="279"/>
      <c r="V635" s="103"/>
      <c r="W635" s="72"/>
      <c r="X635" s="72"/>
      <c r="Y635" s="72"/>
      <c r="Z635" s="45">
        <v>12</v>
      </c>
      <c r="AA635" s="76">
        <v>133</v>
      </c>
      <c r="AB635" s="76">
        <v>144</v>
      </c>
      <c r="AC635" s="72">
        <f t="shared" si="255"/>
        <v>1</v>
      </c>
      <c r="AD635" s="72">
        <f t="shared" si="256"/>
        <v>0</v>
      </c>
      <c r="AE635" s="109" t="str">
        <f t="shared" si="257"/>
        <v>517-524</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8">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2"/>
      <c r="M636" s="278"/>
      <c r="N636" s="278"/>
      <c r="O636" s="278"/>
      <c r="P636" s="278"/>
      <c r="Q636" s="278"/>
      <c r="R636" s="278"/>
      <c r="S636" s="278"/>
      <c r="T636" s="278"/>
      <c r="U636" s="279"/>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8">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2"/>
      <c r="M637" s="278"/>
      <c r="N637" s="278"/>
      <c r="O637" s="278"/>
      <c r="P637" s="278"/>
      <c r="Q637" s="278"/>
      <c r="R637" s="278"/>
      <c r="S637" s="278"/>
      <c r="T637" s="278"/>
      <c r="U637" s="279"/>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8">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2"/>
      <c r="M638" s="278"/>
      <c r="N638" s="278"/>
      <c r="O638" s="278"/>
      <c r="P638" s="278"/>
      <c r="Q638" s="278"/>
      <c r="R638" s="278"/>
      <c r="S638" s="278"/>
      <c r="T638" s="278"/>
      <c r="U638" s="279"/>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8">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2"/>
      <c r="M639" s="278"/>
      <c r="N639" s="278"/>
      <c r="O639" s="278"/>
      <c r="P639" s="278"/>
      <c r="Q639" s="278"/>
      <c r="R639" s="278"/>
      <c r="S639" s="278"/>
      <c r="T639" s="278"/>
      <c r="U639" s="279"/>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8">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2"/>
      <c r="M640" s="278"/>
      <c r="N640" s="278"/>
      <c r="O640" s="278"/>
      <c r="P640" s="278"/>
      <c r="Q640" s="278"/>
      <c r="R640" s="278"/>
      <c r="S640" s="278"/>
      <c r="T640" s="278"/>
      <c r="U640" s="279"/>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8">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2"/>
      <c r="M641" s="278"/>
      <c r="N641" s="278"/>
      <c r="O641" s="278"/>
      <c r="P641" s="278"/>
      <c r="Q641" s="278"/>
      <c r="R641" s="278"/>
      <c r="S641" s="278"/>
      <c r="T641" s="278"/>
      <c r="U641" s="279"/>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8">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2"/>
      <c r="M642" s="278"/>
      <c r="N642" s="278"/>
      <c r="O642" s="278"/>
      <c r="P642" s="278"/>
      <c r="Q642" s="278"/>
      <c r="R642" s="278"/>
      <c r="S642" s="278"/>
      <c r="T642" s="278"/>
      <c r="U642" s="279"/>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8">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2"/>
      <c r="M643" s="278"/>
      <c r="N643" s="278"/>
      <c r="O643" s="278"/>
      <c r="P643" s="278"/>
      <c r="Q643" s="278"/>
      <c r="R643" s="278"/>
      <c r="S643" s="278"/>
      <c r="T643" s="278"/>
      <c r="U643" s="279"/>
      <c r="V643" s="103"/>
      <c r="W643" s="84">
        <f>Y643+1</f>
        <v>25</v>
      </c>
      <c r="X643" s="84"/>
      <c r="Y643" s="78">
        <f>SUM(E632:E643)</f>
        <v>24</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8">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2"/>
      <c r="M644" s="278"/>
      <c r="N644" s="278"/>
      <c r="O644" s="278"/>
      <c r="P644" s="278"/>
      <c r="Q644" s="278"/>
      <c r="R644" s="278"/>
      <c r="S644" s="278"/>
      <c r="T644" s="278"/>
      <c r="U644" s="279"/>
      <c r="V644" s="103"/>
      <c r="W644" s="84">
        <f>Y644+1</f>
        <v>25</v>
      </c>
      <c r="X644" s="84"/>
      <c r="Y644" s="78">
        <f>SUM(E632:E644)</f>
        <v>24</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8">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2"/>
      <c r="M645" s="278"/>
      <c r="N645" s="278"/>
      <c r="O645" s="278"/>
      <c r="P645" s="278"/>
      <c r="Q645" s="278"/>
      <c r="R645" s="278"/>
      <c r="S645" s="278"/>
      <c r="T645" s="278"/>
      <c r="U645" s="279"/>
      <c r="V645" s="103"/>
      <c r="W645" s="84">
        <f>Y645+1</f>
        <v>25</v>
      </c>
      <c r="X645" s="84"/>
      <c r="Y645" s="78">
        <f>SUM(E632:E645)</f>
        <v>24</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8">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2"/>
      <c r="M646" s="278"/>
      <c r="N646" s="278"/>
      <c r="O646" s="278"/>
      <c r="P646" s="278"/>
      <c r="Q646" s="278"/>
      <c r="R646" s="278"/>
      <c r="S646" s="278"/>
      <c r="T646" s="278"/>
      <c r="U646" s="279"/>
      <c r="V646" s="103"/>
      <c r="W646" s="84">
        <f>Y646+1</f>
        <v>25</v>
      </c>
      <c r="X646" s="84"/>
      <c r="Y646" s="78">
        <f>SUM(E632:E646)</f>
        <v>24</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8">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2"/>
      <c r="M647" s="278"/>
      <c r="N647" s="278"/>
      <c r="O647" s="278"/>
      <c r="P647" s="278"/>
      <c r="Q647" s="278"/>
      <c r="R647" s="278"/>
      <c r="S647" s="278"/>
      <c r="T647" s="278"/>
      <c r="U647" s="279"/>
      <c r="V647" s="103"/>
      <c r="W647" s="84">
        <f t="shared" ref="W647:W655" si="271">Y647+1</f>
        <v>25</v>
      </c>
      <c r="X647" s="84"/>
      <c r="Y647" s="78">
        <f>SUM(E632:E647)</f>
        <v>24</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8">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2"/>
      <c r="M648" s="278"/>
      <c r="N648" s="278"/>
      <c r="O648" s="278"/>
      <c r="P648" s="278"/>
      <c r="Q648" s="278"/>
      <c r="R648" s="278"/>
      <c r="S648" s="278"/>
      <c r="T648" s="278"/>
      <c r="U648" s="279"/>
      <c r="V648" s="103"/>
      <c r="W648" s="84">
        <f t="shared" si="271"/>
        <v>25</v>
      </c>
      <c r="X648" s="84"/>
      <c r="Y648" s="78">
        <f>SUM(E632:E648)</f>
        <v>24</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8">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2"/>
      <c r="M649" s="278"/>
      <c r="N649" s="278"/>
      <c r="O649" s="278"/>
      <c r="P649" s="278"/>
      <c r="Q649" s="278"/>
      <c r="R649" s="278"/>
      <c r="S649" s="278"/>
      <c r="T649" s="278"/>
      <c r="U649" s="279"/>
      <c r="V649" s="103"/>
      <c r="W649" s="84">
        <f t="shared" si="271"/>
        <v>25</v>
      </c>
      <c r="X649" s="84"/>
      <c r="Y649" s="78">
        <f>SUM(E632:E649)</f>
        <v>24</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8">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2"/>
      <c r="M650" s="278"/>
      <c r="N650" s="278"/>
      <c r="O650" s="278"/>
      <c r="P650" s="278"/>
      <c r="Q650" s="278"/>
      <c r="R650" s="278"/>
      <c r="S650" s="278"/>
      <c r="T650" s="278"/>
      <c r="U650" s="279"/>
      <c r="V650" s="103"/>
      <c r="W650" s="84">
        <f t="shared" si="271"/>
        <v>25</v>
      </c>
      <c r="X650" s="84"/>
      <c r="Y650" s="78">
        <f>SUM(E632:E650)</f>
        <v>24</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8">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2"/>
      <c r="M651" s="278"/>
      <c r="N651" s="278"/>
      <c r="O651" s="278"/>
      <c r="P651" s="278"/>
      <c r="Q651" s="278"/>
      <c r="R651" s="278"/>
      <c r="S651" s="278"/>
      <c r="T651" s="278"/>
      <c r="U651" s="279"/>
      <c r="V651" s="103"/>
      <c r="W651" s="84">
        <f t="shared" si="271"/>
        <v>25</v>
      </c>
      <c r="X651" s="84"/>
      <c r="Y651" s="78">
        <f>SUM(E632:E651)</f>
        <v>24</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8">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2"/>
      <c r="M652" s="278"/>
      <c r="N652" s="278"/>
      <c r="O652" s="278"/>
      <c r="P652" s="278"/>
      <c r="Q652" s="278"/>
      <c r="R652" s="278"/>
      <c r="S652" s="278"/>
      <c r="T652" s="278"/>
      <c r="U652" s="279"/>
      <c r="V652" s="103"/>
      <c r="W652" s="84">
        <f t="shared" si="271"/>
        <v>25</v>
      </c>
      <c r="X652" s="84"/>
      <c r="Y652" s="78">
        <f>SUM(E632:E652)</f>
        <v>24</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8">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2"/>
      <c r="M653" s="278"/>
      <c r="N653" s="278"/>
      <c r="O653" s="278"/>
      <c r="P653" s="278"/>
      <c r="Q653" s="278"/>
      <c r="R653" s="278"/>
      <c r="S653" s="278"/>
      <c r="T653" s="278"/>
      <c r="U653" s="279"/>
      <c r="V653" s="103"/>
      <c r="W653" s="84">
        <f t="shared" si="271"/>
        <v>25</v>
      </c>
      <c r="X653" s="84"/>
      <c r="Y653" s="78">
        <f>SUM(E632:E653)</f>
        <v>24</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8">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2"/>
      <c r="M654" s="278"/>
      <c r="N654" s="278"/>
      <c r="O654" s="278"/>
      <c r="P654" s="278"/>
      <c r="Q654" s="278"/>
      <c r="R654" s="278"/>
      <c r="S654" s="278"/>
      <c r="T654" s="278"/>
      <c r="U654" s="279"/>
      <c r="V654" s="103"/>
      <c r="W654" s="84">
        <f t="shared" si="271"/>
        <v>25</v>
      </c>
      <c r="X654" s="84"/>
      <c r="Y654" s="78">
        <f>SUM(E632:E654)</f>
        <v>24</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8">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2"/>
      <c r="M655" s="278"/>
      <c r="N655" s="278"/>
      <c r="O655" s="278"/>
      <c r="P655" s="278"/>
      <c r="Q655" s="278"/>
      <c r="R655" s="278"/>
      <c r="S655" s="278"/>
      <c r="T655" s="278"/>
      <c r="U655" s="279"/>
      <c r="V655" s="103"/>
      <c r="W655" s="84">
        <f t="shared" si="271"/>
        <v>25</v>
      </c>
      <c r="X655" s="84"/>
      <c r="Y655" s="78">
        <f>SUM(E632:E655)</f>
        <v>24</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8">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3"/>
      <c r="M656" s="278"/>
      <c r="N656" s="278"/>
      <c r="O656" s="278"/>
      <c r="P656" s="278"/>
      <c r="Q656" s="278"/>
      <c r="R656" s="278"/>
      <c r="S656" s="278"/>
      <c r="T656" s="278"/>
      <c r="U656" s="279"/>
      <c r="V656" s="103"/>
      <c r="W656" s="72"/>
      <c r="X656" s="72"/>
      <c r="Y656" s="78">
        <f>SUM(E632:E656)</f>
        <v>24</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7"/>
    </row>
    <row r="657" spans="1:53" ht="16.5" thickBot="1" x14ac:dyDescent="0.3">
      <c r="A657" s="88"/>
      <c r="B657" s="319" t="s">
        <v>335</v>
      </c>
      <c r="C657" s="320"/>
      <c r="D657" s="79"/>
      <c r="E657" s="80"/>
      <c r="F657" s="80"/>
      <c r="G657" s="81"/>
      <c r="H657" s="191"/>
      <c r="I657" s="191"/>
      <c r="J657" s="191"/>
      <c r="K657" s="82"/>
      <c r="L657" s="319" t="s">
        <v>306</v>
      </c>
      <c r="M657" s="330"/>
      <c r="N657" s="330"/>
      <c r="O657" s="330"/>
      <c r="P657" s="330"/>
      <c r="Q657" s="330"/>
      <c r="R657" s="330"/>
      <c r="S657" s="330"/>
      <c r="T657" s="330"/>
      <c r="U657" s="320"/>
      <c r="V657" s="104"/>
      <c r="W657" s="72"/>
      <c r="X657" s="72"/>
      <c r="Y657" s="72"/>
      <c r="Z657" s="72"/>
      <c r="AA657" s="72" t="str">
        <f t="shared" si="270"/>
        <v/>
      </c>
      <c r="AB657" s="72"/>
      <c r="AC657" s="72">
        <f>SUM(AC632:AC656)</f>
        <v>25</v>
      </c>
      <c r="AD657" s="72">
        <f>SUM(AD632:AD656)</f>
        <v>21</v>
      </c>
      <c r="AM657" s="109">
        <f>SUM(AM632:AM656)</f>
        <v>0</v>
      </c>
      <c r="AN657" s="109">
        <f>SUM(AN632:AN656)</f>
        <v>0</v>
      </c>
      <c r="AO657" s="109">
        <f>((COUNTIF(AO632:AO656,"Y")/3)*2)</f>
        <v>0</v>
      </c>
      <c r="AP657" s="109">
        <f>(COUNTIF(AO632:AO656,"Y")/3)</f>
        <v>0</v>
      </c>
      <c r="AQ657" s="109">
        <f>(COUNTIF(AQ632:AQ656,"Y")/2)</f>
        <v>0</v>
      </c>
      <c r="AR657" s="109">
        <f>(COUNTIF(AQ632:AQ656,"Y")/2)</f>
        <v>0</v>
      </c>
      <c r="BA657" s="227"/>
    </row>
    <row r="658" spans="1:53" ht="16.5" thickBot="1" x14ac:dyDescent="0.3">
      <c r="A658" s="88"/>
      <c r="B658" s="319" t="s">
        <v>307</v>
      </c>
      <c r="C658" s="320"/>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5"/>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5" t="s">
        <v>210</v>
      </c>
      <c r="N661" s="195" t="s">
        <v>211</v>
      </c>
      <c r="O661" s="195" t="s">
        <v>212</v>
      </c>
      <c r="P661" s="195" t="s">
        <v>213</v>
      </c>
      <c r="Q661" s="195" t="s">
        <v>214</v>
      </c>
      <c r="R661" s="195" t="s">
        <v>215</v>
      </c>
      <c r="S661" s="195" t="s">
        <v>216</v>
      </c>
      <c r="T661" s="195" t="s">
        <v>217</v>
      </c>
      <c r="U661" s="195" t="s">
        <v>218</v>
      </c>
      <c r="V661" s="195" t="s">
        <v>219</v>
      </c>
      <c r="W661" s="113" t="s">
        <v>220</v>
      </c>
      <c r="X661" s="195" t="s">
        <v>221</v>
      </c>
      <c r="Y661" s="25"/>
      <c r="Z661" s="25"/>
      <c r="AA661" s="25"/>
      <c r="AB661" s="25"/>
      <c r="AC661" s="25"/>
      <c r="AD661" s="25"/>
      <c r="BA661" s="225"/>
    </row>
    <row r="662" spans="1:53" ht="16.5" thickTop="1" thickBot="1" x14ac:dyDescent="0.3">
      <c r="A662" s="88"/>
      <c r="B662" s="312" t="s">
        <v>222</v>
      </c>
      <c r="C662" s="313"/>
      <c r="D662" s="314" t="s">
        <v>223</v>
      </c>
      <c r="E662" s="305"/>
      <c r="F662" s="88"/>
      <c r="G662" s="315" t="s">
        <v>224</v>
      </c>
      <c r="H662" s="316"/>
      <c r="I662" s="28">
        <f>SUM(E673:E697)</f>
        <v>60</v>
      </c>
      <c r="J662" s="317" t="s">
        <v>225</v>
      </c>
      <c r="K662" s="318"/>
      <c r="L662" s="305"/>
      <c r="M662" s="195">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5" t="s">
        <v>226</v>
      </c>
      <c r="AA662" s="296"/>
      <c r="AB662" s="297"/>
      <c r="AC662" s="25"/>
      <c r="AD662" s="25"/>
      <c r="AH662" s="109">
        <v>2</v>
      </c>
      <c r="AI662" s="109" t="str">
        <f>IF($E663="SS",COUNTIFS($C673:$C697,"FST",$E673:$E697,"2"),"0")</f>
        <v>0</v>
      </c>
      <c r="AJ662" s="109">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5"/>
    </row>
    <row r="663" spans="1:53" ht="16.5" customHeight="1" thickTop="1" thickBot="1" x14ac:dyDescent="0.3">
      <c r="A663" s="88"/>
      <c r="B663" s="29" t="s">
        <v>228</v>
      </c>
      <c r="C663" s="30">
        <v>36</v>
      </c>
      <c r="D663" s="31" t="s">
        <v>229</v>
      </c>
      <c r="E663" s="66" t="str">
        <f>TEXT(IF('Cable Calculator'!CF7="","",'Cable Calculator'!CF7),)</f>
        <v>RPX</v>
      </c>
      <c r="F663" s="88"/>
      <c r="G663" s="304" t="s">
        <v>230</v>
      </c>
      <c r="H663" s="305"/>
      <c r="I663" s="33">
        <f>E664-I662</f>
        <v>84</v>
      </c>
      <c r="J663" s="289" t="s">
        <v>231</v>
      </c>
      <c r="K663" s="290"/>
      <c r="L663" s="34">
        <f>I667</f>
        <v>421</v>
      </c>
      <c r="M663" s="195">
        <v>4</v>
      </c>
      <c r="N663" s="35">
        <f>SUM(AI663,AI674)</f>
        <v>0</v>
      </c>
      <c r="O663" s="35">
        <v>0</v>
      </c>
      <c r="P663" s="35">
        <f>SUM(AJ663,AJ674)</f>
        <v>4</v>
      </c>
      <c r="Q663" s="35">
        <v>0</v>
      </c>
      <c r="R663" s="35">
        <f>COUNTIFS($E673:$E697,"4",$F673:$F697,"Pole",$C673:$C697,"FST")</f>
        <v>4</v>
      </c>
      <c r="S663" s="35">
        <f>SUM(AL663,AK674)</f>
        <v>0</v>
      </c>
      <c r="T663" s="35">
        <v>0</v>
      </c>
      <c r="U663" s="35">
        <f>SUM(AK663,AL674)</f>
        <v>0</v>
      </c>
      <c r="V663" s="35">
        <v>0</v>
      </c>
      <c r="W663" s="34">
        <f>COUNTIFS($E673:$E697,"4",$F673:$F697,"HH",$C673:$C697,"FST")</f>
        <v>0</v>
      </c>
      <c r="X663" s="35">
        <f>COUNTIFS($E673:$E697,"4",$F673:$F697,"Ped",$C673:$C697,"FST")</f>
        <v>0</v>
      </c>
      <c r="Y663" s="25"/>
      <c r="Z663" s="298" t="s">
        <v>232</v>
      </c>
      <c r="AA663" s="300" t="s">
        <v>233</v>
      </c>
      <c r="AB663" s="301"/>
      <c r="AC663" s="25"/>
      <c r="AD663" s="25"/>
      <c r="AH663" s="109">
        <v>4</v>
      </c>
      <c r="AI663" s="109" t="str">
        <f>IF($E663="SS",COUNTIFS($C673:$C697,"FST",$E673:$E697,"4"),"0")</f>
        <v>0</v>
      </c>
      <c r="AJ663" s="109">
        <f>IF($E663="RPX",COUNTIFS($C673:$C697,"FST",$E673:$E697,"4"),"0")</f>
        <v>4</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6"/>
    </row>
    <row r="664" spans="1:53" ht="16.5" thickTop="1" thickBot="1" x14ac:dyDescent="0.3">
      <c r="A664" s="88"/>
      <c r="B664" s="36" t="s">
        <v>235</v>
      </c>
      <c r="C664" s="37">
        <v>0</v>
      </c>
      <c r="D664" s="38" t="s">
        <v>236</v>
      </c>
      <c r="E664" s="32">
        <v>144</v>
      </c>
      <c r="F664" s="88"/>
      <c r="G664" s="291" t="s">
        <v>237</v>
      </c>
      <c r="H664" s="292"/>
      <c r="I664" s="35">
        <f>IF(E664=0,0,12-(MOD(I662,12)))</f>
        <v>12</v>
      </c>
      <c r="J664" s="289" t="s">
        <v>238</v>
      </c>
      <c r="K664" s="290"/>
      <c r="L664" s="39">
        <f>I668-I662</f>
        <v>456</v>
      </c>
      <c r="M664" s="195">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9"/>
      <c r="AA664" s="302"/>
      <c r="AB664" s="303"/>
      <c r="AC664" s="25"/>
      <c r="AD664" s="25"/>
      <c r="AH664" s="109">
        <v>6</v>
      </c>
      <c r="AI664" s="109" t="str">
        <f>IF($E663="SS",COUNTIFS($C673:$C697,"FST",$E673:$E697,"6"),"0")</f>
        <v>0</v>
      </c>
      <c r="AJ664" s="109">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6"/>
    </row>
    <row r="665" spans="1:53" ht="16.5" customHeight="1" thickTop="1" thickBot="1" x14ac:dyDescent="0.3">
      <c r="A665" s="88"/>
      <c r="B665" s="40" t="s">
        <v>240</v>
      </c>
      <c r="C665" s="30">
        <v>0</v>
      </c>
      <c r="D665" s="41" t="s">
        <v>241</v>
      </c>
      <c r="E665" s="42">
        <v>48</v>
      </c>
      <c r="F665" s="88"/>
      <c r="G665" s="321" t="s">
        <v>242</v>
      </c>
      <c r="H665" s="43" t="s">
        <v>243</v>
      </c>
      <c r="I665" s="35">
        <f>IF(E665&lt;&gt;0,1,0)</f>
        <v>1</v>
      </c>
      <c r="J665" s="291" t="s">
        <v>244</v>
      </c>
      <c r="K665" s="292"/>
      <c r="L665" s="44">
        <f>'Cable Calculator'!CF3</f>
        <v>3013</v>
      </c>
      <c r="M665" s="195">
        <v>8</v>
      </c>
      <c r="N665" s="35">
        <f>SUM(AI665,AI676)</f>
        <v>0</v>
      </c>
      <c r="O665" s="35">
        <v>0</v>
      </c>
      <c r="P665" s="35">
        <f>SUM(AJ665,AJ676)</f>
        <v>1</v>
      </c>
      <c r="Q665" s="35">
        <v>0</v>
      </c>
      <c r="R665" s="35">
        <f>COUNTIFS($E673:$E697,"8",$F673:$F697,"Pole",$C673:$C697,"FST")</f>
        <v>1</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f>IF($E663="RPX",COUNTIFS($C673:$C697,"FST",$E673:$E697,"8"),"0")</f>
        <v>1</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6"/>
    </row>
    <row r="666" spans="1:53" ht="16.5" thickTop="1" thickBot="1" x14ac:dyDescent="0.3">
      <c r="A666" s="88"/>
      <c r="B666" s="29" t="s">
        <v>246</v>
      </c>
      <c r="C666" s="37">
        <v>0</v>
      </c>
      <c r="D666" s="41" t="s">
        <v>247</v>
      </c>
      <c r="E666" s="42">
        <v>421</v>
      </c>
      <c r="F666" s="88"/>
      <c r="G666" s="322"/>
      <c r="H666" s="47" t="s">
        <v>248</v>
      </c>
      <c r="I666" s="35">
        <f>IF(E665&lt;&gt;0,E665,0)</f>
        <v>48</v>
      </c>
      <c r="J666" s="193"/>
      <c r="K666" s="194"/>
      <c r="L666" s="48"/>
      <c r="M666" s="195">
        <v>12</v>
      </c>
      <c r="N666" s="35" t="str">
        <f>IF($E663="SS",SUM(AI666,AJ677,AM698,AO698,AQ698),"0")</f>
        <v>0</v>
      </c>
      <c r="O666" s="35" t="str">
        <f>IF($E663="SS",SUM(AN698,AP698,AR698),"0")</f>
        <v>0</v>
      </c>
      <c r="P666" s="35">
        <f>IF($E663="RPX",SUM(AJ666,AJ677,AM698,AO698,AQ698),"0")</f>
        <v>0</v>
      </c>
      <c r="Q666" s="35">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f>IF($E663="RPX",COUNTIFS($C673:$C697,"FST",$E673:$E697,"12"),"0")</f>
        <v>0</v>
      </c>
      <c r="AK666" s="109" t="str">
        <f>IF($E663="EUC",COUNTIFS($C673:$C697,"FST",$E673:$E697,"12"),"0")</f>
        <v>0</v>
      </c>
      <c r="AL666" s="109" t="str">
        <f>IF($E663="RPX-T",COUNTIFS($C673:$C697,"FST",$E673:$E697,"12"),"0")</f>
        <v>0</v>
      </c>
      <c r="BA666" s="226"/>
    </row>
    <row r="667" spans="1:53" ht="16.5" customHeight="1" thickTop="1" thickBot="1" x14ac:dyDescent="0.3">
      <c r="A667" s="88"/>
      <c r="B667" s="36" t="s">
        <v>249</v>
      </c>
      <c r="C667" s="30">
        <v>0</v>
      </c>
      <c r="D667" s="49" t="s">
        <v>250</v>
      </c>
      <c r="E667" s="50">
        <f>E664/12</f>
        <v>12</v>
      </c>
      <c r="F667" s="88"/>
      <c r="G667" s="321" t="s">
        <v>251</v>
      </c>
      <c r="H667" s="51" t="s">
        <v>252</v>
      </c>
      <c r="I667" s="112">
        <f>E666</f>
        <v>421</v>
      </c>
      <c r="J667" s="323" t="s">
        <v>253</v>
      </c>
      <c r="K667" s="324"/>
      <c r="L667" s="325"/>
      <c r="M667" s="52" t="s">
        <v>254</v>
      </c>
      <c r="N667" s="106"/>
      <c r="O667" s="106"/>
      <c r="P667" s="191"/>
      <c r="Q667" s="191"/>
      <c r="R667" s="191"/>
      <c r="S667" s="191"/>
      <c r="T667" s="191"/>
      <c r="U667" s="191"/>
      <c r="V667" s="191"/>
      <c r="W667" s="53">
        <f>SUM(P667:U667)</f>
        <v>0</v>
      </c>
      <c r="X667" s="54"/>
      <c r="Y667" s="25"/>
      <c r="Z667" s="45">
        <v>3</v>
      </c>
      <c r="AA667" s="46">
        <v>25</v>
      </c>
      <c r="AB667" s="46">
        <v>36</v>
      </c>
      <c r="AC667" s="25"/>
      <c r="AD667" s="25"/>
      <c r="BA667" s="226"/>
    </row>
    <row r="668" spans="1:53" ht="16.5" thickTop="1" thickBot="1" x14ac:dyDescent="0.3">
      <c r="A668" s="88"/>
      <c r="B668" s="36" t="s">
        <v>255</v>
      </c>
      <c r="C668" s="30">
        <v>0</v>
      </c>
      <c r="D668" s="31" t="s">
        <v>256</v>
      </c>
      <c r="E668" s="101" t="str">
        <f>IF('Cable Calculator'!CF5="","",'Cable Calculator'!CF5)</f>
        <v>N</v>
      </c>
      <c r="F668" s="88"/>
      <c r="G668" s="322"/>
      <c r="H668" s="47" t="s">
        <v>257</v>
      </c>
      <c r="I668" s="35">
        <f>IF(E666="","0",IF(AND(E663="EUC",E664=432), I667+(203-E665),IF(E666=0,0,(E666+(E664-E665)-1))))</f>
        <v>516</v>
      </c>
      <c r="J668" s="286" t="str">
        <f>IFERROR(IF(OR(E663="EUC",E663="SS"),"---",IF(OR(P662,S662),"NO 2F Tethers for RPX!",IF(OR(P664,S664),"NO 6F Tethers for RPX!","---"))),"---")</f>
        <v>---</v>
      </c>
      <c r="K668" s="287"/>
      <c r="L668" s="288"/>
      <c r="M668" s="286" t="str">
        <f>IF(E665&gt;60,"Dead Count &gt;60: Consider Downsize","---")</f>
        <v>---</v>
      </c>
      <c r="N668" s="287"/>
      <c r="O668" s="287"/>
      <c r="P668" s="287"/>
      <c r="Q668" s="287"/>
      <c r="R668" s="287"/>
      <c r="S668" s="287"/>
      <c r="T668" s="287"/>
      <c r="U668" s="288"/>
      <c r="V668" s="100"/>
      <c r="W668" s="54">
        <f>SUM(P668:U668)</f>
        <v>0</v>
      </c>
      <c r="X668" s="54"/>
      <c r="Y668" s="25"/>
      <c r="Z668" s="45">
        <v>4</v>
      </c>
      <c r="AA668" s="46">
        <v>37</v>
      </c>
      <c r="AB668" s="46">
        <v>48</v>
      </c>
      <c r="AC668" s="25"/>
      <c r="AD668" s="25"/>
      <c r="BA668" s="226"/>
    </row>
    <row r="669" spans="1:53" ht="16.5" thickTop="1" thickBot="1" x14ac:dyDescent="0.3">
      <c r="A669" s="88"/>
      <c r="B669" s="55" t="s">
        <v>258</v>
      </c>
      <c r="C669" s="56">
        <f>SUM(C663:C668)+I662</f>
        <v>96</v>
      </c>
      <c r="D669" s="31" t="s">
        <v>259</v>
      </c>
      <c r="E669" s="101" t="str">
        <f>IF(AS663="Y","DBL",IF(AS664="Y","TRPL",IF(AS665="Y","QUAD","")))</f>
        <v/>
      </c>
      <c r="F669" s="88"/>
      <c r="G669" s="191"/>
      <c r="H669" s="57"/>
      <c r="I669" s="191"/>
      <c r="J669" s="286"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7"/>
      <c r="L669" s="288"/>
      <c r="M669" s="286" t="str">
        <f>IF(AND(OR(E663="SS",E663="RPX",E663="EUC",E663="RPX-T"),(OR(C673="",C673="Field SPL"))),"Cannot have FlexNap cables without tethers","---")</f>
        <v>---</v>
      </c>
      <c r="N669" s="287"/>
      <c r="O669" s="287"/>
      <c r="P669" s="287"/>
      <c r="Q669" s="287"/>
      <c r="R669" s="287"/>
      <c r="S669" s="287"/>
      <c r="T669" s="287"/>
      <c r="U669" s="288"/>
      <c r="V669" s="25"/>
      <c r="W669" s="58"/>
      <c r="X669" s="58"/>
      <c r="Y669" s="25"/>
      <c r="Z669" s="45">
        <v>5</v>
      </c>
      <c r="AA669" s="46">
        <v>49</v>
      </c>
      <c r="AB669" s="46">
        <v>60</v>
      </c>
      <c r="AC669" s="25"/>
      <c r="AD669" s="25"/>
      <c r="BA669" s="226"/>
    </row>
    <row r="670" spans="1:53" ht="16.5" thickTop="1" thickBot="1" x14ac:dyDescent="0.3">
      <c r="A670" s="88"/>
      <c r="B670" s="59"/>
      <c r="C670" s="60"/>
      <c r="D670" s="61"/>
      <c r="E670" s="62"/>
      <c r="F670" s="88"/>
      <c r="G670" s="63"/>
      <c r="H670" s="64"/>
      <c r="I670" s="63"/>
      <c r="J670" s="286" t="str">
        <f>IF(AND(OR(E663="RPX", E663="RPX-T", E663="SS"),E664=216),"NO 216 For RPX, RPX-T, OR SS CABLE","---")</f>
        <v>---</v>
      </c>
      <c r="K670" s="287"/>
      <c r="L670" s="288"/>
      <c r="M670" s="286" t="str" cm="1">
        <f t="array" ref="M670">IF(AND(E663="",OR(C673:C697="FST",C673:C697="REV T",C673:C697="DBL REV",C673:C697="TPL REV", C673:C697="QD REV")),"Non-FlexNap cables cannot have tethers","---")</f>
        <v>---</v>
      </c>
      <c r="N670" s="287"/>
      <c r="O670" s="287"/>
      <c r="P670" s="287"/>
      <c r="Q670" s="287"/>
      <c r="R670" s="287"/>
      <c r="S670" s="287"/>
      <c r="T670" s="287"/>
      <c r="U670" s="288"/>
      <c r="V670" s="25"/>
      <c r="W670" s="58"/>
      <c r="X670" s="58"/>
      <c r="Y670" s="25"/>
      <c r="Z670" s="45">
        <v>6</v>
      </c>
      <c r="AA670" s="65">
        <v>61</v>
      </c>
      <c r="AB670" s="65">
        <v>72</v>
      </c>
      <c r="AC670" s="25"/>
      <c r="AD670" s="25"/>
      <c r="BA670" s="225"/>
    </row>
    <row r="671" spans="1:53" ht="15.75" customHeight="1" thickBot="1" x14ac:dyDescent="0.3">
      <c r="A671" s="88"/>
      <c r="B671" s="321" t="s">
        <v>260</v>
      </c>
      <c r="C671" s="293" t="s">
        <v>261</v>
      </c>
      <c r="D671" s="293" t="s">
        <v>262</v>
      </c>
      <c r="E671" s="306" t="s">
        <v>263</v>
      </c>
      <c r="F671" s="293" t="s">
        <v>264</v>
      </c>
      <c r="G671" s="308" t="s">
        <v>265</v>
      </c>
      <c r="H671" s="308" t="s">
        <v>266</v>
      </c>
      <c r="I671" s="308" t="s">
        <v>267</v>
      </c>
      <c r="J671" s="310" t="s">
        <v>268</v>
      </c>
      <c r="K671" s="293" t="s">
        <v>269</v>
      </c>
      <c r="L671" s="280" t="s">
        <v>270</v>
      </c>
      <c r="M671" s="282" t="s">
        <v>271</v>
      </c>
      <c r="N671" s="282"/>
      <c r="O671" s="282"/>
      <c r="P671" s="282"/>
      <c r="Q671" s="282"/>
      <c r="R671" s="282"/>
      <c r="S671" s="282"/>
      <c r="T671" s="282"/>
      <c r="U671" s="283"/>
      <c r="V671" s="107"/>
      <c r="W671" s="72"/>
      <c r="X671" s="72"/>
      <c r="Y671" s="72"/>
      <c r="Z671" s="45">
        <v>7</v>
      </c>
      <c r="AA671" s="65">
        <v>73</v>
      </c>
      <c r="AB671" s="65">
        <v>84</v>
      </c>
      <c r="AC671" s="25"/>
      <c r="AD671" s="25"/>
      <c r="BA671" s="227"/>
    </row>
    <row r="672" spans="1:53" ht="15.75" thickBot="1" x14ac:dyDescent="0.3">
      <c r="A672" s="88"/>
      <c r="B672" s="322"/>
      <c r="C672" s="294"/>
      <c r="D672" s="294"/>
      <c r="E672" s="307"/>
      <c r="F672" s="294"/>
      <c r="G672" s="309"/>
      <c r="H672" s="309"/>
      <c r="I672" s="309"/>
      <c r="J672" s="311"/>
      <c r="K672" s="294"/>
      <c r="L672" s="281"/>
      <c r="M672" s="284"/>
      <c r="N672" s="284"/>
      <c r="O672" s="284"/>
      <c r="P672" s="284"/>
      <c r="Q672" s="284"/>
      <c r="R672" s="284"/>
      <c r="S672" s="284"/>
      <c r="T672" s="284"/>
      <c r="U672" s="285"/>
      <c r="V672" s="107"/>
      <c r="W672" s="72"/>
      <c r="X672" s="72"/>
      <c r="Y672" s="72"/>
      <c r="Z672" s="45">
        <v>8</v>
      </c>
      <c r="AA672" s="46">
        <v>85</v>
      </c>
      <c r="AB672" s="46">
        <v>96</v>
      </c>
      <c r="AC672" s="25"/>
      <c r="AD672" s="25"/>
      <c r="AI672" s="109" t="s">
        <v>272</v>
      </c>
      <c r="AJ672" s="109" t="s">
        <v>273</v>
      </c>
      <c r="AK672" s="109" t="s">
        <v>274</v>
      </c>
      <c r="AL672" s="109" t="s">
        <v>275</v>
      </c>
      <c r="BA672" s="227"/>
    </row>
    <row r="673" spans="1:53" ht="15.75" thickBot="1" x14ac:dyDescent="0.3">
      <c r="A673" s="88"/>
      <c r="B673" s="66" t="s">
        <v>276</v>
      </c>
      <c r="C673" s="67" t="s">
        <v>484</v>
      </c>
      <c r="D673" s="102" t="s">
        <v>790</v>
      </c>
      <c r="E673" s="32">
        <v>4</v>
      </c>
      <c r="F673" s="32" t="s">
        <v>483</v>
      </c>
      <c r="G673" s="68" t="s">
        <v>277</v>
      </c>
      <c r="H673" s="69">
        <f>IF(I673=0,0,I673-(E673-1))</f>
        <v>513</v>
      </c>
      <c r="I673" s="70">
        <f>IF(E673=0,0,I668)</f>
        <v>516</v>
      </c>
      <c r="J673" s="71" t="s">
        <v>278</v>
      </c>
      <c r="K673" s="32"/>
      <c r="L673" s="232"/>
      <c r="M673" s="278"/>
      <c r="N673" s="278"/>
      <c r="O673" s="278"/>
      <c r="P673" s="278"/>
      <c r="Q673" s="278"/>
      <c r="R673" s="278"/>
      <c r="S673" s="278"/>
      <c r="T673" s="278"/>
      <c r="U673" s="279"/>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513-516</v>
      </c>
      <c r="AF673" s="109" t="str">
        <f t="shared" ref="AF673:AF697" si="275">IF(C673="Field SPL","N","Y")</f>
        <v>Y</v>
      </c>
      <c r="AG673" s="109" t="str">
        <f t="shared" ref="AG673:AG697" si="276">IF(OR(E$663="RPX",E$663="SS"),"A","B")</f>
        <v>A</v>
      </c>
      <c r="AH673" s="109">
        <v>2</v>
      </c>
      <c r="AI673" s="109" t="str">
        <f>IF(E663="SS",COUNTIFS(C673:C697,"TCF",E673:E697,"2"),"")</f>
        <v/>
      </c>
      <c r="AJ673" s="109">
        <f>IF(E663="RPX",COUNTIFS(C673:C697,"TCF",E673:E697,"2"),"")</f>
        <v>0</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8">
        <f>MOD(E673,12)</f>
        <v>4</v>
      </c>
    </row>
    <row r="674" spans="1:53" ht="15.75" thickBot="1" x14ac:dyDescent="0.3">
      <c r="A674" s="88"/>
      <c r="B674" s="66" t="s">
        <v>279</v>
      </c>
      <c r="C674" s="67" t="s">
        <v>484</v>
      </c>
      <c r="D674" s="102" t="s">
        <v>791</v>
      </c>
      <c r="E674" s="32">
        <v>4</v>
      </c>
      <c r="F674" s="32" t="s">
        <v>483</v>
      </c>
      <c r="G674" s="68" t="s">
        <v>277</v>
      </c>
      <c r="H674" s="69">
        <f t="shared" ref="H674:H697" si="281">IF(E674=0,0,I674-(E674-1))</f>
        <v>509</v>
      </c>
      <c r="I674" s="70">
        <f t="shared" ref="I674:I697" si="282">IF(E674=0,0,H673-1)</f>
        <v>512</v>
      </c>
      <c r="J674" s="73" t="str">
        <f>IF(C674="","--",IF(AND(C674&lt;&gt;"FST",C674&lt;&gt;"TCF",BA673&lt;&gt;0),BA673,"--"))</f>
        <v>--</v>
      </c>
      <c r="K674" s="32"/>
      <c r="L674" s="232"/>
      <c r="M674" s="278"/>
      <c r="N674" s="278"/>
      <c r="O674" s="278"/>
      <c r="P674" s="278"/>
      <c r="Q674" s="278"/>
      <c r="R674" s="278"/>
      <c r="S674" s="278"/>
      <c r="T674" s="278"/>
      <c r="U674" s="279"/>
      <c r="V674" s="103"/>
      <c r="W674" s="72"/>
      <c r="X674" s="72"/>
      <c r="Y674" s="72"/>
      <c r="Z674" s="45">
        <v>10</v>
      </c>
      <c r="AA674" s="46">
        <v>109</v>
      </c>
      <c r="AB674" s="46">
        <v>120</v>
      </c>
      <c r="AC674" s="72">
        <f t="shared" si="272"/>
        <v>1</v>
      </c>
      <c r="AD674" s="72">
        <f t="shared" si="273"/>
        <v>0</v>
      </c>
      <c r="AE674" s="109" t="str">
        <f t="shared" si="274"/>
        <v>509-512</v>
      </c>
      <c r="AF674" s="109" t="str">
        <f t="shared" si="275"/>
        <v>Y</v>
      </c>
      <c r="AG674" s="109" t="str">
        <f t="shared" si="276"/>
        <v>A</v>
      </c>
      <c r="AH674" s="109">
        <v>4</v>
      </c>
      <c r="AI674" s="109" t="str">
        <f>IF(E663="SS",COUNTIFS(C673:C697,"TCF",E673:E697,"4"),"")</f>
        <v/>
      </c>
      <c r="AJ674" s="109">
        <f>IF(E663="RPX",COUNTIFS(C673:C697,"TCF",E673:E697,"4"),"")</f>
        <v>0</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8">
        <f>MOD(SUM(E673:E674),12)</f>
        <v>8</v>
      </c>
    </row>
    <row r="675" spans="1:53" ht="15.75" thickBot="1" x14ac:dyDescent="0.3">
      <c r="A675" s="88"/>
      <c r="B675" s="74" t="s">
        <v>280</v>
      </c>
      <c r="C675" s="67" t="s">
        <v>484</v>
      </c>
      <c r="D675" s="102" t="s">
        <v>769</v>
      </c>
      <c r="E675" s="32">
        <v>4</v>
      </c>
      <c r="F675" s="32" t="s">
        <v>483</v>
      </c>
      <c r="G675" s="75" t="s">
        <v>277</v>
      </c>
      <c r="H675" s="69">
        <f t="shared" si="281"/>
        <v>505</v>
      </c>
      <c r="I675" s="70">
        <f t="shared" si="282"/>
        <v>508</v>
      </c>
      <c r="J675" s="73" t="str">
        <f t="shared" ref="J675:J697" si="283">IF(C675="","--",IF(AND(C675&lt;&gt;"FST",C675&lt;&gt;"TCF",BA674&lt;&gt;0),BA674,"--"))</f>
        <v>--</v>
      </c>
      <c r="K675" s="32"/>
      <c r="L675" s="232"/>
      <c r="M675" s="278"/>
      <c r="N675" s="278"/>
      <c r="O675" s="278"/>
      <c r="P675" s="278"/>
      <c r="Q675" s="278"/>
      <c r="R675" s="278"/>
      <c r="S675" s="278"/>
      <c r="T675" s="278"/>
      <c r="U675" s="279"/>
      <c r="V675" s="103"/>
      <c r="W675" s="72"/>
      <c r="X675" s="72"/>
      <c r="Y675" s="72"/>
      <c r="Z675" s="45">
        <v>11</v>
      </c>
      <c r="AA675" s="46">
        <v>121</v>
      </c>
      <c r="AB675" s="46">
        <v>132</v>
      </c>
      <c r="AC675" s="72">
        <f t="shared" si="272"/>
        <v>1</v>
      </c>
      <c r="AD675" s="72">
        <f t="shared" si="273"/>
        <v>0</v>
      </c>
      <c r="AE675" s="109" t="str">
        <f t="shared" si="274"/>
        <v>505-508</v>
      </c>
      <c r="AF675" s="109" t="str">
        <f t="shared" si="275"/>
        <v>Y</v>
      </c>
      <c r="AG675" s="109" t="str">
        <f t="shared" si="276"/>
        <v>A</v>
      </c>
      <c r="AH675" s="109">
        <v>6</v>
      </c>
      <c r="AI675" s="109" t="str">
        <f>IF(E663="SS",COUNTIFS(C673:C697,"TCF",E673:E697,"6"),"")</f>
        <v/>
      </c>
      <c r="AJ675" s="109">
        <f>IF(E663="RPX",COUNTIFS(C673:C697,"TCF",E673:E697,"6"),"")</f>
        <v>0</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8">
        <f>MOD(SUM(E673:E676),12)</f>
        <v>4</v>
      </c>
    </row>
    <row r="676" spans="1:53" ht="15.75" thickBot="1" x14ac:dyDescent="0.3">
      <c r="A676" s="88"/>
      <c r="B676" s="66" t="s">
        <v>281</v>
      </c>
      <c r="C676" s="67" t="s">
        <v>484</v>
      </c>
      <c r="D676" s="102" t="s">
        <v>770</v>
      </c>
      <c r="E676" s="32">
        <v>4</v>
      </c>
      <c r="F676" s="32" t="s">
        <v>483</v>
      </c>
      <c r="G676" s="68" t="s">
        <v>277</v>
      </c>
      <c r="H676" s="69">
        <f t="shared" si="281"/>
        <v>501</v>
      </c>
      <c r="I676" s="70">
        <f t="shared" si="282"/>
        <v>504</v>
      </c>
      <c r="J676" s="73" t="str">
        <f t="shared" si="283"/>
        <v>--</v>
      </c>
      <c r="K676" s="32"/>
      <c r="L676" s="232"/>
      <c r="M676" s="278"/>
      <c r="N676" s="278"/>
      <c r="O676" s="278"/>
      <c r="P676" s="278"/>
      <c r="Q676" s="278"/>
      <c r="R676" s="278"/>
      <c r="S676" s="278"/>
      <c r="T676" s="278"/>
      <c r="U676" s="279"/>
      <c r="V676" s="103"/>
      <c r="W676" s="72"/>
      <c r="X676" s="72"/>
      <c r="Y676" s="72"/>
      <c r="Z676" s="45">
        <v>12</v>
      </c>
      <c r="AA676" s="76">
        <v>133</v>
      </c>
      <c r="AB676" s="76">
        <v>144</v>
      </c>
      <c r="AC676" s="72">
        <f t="shared" si="272"/>
        <v>1</v>
      </c>
      <c r="AD676" s="72">
        <f t="shared" si="273"/>
        <v>0</v>
      </c>
      <c r="AE676" s="109" t="str">
        <f t="shared" si="274"/>
        <v>501-504</v>
      </c>
      <c r="AF676" s="109" t="str">
        <f t="shared" si="275"/>
        <v>Y</v>
      </c>
      <c r="AG676" s="109" t="str">
        <f t="shared" si="276"/>
        <v>A</v>
      </c>
      <c r="AH676" s="109">
        <v>8</v>
      </c>
      <c r="AI676" s="109" t="str">
        <f>IF(E663="SS",COUNTIFS(C673:C697,"TCF",E673:E697,"8"),"")</f>
        <v/>
      </c>
      <c r="AJ676" s="109">
        <f>IF(E663="RPX",COUNTIFS(C673:C697,"TCF",E673:E697,"8"),"")</f>
        <v>0</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8">
        <f>MOD(SUM(E673:E677),12)</f>
        <v>0</v>
      </c>
    </row>
    <row r="677" spans="1:53" ht="15.75" thickBot="1" x14ac:dyDescent="0.3">
      <c r="A677" s="88"/>
      <c r="B677" s="66" t="s">
        <v>282</v>
      </c>
      <c r="C677" s="67" t="s">
        <v>484</v>
      </c>
      <c r="D677" s="102" t="s">
        <v>772</v>
      </c>
      <c r="E677" s="32">
        <v>8</v>
      </c>
      <c r="F677" s="32" t="s">
        <v>483</v>
      </c>
      <c r="G677" s="68" t="s">
        <v>277</v>
      </c>
      <c r="H677" s="69">
        <f t="shared" si="281"/>
        <v>493</v>
      </c>
      <c r="I677" s="70">
        <f t="shared" si="282"/>
        <v>500</v>
      </c>
      <c r="J677" s="73" t="str">
        <f t="shared" si="283"/>
        <v>--</v>
      </c>
      <c r="K677" s="32"/>
      <c r="L677" s="232"/>
      <c r="M677" s="278"/>
      <c r="N677" s="278"/>
      <c r="O677" s="278"/>
      <c r="P677" s="278"/>
      <c r="Q677" s="278"/>
      <c r="R677" s="278"/>
      <c r="S677" s="278"/>
      <c r="T677" s="278"/>
      <c r="U677" s="279"/>
      <c r="V677" s="103"/>
      <c r="W677" s="72"/>
      <c r="X677" s="72"/>
      <c r="Y677" s="72"/>
      <c r="Z677" s="45">
        <v>13</v>
      </c>
      <c r="AA677" s="77">
        <f t="shared" ref="AA677:AA682" si="284">AB676+1</f>
        <v>145</v>
      </c>
      <c r="AB677" s="77">
        <f t="shared" ref="AB677:AB682" si="285">AB676+12</f>
        <v>156</v>
      </c>
      <c r="AC677" s="72">
        <f t="shared" si="272"/>
        <v>1</v>
      </c>
      <c r="AD677" s="72">
        <f t="shared" si="273"/>
        <v>0</v>
      </c>
      <c r="AE677" s="109" t="str">
        <f t="shared" si="274"/>
        <v>493-500</v>
      </c>
      <c r="AF677" s="109" t="str">
        <f t="shared" si="275"/>
        <v>Y</v>
      </c>
      <c r="AG677" s="109" t="str">
        <f t="shared" si="276"/>
        <v>A</v>
      </c>
      <c r="AH677" s="109">
        <v>12</v>
      </c>
      <c r="AI677" s="109" t="str">
        <f>IF(E663="SS",COUNTIFS(C673:C697,"TCF",E673:E697,"12"),"")</f>
        <v/>
      </c>
      <c r="AJ677" s="109">
        <f>IF(E663="RPX",COUNTIFS(C673:C697,"TCF",E673:E697,"12"),"")</f>
        <v>0</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8">
        <f>MOD(SUM(E673:E678),12)</f>
        <v>0</v>
      </c>
    </row>
    <row r="678" spans="1:53" ht="15.75" thickBot="1" x14ac:dyDescent="0.3">
      <c r="A678" s="88"/>
      <c r="B678" s="66" t="s">
        <v>283</v>
      </c>
      <c r="C678" s="67" t="s">
        <v>502</v>
      </c>
      <c r="D678" s="102"/>
      <c r="E678" s="32">
        <v>36</v>
      </c>
      <c r="F678" s="32"/>
      <c r="G678" s="68" t="s">
        <v>277</v>
      </c>
      <c r="H678" s="69">
        <f t="shared" si="281"/>
        <v>457</v>
      </c>
      <c r="I678" s="70">
        <f t="shared" si="282"/>
        <v>492</v>
      </c>
      <c r="J678" s="73" t="str">
        <f t="shared" si="283"/>
        <v>--</v>
      </c>
      <c r="K678" s="32"/>
      <c r="L678" s="232"/>
      <c r="M678" s="278" t="s">
        <v>420</v>
      </c>
      <c r="N678" s="278"/>
      <c r="O678" s="278"/>
      <c r="P678" s="278"/>
      <c r="Q678" s="278"/>
      <c r="R678" s="278"/>
      <c r="S678" s="278"/>
      <c r="T678" s="278"/>
      <c r="U678" s="279"/>
      <c r="V678" s="103"/>
      <c r="W678" s="72"/>
      <c r="X678" s="72"/>
      <c r="Y678" s="72"/>
      <c r="Z678" s="45">
        <v>14</v>
      </c>
      <c r="AA678" s="77">
        <f t="shared" si="284"/>
        <v>157</v>
      </c>
      <c r="AB678" s="77">
        <f t="shared" si="285"/>
        <v>168</v>
      </c>
      <c r="AC678" s="72">
        <f t="shared" si="272"/>
        <v>1</v>
      </c>
      <c r="AD678" s="72">
        <f t="shared" si="273"/>
        <v>1</v>
      </c>
      <c r="AE678" s="109" t="str">
        <f t="shared" si="274"/>
        <v>457-492</v>
      </c>
      <c r="AF678" s="109" t="str">
        <f t="shared" si="275"/>
        <v>N</v>
      </c>
      <c r="AG678" s="109" t="str">
        <f t="shared" si="276"/>
        <v>A</v>
      </c>
      <c r="AM678" s="109">
        <f t="shared" si="277"/>
        <v>0</v>
      </c>
      <c r="AN678" s="109">
        <f t="shared" si="278"/>
        <v>0</v>
      </c>
      <c r="AO678" s="109" t="str">
        <f t="shared" si="279"/>
        <v/>
      </c>
      <c r="AQ678" s="109" t="str">
        <f t="shared" si="280"/>
        <v/>
      </c>
      <c r="BA678" s="228">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2"/>
      <c r="M679" s="278"/>
      <c r="N679" s="278"/>
      <c r="O679" s="278"/>
      <c r="P679" s="278"/>
      <c r="Q679" s="278"/>
      <c r="R679" s="278"/>
      <c r="S679" s="278"/>
      <c r="T679" s="278"/>
      <c r="U679" s="279"/>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A</v>
      </c>
      <c r="AM679" s="109">
        <f t="shared" si="277"/>
        <v>0</v>
      </c>
      <c r="AN679" s="109">
        <f t="shared" si="278"/>
        <v>0</v>
      </c>
      <c r="AO679" s="109" t="str">
        <f t="shared" si="279"/>
        <v/>
      </c>
      <c r="AQ679" s="109" t="str">
        <f t="shared" si="280"/>
        <v/>
      </c>
      <c r="BA679" s="228">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2"/>
      <c r="M680" s="278"/>
      <c r="N680" s="278"/>
      <c r="O680" s="278"/>
      <c r="P680" s="278"/>
      <c r="Q680" s="278"/>
      <c r="R680" s="278"/>
      <c r="S680" s="278"/>
      <c r="T680" s="278"/>
      <c r="U680" s="279"/>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A</v>
      </c>
      <c r="AM680" s="109">
        <f t="shared" si="277"/>
        <v>0</v>
      </c>
      <c r="AN680" s="109">
        <f t="shared" si="278"/>
        <v>0</v>
      </c>
      <c r="AO680" s="109" t="str">
        <f t="shared" si="279"/>
        <v/>
      </c>
      <c r="AQ680" s="109" t="str">
        <f t="shared" si="280"/>
        <v/>
      </c>
      <c r="BA680" s="228">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2"/>
      <c r="M681" s="278"/>
      <c r="N681" s="278"/>
      <c r="O681" s="278"/>
      <c r="P681" s="278"/>
      <c r="Q681" s="278"/>
      <c r="R681" s="278"/>
      <c r="S681" s="278"/>
      <c r="T681" s="278"/>
      <c r="U681" s="279"/>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A</v>
      </c>
      <c r="AM681" s="109">
        <f t="shared" si="277"/>
        <v>0</v>
      </c>
      <c r="AN681" s="109">
        <f t="shared" si="278"/>
        <v>0</v>
      </c>
      <c r="AO681" s="109" t="str">
        <f t="shared" si="279"/>
        <v/>
      </c>
      <c r="AQ681" s="109" t="str">
        <f t="shared" si="280"/>
        <v/>
      </c>
      <c r="BA681" s="228">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2"/>
      <c r="M682" s="278"/>
      <c r="N682" s="278"/>
      <c r="O682" s="278"/>
      <c r="P682" s="278"/>
      <c r="Q682" s="278"/>
      <c r="R682" s="278"/>
      <c r="S682" s="278"/>
      <c r="T682" s="278"/>
      <c r="U682" s="279"/>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A</v>
      </c>
      <c r="AM682" s="109">
        <f t="shared" si="277"/>
        <v>0</v>
      </c>
      <c r="AN682" s="109">
        <f t="shared" si="278"/>
        <v>0</v>
      </c>
      <c r="AO682" s="109" t="str">
        <f t="shared" si="279"/>
        <v/>
      </c>
      <c r="AQ682" s="109" t="str">
        <f t="shared" si="280"/>
        <v/>
      </c>
      <c r="BA682" s="228">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2"/>
      <c r="M683" s="278"/>
      <c r="N683" s="278"/>
      <c r="O683" s="278"/>
      <c r="P683" s="278"/>
      <c r="Q683" s="278"/>
      <c r="R683" s="278"/>
      <c r="S683" s="278"/>
      <c r="T683" s="278"/>
      <c r="U683" s="279"/>
      <c r="V683" s="103"/>
      <c r="W683" s="84"/>
      <c r="X683" s="84"/>
      <c r="Y683" s="72"/>
      <c r="Z683" s="72"/>
      <c r="AA683" s="72"/>
      <c r="AB683" s="72"/>
      <c r="AC683" s="72">
        <f t="shared" si="272"/>
        <v>1</v>
      </c>
      <c r="AD683" s="72">
        <f t="shared" si="273"/>
        <v>1</v>
      </c>
      <c r="AE683" s="109" t="str">
        <f t="shared" si="274"/>
        <v>0-0</v>
      </c>
      <c r="AF683" s="109" t="str">
        <f t="shared" si="275"/>
        <v>Y</v>
      </c>
      <c r="AG683" s="109" t="str">
        <f t="shared" si="276"/>
        <v>A</v>
      </c>
      <c r="AM683" s="109">
        <f t="shared" si="277"/>
        <v>0</v>
      </c>
      <c r="AN683" s="109">
        <f t="shared" si="278"/>
        <v>0</v>
      </c>
      <c r="AO683" s="109" t="str">
        <f t="shared" si="279"/>
        <v/>
      </c>
      <c r="AQ683" s="109" t="str">
        <f t="shared" si="280"/>
        <v/>
      </c>
      <c r="BA683" s="228">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2"/>
      <c r="M684" s="278"/>
      <c r="N684" s="278"/>
      <c r="O684" s="278"/>
      <c r="P684" s="278"/>
      <c r="Q684" s="278"/>
      <c r="R684" s="278"/>
      <c r="S684" s="278"/>
      <c r="T684" s="278"/>
      <c r="U684" s="279"/>
      <c r="V684" s="103"/>
      <c r="W684" s="84">
        <f>Y684+1</f>
        <v>61</v>
      </c>
      <c r="X684" s="84"/>
      <c r="Y684" s="78">
        <f>SUM(E673:E684)</f>
        <v>60</v>
      </c>
      <c r="Z684" s="72"/>
      <c r="AA684" s="72"/>
      <c r="AB684" s="72"/>
      <c r="AC684" s="72">
        <f t="shared" si="272"/>
        <v>1</v>
      </c>
      <c r="AD684" s="72">
        <f t="shared" si="273"/>
        <v>1</v>
      </c>
      <c r="AE684" s="109" t="str">
        <f t="shared" si="274"/>
        <v>0-0</v>
      </c>
      <c r="AF684" s="109" t="str">
        <f t="shared" si="275"/>
        <v>Y</v>
      </c>
      <c r="AG684" s="109" t="str">
        <f t="shared" si="276"/>
        <v>A</v>
      </c>
      <c r="AM684" s="109">
        <f t="shared" si="277"/>
        <v>0</v>
      </c>
      <c r="AN684" s="109">
        <f t="shared" si="278"/>
        <v>0</v>
      </c>
      <c r="AO684" s="109" t="str">
        <f t="shared" si="279"/>
        <v/>
      </c>
      <c r="AQ684" s="109" t="str">
        <f t="shared" si="280"/>
        <v/>
      </c>
      <c r="BA684" s="228">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2"/>
      <c r="M685" s="278"/>
      <c r="N685" s="278"/>
      <c r="O685" s="278"/>
      <c r="P685" s="278"/>
      <c r="Q685" s="278"/>
      <c r="R685" s="278"/>
      <c r="S685" s="278"/>
      <c r="T685" s="278"/>
      <c r="U685" s="279"/>
      <c r="V685" s="103"/>
      <c r="W685" s="84">
        <f>Y685+1</f>
        <v>61</v>
      </c>
      <c r="X685" s="84"/>
      <c r="Y685" s="78">
        <f>SUM(E673:E685)</f>
        <v>60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A</v>
      </c>
      <c r="AM685" s="109">
        <f t="shared" si="277"/>
        <v>0</v>
      </c>
      <c r="AN685" s="109">
        <f t="shared" si="278"/>
        <v>0</v>
      </c>
      <c r="AO685" s="109" t="str">
        <f t="shared" si="279"/>
        <v/>
      </c>
      <c r="AQ685" s="109" t="str">
        <f t="shared" si="280"/>
        <v/>
      </c>
      <c r="BA685" s="228">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2"/>
      <c r="M686" s="278"/>
      <c r="N686" s="278"/>
      <c r="O686" s="278"/>
      <c r="P686" s="278"/>
      <c r="Q686" s="278"/>
      <c r="R686" s="278"/>
      <c r="S686" s="278"/>
      <c r="T686" s="278"/>
      <c r="U686" s="279"/>
      <c r="V686" s="103"/>
      <c r="W686" s="84">
        <f>Y686+1</f>
        <v>61</v>
      </c>
      <c r="X686" s="84"/>
      <c r="Y686" s="78">
        <f>SUM(E673:E686)</f>
        <v>60</v>
      </c>
      <c r="Z686" s="72" t="str">
        <f t="shared" si="286"/>
        <v/>
      </c>
      <c r="AA686" s="72"/>
      <c r="AB686" s="72"/>
      <c r="AC686" s="72">
        <f t="shared" si="272"/>
        <v>1</v>
      </c>
      <c r="AD686" s="72">
        <f t="shared" si="273"/>
        <v>1</v>
      </c>
      <c r="AE686" s="109" t="str">
        <f t="shared" si="274"/>
        <v>0-0</v>
      </c>
      <c r="AF686" s="109" t="str">
        <f t="shared" si="275"/>
        <v>Y</v>
      </c>
      <c r="AG686" s="109" t="str">
        <f t="shared" si="276"/>
        <v>A</v>
      </c>
      <c r="AM686" s="109">
        <f t="shared" si="277"/>
        <v>0</v>
      </c>
      <c r="AN686" s="109">
        <f t="shared" si="278"/>
        <v>0</v>
      </c>
      <c r="AO686" s="109" t="str">
        <f t="shared" si="279"/>
        <v/>
      </c>
      <c r="AQ686" s="109" t="str">
        <f t="shared" si="280"/>
        <v/>
      </c>
      <c r="BA686" s="228">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2"/>
      <c r="M687" s="278"/>
      <c r="N687" s="278"/>
      <c r="O687" s="278"/>
      <c r="P687" s="278"/>
      <c r="Q687" s="278"/>
      <c r="R687" s="278"/>
      <c r="S687" s="278"/>
      <c r="T687" s="278"/>
      <c r="U687" s="279"/>
      <c r="V687" s="103"/>
      <c r="W687" s="84">
        <f>Y687+1</f>
        <v>61</v>
      </c>
      <c r="X687" s="84"/>
      <c r="Y687" s="78">
        <f>SUM(E673:E687)</f>
        <v>60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A</v>
      </c>
      <c r="AM687" s="109">
        <f t="shared" si="277"/>
        <v>0</v>
      </c>
      <c r="AN687" s="109">
        <f t="shared" si="278"/>
        <v>0</v>
      </c>
      <c r="AO687" s="109" t="str">
        <f t="shared" si="279"/>
        <v/>
      </c>
      <c r="AQ687" s="109" t="str">
        <f t="shared" si="280"/>
        <v/>
      </c>
      <c r="BA687" s="228">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2"/>
      <c r="M688" s="278"/>
      <c r="N688" s="278"/>
      <c r="O688" s="278"/>
      <c r="P688" s="278"/>
      <c r="Q688" s="278"/>
      <c r="R688" s="278"/>
      <c r="S688" s="278"/>
      <c r="T688" s="278"/>
      <c r="U688" s="279"/>
      <c r="V688" s="103"/>
      <c r="W688" s="84">
        <f t="shared" ref="W688:W696" si="288">Y688+1</f>
        <v>61</v>
      </c>
      <c r="X688" s="84"/>
      <c r="Y688" s="78">
        <f>SUM(E673:E688)</f>
        <v>60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A</v>
      </c>
      <c r="AM688" s="109">
        <f t="shared" si="277"/>
        <v>0</v>
      </c>
      <c r="AN688" s="109">
        <f t="shared" si="278"/>
        <v>0</v>
      </c>
      <c r="AO688" s="109" t="str">
        <f t="shared" si="279"/>
        <v/>
      </c>
      <c r="AQ688" s="109" t="str">
        <f t="shared" si="280"/>
        <v/>
      </c>
      <c r="BA688" s="228">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2"/>
      <c r="M689" s="278"/>
      <c r="N689" s="278"/>
      <c r="O689" s="278"/>
      <c r="P689" s="278"/>
      <c r="Q689" s="278"/>
      <c r="R689" s="278"/>
      <c r="S689" s="278"/>
      <c r="T689" s="278"/>
      <c r="U689" s="279"/>
      <c r="V689" s="103"/>
      <c r="W689" s="84">
        <f t="shared" si="288"/>
        <v>61</v>
      </c>
      <c r="X689" s="84"/>
      <c r="Y689" s="78">
        <f>SUM(E673:E689)</f>
        <v>60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A</v>
      </c>
      <c r="AM689" s="109">
        <f t="shared" si="277"/>
        <v>0</v>
      </c>
      <c r="AN689" s="109">
        <f t="shared" si="278"/>
        <v>0</v>
      </c>
      <c r="AO689" s="109" t="str">
        <f t="shared" si="279"/>
        <v/>
      </c>
      <c r="AQ689" s="109" t="str">
        <f t="shared" si="280"/>
        <v/>
      </c>
      <c r="BA689" s="228">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2"/>
      <c r="M690" s="278"/>
      <c r="N690" s="278"/>
      <c r="O690" s="278"/>
      <c r="P690" s="278"/>
      <c r="Q690" s="278"/>
      <c r="R690" s="278"/>
      <c r="S690" s="278"/>
      <c r="T690" s="278"/>
      <c r="U690" s="279"/>
      <c r="V690" s="103"/>
      <c r="W690" s="84">
        <f t="shared" si="288"/>
        <v>61</v>
      </c>
      <c r="X690" s="84"/>
      <c r="Y690" s="78">
        <f>SUM(E673:E690)</f>
        <v>60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A</v>
      </c>
      <c r="AM690" s="109">
        <f t="shared" si="277"/>
        <v>0</v>
      </c>
      <c r="AN690" s="109">
        <f t="shared" si="278"/>
        <v>0</v>
      </c>
      <c r="AO690" s="109" t="str">
        <f t="shared" si="279"/>
        <v/>
      </c>
      <c r="AQ690" s="109" t="str">
        <f t="shared" si="280"/>
        <v/>
      </c>
      <c r="BA690" s="228">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2"/>
      <c r="M691" s="278"/>
      <c r="N691" s="278"/>
      <c r="O691" s="278"/>
      <c r="P691" s="278"/>
      <c r="Q691" s="278"/>
      <c r="R691" s="278"/>
      <c r="S691" s="278"/>
      <c r="T691" s="278"/>
      <c r="U691" s="279"/>
      <c r="V691" s="103"/>
      <c r="W691" s="84">
        <f t="shared" si="288"/>
        <v>61</v>
      </c>
      <c r="X691" s="84"/>
      <c r="Y691" s="78">
        <f>SUM(E673:E691)</f>
        <v>60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A</v>
      </c>
      <c r="AM691" s="109">
        <f t="shared" si="277"/>
        <v>0</v>
      </c>
      <c r="AN691" s="109">
        <f t="shared" si="278"/>
        <v>0</v>
      </c>
      <c r="AO691" s="109" t="str">
        <f t="shared" si="279"/>
        <v/>
      </c>
      <c r="AQ691" s="109" t="str">
        <f t="shared" si="280"/>
        <v/>
      </c>
      <c r="BA691" s="228">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2"/>
      <c r="M692" s="278"/>
      <c r="N692" s="278"/>
      <c r="O692" s="278"/>
      <c r="P692" s="278"/>
      <c r="Q692" s="278"/>
      <c r="R692" s="278"/>
      <c r="S692" s="278"/>
      <c r="T692" s="278"/>
      <c r="U692" s="279"/>
      <c r="V692" s="103"/>
      <c r="W692" s="84">
        <f t="shared" si="288"/>
        <v>61</v>
      </c>
      <c r="X692" s="84"/>
      <c r="Y692" s="78">
        <f>SUM(E673:E692)</f>
        <v>60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A</v>
      </c>
      <c r="AM692" s="109">
        <f t="shared" si="277"/>
        <v>0</v>
      </c>
      <c r="AN692" s="109">
        <f t="shared" si="278"/>
        <v>0</v>
      </c>
      <c r="AO692" s="109" t="str">
        <f t="shared" si="279"/>
        <v/>
      </c>
      <c r="AQ692" s="109" t="str">
        <f t="shared" si="280"/>
        <v/>
      </c>
      <c r="BA692" s="228">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2"/>
      <c r="M693" s="278"/>
      <c r="N693" s="278"/>
      <c r="O693" s="278"/>
      <c r="P693" s="278"/>
      <c r="Q693" s="278"/>
      <c r="R693" s="278"/>
      <c r="S693" s="278"/>
      <c r="T693" s="278"/>
      <c r="U693" s="279"/>
      <c r="V693" s="103"/>
      <c r="W693" s="84">
        <f t="shared" si="288"/>
        <v>61</v>
      </c>
      <c r="X693" s="84"/>
      <c r="Y693" s="78">
        <f>SUM(E673:E693)</f>
        <v>60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A</v>
      </c>
      <c r="AM693" s="109">
        <f t="shared" si="277"/>
        <v>0</v>
      </c>
      <c r="AN693" s="109">
        <f t="shared" si="278"/>
        <v>0</v>
      </c>
      <c r="AO693" s="109" t="str">
        <f t="shared" si="279"/>
        <v/>
      </c>
      <c r="AQ693" s="109" t="str">
        <f t="shared" si="280"/>
        <v/>
      </c>
      <c r="BA693" s="228">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2"/>
      <c r="M694" s="278"/>
      <c r="N694" s="278"/>
      <c r="O694" s="278"/>
      <c r="P694" s="278"/>
      <c r="Q694" s="278"/>
      <c r="R694" s="278"/>
      <c r="S694" s="278"/>
      <c r="T694" s="278"/>
      <c r="U694" s="279"/>
      <c r="V694" s="103"/>
      <c r="W694" s="84">
        <f t="shared" si="288"/>
        <v>61</v>
      </c>
      <c r="X694" s="84"/>
      <c r="Y694" s="78">
        <f>SUM(E673:E694)</f>
        <v>60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A</v>
      </c>
      <c r="AM694" s="109">
        <f t="shared" si="277"/>
        <v>0</v>
      </c>
      <c r="AN694" s="109">
        <f t="shared" si="278"/>
        <v>0</v>
      </c>
      <c r="AO694" s="109" t="str">
        <f t="shared" si="279"/>
        <v/>
      </c>
      <c r="AQ694" s="109" t="str">
        <f t="shared" si="280"/>
        <v/>
      </c>
      <c r="BA694" s="228">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2"/>
      <c r="M695" s="278"/>
      <c r="N695" s="278"/>
      <c r="O695" s="278"/>
      <c r="P695" s="278"/>
      <c r="Q695" s="278"/>
      <c r="R695" s="278"/>
      <c r="S695" s="278"/>
      <c r="T695" s="278"/>
      <c r="U695" s="279"/>
      <c r="V695" s="103"/>
      <c r="W695" s="84">
        <f t="shared" si="288"/>
        <v>61</v>
      </c>
      <c r="X695" s="84"/>
      <c r="Y695" s="78">
        <f>SUM(E673:E695)</f>
        <v>60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A</v>
      </c>
      <c r="AM695" s="109">
        <f t="shared" si="277"/>
        <v>0</v>
      </c>
      <c r="AN695" s="109">
        <f t="shared" si="278"/>
        <v>0</v>
      </c>
      <c r="AO695" s="109" t="str">
        <f t="shared" si="279"/>
        <v/>
      </c>
      <c r="AQ695" s="109" t="str">
        <f t="shared" si="280"/>
        <v/>
      </c>
      <c r="BA695" s="228">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2"/>
      <c r="M696" s="278"/>
      <c r="N696" s="278"/>
      <c r="O696" s="278"/>
      <c r="P696" s="278"/>
      <c r="Q696" s="278"/>
      <c r="R696" s="278"/>
      <c r="S696" s="278"/>
      <c r="T696" s="278"/>
      <c r="U696" s="279"/>
      <c r="V696" s="103"/>
      <c r="W696" s="84">
        <f t="shared" si="288"/>
        <v>61</v>
      </c>
      <c r="X696" s="84"/>
      <c r="Y696" s="78">
        <f>SUM(E673:E696)</f>
        <v>60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A</v>
      </c>
      <c r="AM696" s="109">
        <f t="shared" si="277"/>
        <v>0</v>
      </c>
      <c r="AN696" s="109">
        <f t="shared" si="278"/>
        <v>0</v>
      </c>
      <c r="AO696" s="109" t="str">
        <f t="shared" si="279"/>
        <v/>
      </c>
      <c r="AQ696" s="109" t="str">
        <f t="shared" si="280"/>
        <v/>
      </c>
      <c r="BA696" s="228">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3"/>
      <c r="M697" s="278"/>
      <c r="N697" s="278"/>
      <c r="O697" s="278"/>
      <c r="P697" s="278"/>
      <c r="Q697" s="278"/>
      <c r="R697" s="278"/>
      <c r="S697" s="278"/>
      <c r="T697" s="278"/>
      <c r="U697" s="279"/>
      <c r="V697" s="103"/>
      <c r="W697" s="72"/>
      <c r="X697" s="72"/>
      <c r="Y697" s="78">
        <f>SUM(E673:E697)</f>
        <v>60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A</v>
      </c>
      <c r="AM697" s="109">
        <f t="shared" si="277"/>
        <v>0</v>
      </c>
      <c r="AN697" s="109">
        <f t="shared" si="278"/>
        <v>0</v>
      </c>
      <c r="AO697" s="109" t="str">
        <f t="shared" si="279"/>
        <v/>
      </c>
      <c r="AQ697" s="109" t="str">
        <f t="shared" si="280"/>
        <v/>
      </c>
      <c r="BA697" s="227"/>
    </row>
    <row r="698" spans="1:53" ht="16.5" thickBot="1" x14ac:dyDescent="0.3">
      <c r="A698" s="88"/>
      <c r="B698" s="319" t="s">
        <v>337</v>
      </c>
      <c r="C698" s="320"/>
      <c r="D698" s="79"/>
      <c r="E698" s="80"/>
      <c r="F698" s="80"/>
      <c r="G698" s="81"/>
      <c r="H698" s="191"/>
      <c r="I698" s="191"/>
      <c r="J698" s="191"/>
      <c r="K698" s="82"/>
      <c r="L698" s="319" t="s">
        <v>306</v>
      </c>
      <c r="M698" s="330"/>
      <c r="N698" s="330"/>
      <c r="O698" s="330"/>
      <c r="P698" s="330"/>
      <c r="Q698" s="330"/>
      <c r="R698" s="330"/>
      <c r="S698" s="330"/>
      <c r="T698" s="330"/>
      <c r="U698" s="320"/>
      <c r="V698" s="104"/>
      <c r="W698" s="72"/>
      <c r="X698" s="72"/>
      <c r="Y698" s="72"/>
      <c r="Z698" s="72"/>
      <c r="AA698" s="72" t="str">
        <f t="shared" si="287"/>
        <v/>
      </c>
      <c r="AB698" s="72"/>
      <c r="AC698" s="72">
        <f>SUM(AC673:AC697)</f>
        <v>25</v>
      </c>
      <c r="AD698" s="72">
        <f>SUM(AD673:AD697)</f>
        <v>20</v>
      </c>
      <c r="AM698" s="109">
        <f>SUM(AM673:AM697)</f>
        <v>0</v>
      </c>
      <c r="AN698" s="109">
        <f>SUM(AN673:AN697)</f>
        <v>0</v>
      </c>
      <c r="AO698" s="109">
        <f>((COUNTIF(AO673:AO697,"Y")/3)*2)</f>
        <v>0</v>
      </c>
      <c r="AP698" s="109">
        <f>(COUNTIF(AO673:AO697,"Y")/3)</f>
        <v>0</v>
      </c>
      <c r="AQ698" s="109">
        <f>(COUNTIF(AQ673:AQ697,"Y")/2)</f>
        <v>0</v>
      </c>
      <c r="AR698" s="109">
        <f>(COUNTIF(AQ673:AQ697,"Y")/2)</f>
        <v>0</v>
      </c>
      <c r="BA698" s="227"/>
    </row>
    <row r="699" spans="1:53" ht="16.5" thickBot="1" x14ac:dyDescent="0.3">
      <c r="A699" s="88"/>
      <c r="B699" s="319" t="s">
        <v>307</v>
      </c>
      <c r="C699" s="320"/>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5"/>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5" t="s">
        <v>210</v>
      </c>
      <c r="N702" s="195" t="s">
        <v>211</v>
      </c>
      <c r="O702" s="195" t="s">
        <v>212</v>
      </c>
      <c r="P702" s="195" t="s">
        <v>213</v>
      </c>
      <c r="Q702" s="195" t="s">
        <v>214</v>
      </c>
      <c r="R702" s="195" t="s">
        <v>215</v>
      </c>
      <c r="S702" s="195" t="s">
        <v>216</v>
      </c>
      <c r="T702" s="195" t="s">
        <v>217</v>
      </c>
      <c r="U702" s="195" t="s">
        <v>218</v>
      </c>
      <c r="V702" s="195" t="s">
        <v>219</v>
      </c>
      <c r="W702" s="113" t="s">
        <v>220</v>
      </c>
      <c r="X702" s="195" t="s">
        <v>221</v>
      </c>
      <c r="Y702" s="25"/>
      <c r="Z702" s="25"/>
      <c r="AA702" s="25"/>
      <c r="AB702" s="25"/>
      <c r="AC702" s="25"/>
      <c r="AD702" s="25"/>
      <c r="BA702" s="225"/>
    </row>
    <row r="703" spans="1:53" ht="16.5" thickTop="1" thickBot="1" x14ac:dyDescent="0.3">
      <c r="A703" s="88"/>
      <c r="B703" s="312" t="s">
        <v>222</v>
      </c>
      <c r="C703" s="313"/>
      <c r="D703" s="314" t="s">
        <v>223</v>
      </c>
      <c r="E703" s="305"/>
      <c r="F703" s="88"/>
      <c r="G703" s="315" t="s">
        <v>224</v>
      </c>
      <c r="H703" s="316"/>
      <c r="I703" s="28">
        <f>SUM(E714:E738)</f>
        <v>36</v>
      </c>
      <c r="J703" s="317" t="s">
        <v>225</v>
      </c>
      <c r="K703" s="318"/>
      <c r="L703" s="305"/>
      <c r="M703" s="195">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5" t="s">
        <v>226</v>
      </c>
      <c r="AA703" s="296"/>
      <c r="AB703" s="297"/>
      <c r="AC703" s="25"/>
      <c r="AD703" s="25"/>
      <c r="AH703" s="109">
        <v>2</v>
      </c>
      <c r="AI703" s="109" t="str">
        <f>IF($E704="SS",COUNTIFS($C714:$C738,"FST",$E714:$E738,"2"),"0")</f>
        <v>0</v>
      </c>
      <c r="AJ703" s="109" t="str">
        <f>IF($E704="RPX",COUNTIFS($C714:$C738,"FST",$E714:$E738,"2"),"0")</f>
        <v>0</v>
      </c>
      <c r="AK703" s="109">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5"/>
    </row>
    <row r="704" spans="1:53" ht="16.5" customHeight="1" thickTop="1" thickBot="1" x14ac:dyDescent="0.3">
      <c r="A704" s="88"/>
      <c r="B704" s="29" t="s">
        <v>228</v>
      </c>
      <c r="C704" s="30">
        <v>0</v>
      </c>
      <c r="D704" s="31" t="s">
        <v>229</v>
      </c>
      <c r="E704" s="66" t="str">
        <f>TEXT(IF('Cable Calculator'!CK7="","",'Cable Calculator'!CK7),)</f>
        <v>EUC</v>
      </c>
      <c r="F704" s="88"/>
      <c r="G704" s="304" t="s">
        <v>230</v>
      </c>
      <c r="H704" s="305"/>
      <c r="I704" s="33">
        <f>E705-I703</f>
        <v>12</v>
      </c>
      <c r="J704" s="289" t="s">
        <v>231</v>
      </c>
      <c r="K704" s="290"/>
      <c r="L704" s="34">
        <f>I708</f>
        <v>457</v>
      </c>
      <c r="M704" s="195">
        <v>4</v>
      </c>
      <c r="N704" s="35">
        <f>SUM(AI704,AI715)</f>
        <v>0</v>
      </c>
      <c r="O704" s="35">
        <v>0</v>
      </c>
      <c r="P704" s="35">
        <f>SUM(AJ704,AJ715)</f>
        <v>0</v>
      </c>
      <c r="Q704" s="35">
        <v>0</v>
      </c>
      <c r="R704" s="35">
        <f>COUNTIFS($E714:$E738,"4",$F714:$F738,"Pole",$C714:$C738,"FST")</f>
        <v>3</v>
      </c>
      <c r="S704" s="35">
        <f>SUM(AL704,AK715)</f>
        <v>0</v>
      </c>
      <c r="T704" s="35">
        <v>0</v>
      </c>
      <c r="U704" s="35">
        <f>SUM(AK704,AL715)</f>
        <v>3</v>
      </c>
      <c r="V704" s="35">
        <v>0</v>
      </c>
      <c r="W704" s="34">
        <f>COUNTIFS($E714:$E738,"4",$F714:$F738,"HH",$C714:$C738,"FST")</f>
        <v>0</v>
      </c>
      <c r="X704" s="35">
        <f>COUNTIFS($E714:$E738,"4",$F714:$F738,"Ped",$C714:$C738,"FST")</f>
        <v>0</v>
      </c>
      <c r="Y704" s="25"/>
      <c r="Z704" s="298" t="s">
        <v>232</v>
      </c>
      <c r="AA704" s="300" t="s">
        <v>233</v>
      </c>
      <c r="AB704" s="301"/>
      <c r="AC704" s="25"/>
      <c r="AD704" s="25"/>
      <c r="AH704" s="109">
        <v>4</v>
      </c>
      <c r="AI704" s="109" t="str">
        <f>IF($E704="SS",COUNTIFS($C714:$C738,"FST",$E714:$E738,"4"),"0")</f>
        <v>0</v>
      </c>
      <c r="AJ704" s="109" t="str">
        <f>IF($E704="RPX",COUNTIFS($C714:$C738,"FST",$E714:$E738,"4"),"0")</f>
        <v>0</v>
      </c>
      <c r="AK704" s="109">
        <f>IF($E704="EUC",COUNTIFS($C714:$C738,"FST",$E714:$E738,"4"),"0")</f>
        <v>3</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6"/>
    </row>
    <row r="705" spans="1:53" ht="16.5" thickTop="1" thickBot="1" x14ac:dyDescent="0.3">
      <c r="A705" s="88"/>
      <c r="B705" s="36" t="s">
        <v>235</v>
      </c>
      <c r="C705" s="37">
        <v>0</v>
      </c>
      <c r="D705" s="38" t="s">
        <v>236</v>
      </c>
      <c r="E705" s="32">
        <v>48</v>
      </c>
      <c r="F705" s="88"/>
      <c r="G705" s="291" t="s">
        <v>237</v>
      </c>
      <c r="H705" s="292"/>
      <c r="I705" s="35">
        <f>IF(E705=0,0,12-(MOD(I703,12)))</f>
        <v>12</v>
      </c>
      <c r="J705" s="289" t="s">
        <v>238</v>
      </c>
      <c r="K705" s="290"/>
      <c r="L705" s="39">
        <f>I709-I703</f>
        <v>456</v>
      </c>
      <c r="M705" s="195">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9"/>
      <c r="AA705" s="302"/>
      <c r="AB705" s="303"/>
      <c r="AC705" s="25"/>
      <c r="AD705" s="25"/>
      <c r="AH705" s="109">
        <v>6</v>
      </c>
      <c r="AI705" s="109" t="str">
        <f>IF($E704="SS",COUNTIFS($C714:$C738,"FST",$E714:$E738,"6"),"0")</f>
        <v>0</v>
      </c>
      <c r="AJ705" s="109" t="str">
        <f>IF($E704="RPX",COUNTIFS($C714:$C738,"FST",$E714:$E738,"6"),"0")</f>
        <v>0</v>
      </c>
      <c r="AK705" s="109">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6"/>
    </row>
    <row r="706" spans="1:53" ht="16.5" customHeight="1" thickTop="1" thickBot="1" x14ac:dyDescent="0.3">
      <c r="A706" s="88"/>
      <c r="B706" s="40" t="s">
        <v>240</v>
      </c>
      <c r="C706" s="30">
        <v>0</v>
      </c>
      <c r="D706" s="41" t="s">
        <v>241</v>
      </c>
      <c r="E706" s="42">
        <v>12</v>
      </c>
      <c r="F706" s="88"/>
      <c r="G706" s="321" t="s">
        <v>242</v>
      </c>
      <c r="H706" s="43" t="s">
        <v>243</v>
      </c>
      <c r="I706" s="35">
        <f>IF(E706&lt;&gt;0,1,0)</f>
        <v>1</v>
      </c>
      <c r="J706" s="291" t="s">
        <v>244</v>
      </c>
      <c r="K706" s="292"/>
      <c r="L706" s="44">
        <f>'Cable Calculator'!CK3</f>
        <v>2501</v>
      </c>
      <c r="M706" s="195">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6"/>
    </row>
    <row r="707" spans="1:53" ht="16.5" thickTop="1" thickBot="1" x14ac:dyDescent="0.3">
      <c r="A707" s="88"/>
      <c r="B707" s="29" t="s">
        <v>246</v>
      </c>
      <c r="C707" s="37">
        <v>0</v>
      </c>
      <c r="D707" s="41" t="s">
        <v>247</v>
      </c>
      <c r="E707" s="42">
        <v>457</v>
      </c>
      <c r="F707" s="88"/>
      <c r="G707" s="322"/>
      <c r="H707" s="47" t="s">
        <v>248</v>
      </c>
      <c r="I707" s="35">
        <f>IF(E706&lt;&gt;0,E706,0)</f>
        <v>12</v>
      </c>
      <c r="J707" s="193"/>
      <c r="K707" s="194"/>
      <c r="L707" s="48"/>
      <c r="M707" s="195">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1</v>
      </c>
      <c r="V707" s="35">
        <f>IF($E704="EUC",SUM($AN739,AP739,AR739),"0")</f>
        <v>1</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6"/>
    </row>
    <row r="708" spans="1:53" ht="16.5" customHeight="1" thickTop="1" thickBot="1" x14ac:dyDescent="0.3">
      <c r="A708" s="88"/>
      <c r="B708" s="36" t="s">
        <v>249</v>
      </c>
      <c r="C708" s="30">
        <v>0</v>
      </c>
      <c r="D708" s="49" t="s">
        <v>250</v>
      </c>
      <c r="E708" s="50">
        <f>E705/12</f>
        <v>4</v>
      </c>
      <c r="F708" s="88"/>
      <c r="G708" s="321" t="s">
        <v>251</v>
      </c>
      <c r="H708" s="51" t="s">
        <v>252</v>
      </c>
      <c r="I708" s="112">
        <f>E707</f>
        <v>457</v>
      </c>
      <c r="J708" s="323" t="s">
        <v>253</v>
      </c>
      <c r="K708" s="324"/>
      <c r="L708" s="325"/>
      <c r="M708" s="52" t="s">
        <v>254</v>
      </c>
      <c r="N708" s="106"/>
      <c r="O708" s="106"/>
      <c r="P708" s="191"/>
      <c r="Q708" s="191"/>
      <c r="R708" s="191"/>
      <c r="S708" s="191"/>
      <c r="T708" s="191"/>
      <c r="U708" s="191"/>
      <c r="V708" s="191"/>
      <c r="W708" s="53">
        <f>SUM(P708:U708)</f>
        <v>0</v>
      </c>
      <c r="X708" s="54"/>
      <c r="Y708" s="25"/>
      <c r="Z708" s="45">
        <v>3</v>
      </c>
      <c r="AA708" s="46">
        <v>25</v>
      </c>
      <c r="AB708" s="46">
        <v>36</v>
      </c>
      <c r="AC708" s="25"/>
      <c r="AD708" s="25"/>
      <c r="BA708" s="226"/>
    </row>
    <row r="709" spans="1:53" ht="16.5" thickTop="1" thickBot="1" x14ac:dyDescent="0.3">
      <c r="A709" s="88"/>
      <c r="B709" s="36" t="s">
        <v>255</v>
      </c>
      <c r="C709" s="30">
        <v>0</v>
      </c>
      <c r="D709" s="31" t="s">
        <v>256</v>
      </c>
      <c r="E709" s="101" t="str">
        <f>IF('Cable Calculator'!CK5="","",'Cable Calculator'!CK5)</f>
        <v>N</v>
      </c>
      <c r="F709" s="88"/>
      <c r="G709" s="322"/>
      <c r="H709" s="47" t="s">
        <v>257</v>
      </c>
      <c r="I709" s="35">
        <f>IF(E707="","0",IF(AND(E704="EUC",E705=432), I708+(203-E706),IF(E707=0,0,(E707+(E705-E706)-1))))</f>
        <v>492</v>
      </c>
      <c r="J709" s="286" t="str">
        <f>IFERROR(IF(OR(E704="EUC",E704="SS"),"---",IF(OR(P703,S703),"NO 2F Tethers for RPX!",IF(OR(P705,S705),"NO 6F Tethers for RPX!","---"))),"---")</f>
        <v>---</v>
      </c>
      <c r="K709" s="287"/>
      <c r="L709" s="288"/>
      <c r="M709" s="286" t="str">
        <f>IF(E706&gt;60,"Dead Count &gt;60: Consider Downsize","---")</f>
        <v>---</v>
      </c>
      <c r="N709" s="287"/>
      <c r="O709" s="287"/>
      <c r="P709" s="287"/>
      <c r="Q709" s="287"/>
      <c r="R709" s="287"/>
      <c r="S709" s="287"/>
      <c r="T709" s="287"/>
      <c r="U709" s="288"/>
      <c r="V709" s="100"/>
      <c r="W709" s="54">
        <f>SUM(P709:U709)</f>
        <v>0</v>
      </c>
      <c r="X709" s="54"/>
      <c r="Y709" s="25"/>
      <c r="Z709" s="45">
        <v>4</v>
      </c>
      <c r="AA709" s="46">
        <v>37</v>
      </c>
      <c r="AB709" s="46">
        <v>48</v>
      </c>
      <c r="AC709" s="25"/>
      <c r="AD709" s="25"/>
      <c r="BA709" s="226"/>
    </row>
    <row r="710" spans="1:53" ht="16.5" thickTop="1" thickBot="1" x14ac:dyDescent="0.3">
      <c r="A710" s="88"/>
      <c r="B710" s="55" t="s">
        <v>258</v>
      </c>
      <c r="C710" s="56">
        <f>SUM(C704:C709)+I703</f>
        <v>36</v>
      </c>
      <c r="D710" s="31" t="s">
        <v>259</v>
      </c>
      <c r="E710" s="101" t="str">
        <f>IF(AS704="Y","DBL",IF(AS705="Y","TRPL",IF(AS706="Y","QUAD","")))</f>
        <v/>
      </c>
      <c r="F710" s="88"/>
      <c r="G710" s="191"/>
      <c r="H710" s="57"/>
      <c r="I710" s="191"/>
      <c r="J710" s="286"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7"/>
      <c r="L710" s="288"/>
      <c r="M710" s="286" t="str">
        <f>IF(AND(OR(E704="SS",E704="RPX",E704="EUC",E704="RPX-T"),(OR(C714="",C714="Field SPL"))),"Cannot have FlexNap cables without tethers","---")</f>
        <v>---</v>
      </c>
      <c r="N710" s="287"/>
      <c r="O710" s="287"/>
      <c r="P710" s="287"/>
      <c r="Q710" s="287"/>
      <c r="R710" s="287"/>
      <c r="S710" s="287"/>
      <c r="T710" s="287"/>
      <c r="U710" s="288"/>
      <c r="V710" s="25"/>
      <c r="W710" s="58"/>
      <c r="X710" s="58"/>
      <c r="Y710" s="25"/>
      <c r="Z710" s="45">
        <v>5</v>
      </c>
      <c r="AA710" s="46">
        <v>49</v>
      </c>
      <c r="AB710" s="46">
        <v>60</v>
      </c>
      <c r="AC710" s="25"/>
      <c r="AD710" s="25"/>
      <c r="BA710" s="226"/>
    </row>
    <row r="711" spans="1:53" ht="16.5" thickTop="1" thickBot="1" x14ac:dyDescent="0.3">
      <c r="A711" s="88"/>
      <c r="B711" s="59"/>
      <c r="C711" s="60"/>
      <c r="D711" s="61"/>
      <c r="E711" s="62"/>
      <c r="F711" s="88"/>
      <c r="G711" s="63"/>
      <c r="H711" s="64"/>
      <c r="I711" s="63"/>
      <c r="J711" s="286" t="str">
        <f>IF(AND(OR(E704="RPX", E704="RPX-T", E704="SS"),E705=216),"NO 216 For RPX, RPX-T, OR SS CABLE","---")</f>
        <v>---</v>
      </c>
      <c r="K711" s="287"/>
      <c r="L711" s="288"/>
      <c r="M711" s="286" t="str" cm="1">
        <f t="array" ref="M711">IF(AND(E704="",OR(C714:C738="FST",C714:C738="REV T",C714:C738="DBL REV",C714:C738="TPL REV", C714:C738="QD REV")),"Non-FlexNap cables cannot have tethers","---")</f>
        <v>---</v>
      </c>
      <c r="N711" s="287"/>
      <c r="O711" s="287"/>
      <c r="P711" s="287"/>
      <c r="Q711" s="287"/>
      <c r="R711" s="287"/>
      <c r="S711" s="287"/>
      <c r="T711" s="287"/>
      <c r="U711" s="288"/>
      <c r="V711" s="25"/>
      <c r="W711" s="58"/>
      <c r="X711" s="58"/>
      <c r="Y711" s="25"/>
      <c r="Z711" s="45">
        <v>6</v>
      </c>
      <c r="AA711" s="65">
        <v>61</v>
      </c>
      <c r="AB711" s="65">
        <v>72</v>
      </c>
      <c r="AC711" s="25"/>
      <c r="AD711" s="25"/>
      <c r="BA711" s="225"/>
    </row>
    <row r="712" spans="1:53" ht="15.75" customHeight="1" thickBot="1" x14ac:dyDescent="0.3">
      <c r="A712" s="88"/>
      <c r="B712" s="321" t="s">
        <v>260</v>
      </c>
      <c r="C712" s="293" t="s">
        <v>261</v>
      </c>
      <c r="D712" s="293" t="s">
        <v>262</v>
      </c>
      <c r="E712" s="306" t="s">
        <v>263</v>
      </c>
      <c r="F712" s="293" t="s">
        <v>264</v>
      </c>
      <c r="G712" s="308" t="s">
        <v>265</v>
      </c>
      <c r="H712" s="308" t="s">
        <v>266</v>
      </c>
      <c r="I712" s="308" t="s">
        <v>267</v>
      </c>
      <c r="J712" s="310" t="s">
        <v>268</v>
      </c>
      <c r="K712" s="293" t="s">
        <v>269</v>
      </c>
      <c r="L712" s="280" t="s">
        <v>270</v>
      </c>
      <c r="M712" s="282" t="s">
        <v>271</v>
      </c>
      <c r="N712" s="282"/>
      <c r="O712" s="282"/>
      <c r="P712" s="282"/>
      <c r="Q712" s="282"/>
      <c r="R712" s="282"/>
      <c r="S712" s="282"/>
      <c r="T712" s="282"/>
      <c r="U712" s="283"/>
      <c r="V712" s="107"/>
      <c r="W712" s="72"/>
      <c r="X712" s="72"/>
      <c r="Y712" s="72"/>
      <c r="Z712" s="45">
        <v>7</v>
      </c>
      <c r="AA712" s="65">
        <v>73</v>
      </c>
      <c r="AB712" s="65">
        <v>84</v>
      </c>
      <c r="AC712" s="25"/>
      <c r="AD712" s="25"/>
      <c r="BA712" s="227"/>
    </row>
    <row r="713" spans="1:53" ht="15.75" thickBot="1" x14ac:dyDescent="0.3">
      <c r="A713" s="88"/>
      <c r="B713" s="322"/>
      <c r="C713" s="294"/>
      <c r="D713" s="294"/>
      <c r="E713" s="307"/>
      <c r="F713" s="294"/>
      <c r="G713" s="309"/>
      <c r="H713" s="309"/>
      <c r="I713" s="309"/>
      <c r="J713" s="311"/>
      <c r="K713" s="294"/>
      <c r="L713" s="281"/>
      <c r="M713" s="284"/>
      <c r="N713" s="284"/>
      <c r="O713" s="284"/>
      <c r="P713" s="284"/>
      <c r="Q713" s="284"/>
      <c r="R713" s="284"/>
      <c r="S713" s="284"/>
      <c r="T713" s="284"/>
      <c r="U713" s="285"/>
      <c r="V713" s="107"/>
      <c r="W713" s="72"/>
      <c r="X713" s="72"/>
      <c r="Y713" s="72"/>
      <c r="Z713" s="45">
        <v>8</v>
      </c>
      <c r="AA713" s="46">
        <v>85</v>
      </c>
      <c r="AB713" s="46">
        <v>96</v>
      </c>
      <c r="AC713" s="25"/>
      <c r="AD713" s="25"/>
      <c r="AI713" s="109" t="s">
        <v>272</v>
      </c>
      <c r="AJ713" s="109" t="s">
        <v>273</v>
      </c>
      <c r="AK713" s="109" t="s">
        <v>274</v>
      </c>
      <c r="AL713" s="109" t="s">
        <v>275</v>
      </c>
      <c r="BA713" s="227"/>
    </row>
    <row r="714" spans="1:53" ht="15.75" thickBot="1" x14ac:dyDescent="0.3">
      <c r="A714" s="88"/>
      <c r="B714" s="66" t="s">
        <v>276</v>
      </c>
      <c r="C714" s="67" t="s">
        <v>484</v>
      </c>
      <c r="D714" s="102" t="s">
        <v>771</v>
      </c>
      <c r="E714" s="32">
        <v>4</v>
      </c>
      <c r="F714" s="32" t="s">
        <v>483</v>
      </c>
      <c r="G714" s="68" t="s">
        <v>277</v>
      </c>
      <c r="H714" s="69">
        <f>IF(I714=0,0,I714-(E714-1))</f>
        <v>489</v>
      </c>
      <c r="I714" s="70">
        <f>IF(E714=0,0,I709)</f>
        <v>492</v>
      </c>
      <c r="J714" s="71" t="s">
        <v>278</v>
      </c>
      <c r="K714" s="32"/>
      <c r="L714" s="232"/>
      <c r="M714" s="278"/>
      <c r="N714" s="278"/>
      <c r="O714" s="278"/>
      <c r="P714" s="278"/>
      <c r="Q714" s="278"/>
      <c r="R714" s="278"/>
      <c r="S714" s="278"/>
      <c r="T714" s="278"/>
      <c r="U714" s="279"/>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489-492</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8">
        <f>MOD(E714,12)</f>
        <v>4</v>
      </c>
    </row>
    <row r="715" spans="1:53" ht="15.75" thickBot="1" x14ac:dyDescent="0.3">
      <c r="A715" s="88"/>
      <c r="B715" s="66" t="s">
        <v>279</v>
      </c>
      <c r="C715" s="67" t="s">
        <v>484</v>
      </c>
      <c r="D715" s="102" t="s">
        <v>773</v>
      </c>
      <c r="E715" s="32">
        <v>4</v>
      </c>
      <c r="F715" s="32" t="s">
        <v>483</v>
      </c>
      <c r="G715" s="68" t="s">
        <v>277</v>
      </c>
      <c r="H715" s="69">
        <f t="shared" ref="H715:H738" si="298">IF(E715=0,0,I715-(E715-1))</f>
        <v>485</v>
      </c>
      <c r="I715" s="70">
        <f t="shared" ref="I715:I738" si="299">IF(E715=0,0,H714-1)</f>
        <v>488</v>
      </c>
      <c r="J715" s="73" t="str">
        <f>IF(C715="","--",IF(AND(C715&lt;&gt;"FST",C715&lt;&gt;"TCF",BA714&lt;&gt;0),BA714,"--"))</f>
        <v>--</v>
      </c>
      <c r="K715" s="32"/>
      <c r="L715" s="232"/>
      <c r="M715" s="278"/>
      <c r="N715" s="278"/>
      <c r="O715" s="278"/>
      <c r="P715" s="278"/>
      <c r="Q715" s="278"/>
      <c r="R715" s="278"/>
      <c r="S715" s="278"/>
      <c r="T715" s="278"/>
      <c r="U715" s="279"/>
      <c r="V715" s="103"/>
      <c r="W715" s="72"/>
      <c r="X715" s="72"/>
      <c r="Y715" s="72"/>
      <c r="Z715" s="45">
        <v>10</v>
      </c>
      <c r="AA715" s="46">
        <v>109</v>
      </c>
      <c r="AB715" s="46">
        <v>120</v>
      </c>
      <c r="AC715" s="72">
        <f t="shared" si="289"/>
        <v>1</v>
      </c>
      <c r="AD715" s="72">
        <f t="shared" si="290"/>
        <v>0</v>
      </c>
      <c r="AE715" s="109" t="str">
        <f t="shared" si="291"/>
        <v>485-488</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8">
        <f>MOD(SUM(E714:E715),12)</f>
        <v>8</v>
      </c>
    </row>
    <row r="716" spans="1:53" ht="15.75" thickBot="1" x14ac:dyDescent="0.3">
      <c r="A716" s="88"/>
      <c r="B716" s="74" t="s">
        <v>280</v>
      </c>
      <c r="C716" s="67" t="s">
        <v>484</v>
      </c>
      <c r="D716" s="102" t="s">
        <v>774</v>
      </c>
      <c r="E716" s="32">
        <v>4</v>
      </c>
      <c r="F716" s="32" t="s">
        <v>483</v>
      </c>
      <c r="G716" s="75" t="s">
        <v>277</v>
      </c>
      <c r="H716" s="69">
        <f t="shared" si="298"/>
        <v>481</v>
      </c>
      <c r="I716" s="70">
        <f t="shared" si="299"/>
        <v>484</v>
      </c>
      <c r="J716" s="73" t="str">
        <f t="shared" ref="J716:J738" si="300">IF(C716="","--",IF(AND(C716&lt;&gt;"FST",C716&lt;&gt;"TCF",BA715&lt;&gt;0),BA715,"--"))</f>
        <v>--</v>
      </c>
      <c r="K716" s="32"/>
      <c r="L716" s="232"/>
      <c r="M716" s="278"/>
      <c r="N716" s="278"/>
      <c r="O716" s="278"/>
      <c r="P716" s="278"/>
      <c r="Q716" s="278"/>
      <c r="R716" s="278"/>
      <c r="S716" s="278"/>
      <c r="T716" s="278"/>
      <c r="U716" s="279"/>
      <c r="V716" s="103"/>
      <c r="W716" s="72"/>
      <c r="X716" s="72"/>
      <c r="Y716" s="72"/>
      <c r="Z716" s="45">
        <v>11</v>
      </c>
      <c r="AA716" s="46">
        <v>121</v>
      </c>
      <c r="AB716" s="46">
        <v>132</v>
      </c>
      <c r="AC716" s="72">
        <f t="shared" si="289"/>
        <v>1</v>
      </c>
      <c r="AD716" s="72">
        <f t="shared" si="290"/>
        <v>0</v>
      </c>
      <c r="AE716" s="109" t="str">
        <f t="shared" si="291"/>
        <v>481-484</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8">
        <f>MOD(SUM(E714:E717),12)</f>
        <v>0</v>
      </c>
    </row>
    <row r="717" spans="1:53" ht="15.75" thickBot="1" x14ac:dyDescent="0.3">
      <c r="A717" s="88"/>
      <c r="B717" s="66" t="s">
        <v>281</v>
      </c>
      <c r="C717" s="67" t="s">
        <v>499</v>
      </c>
      <c r="D717" s="102"/>
      <c r="E717" s="32">
        <v>12</v>
      </c>
      <c r="F717" s="32"/>
      <c r="G717" s="68" t="s">
        <v>277</v>
      </c>
      <c r="H717" s="69">
        <f t="shared" si="298"/>
        <v>469</v>
      </c>
      <c r="I717" s="70">
        <f t="shared" si="299"/>
        <v>480</v>
      </c>
      <c r="J717" s="73" t="str">
        <f t="shared" si="300"/>
        <v>--</v>
      </c>
      <c r="K717" s="32"/>
      <c r="L717" s="232"/>
      <c r="M717" s="278" t="s">
        <v>421</v>
      </c>
      <c r="N717" s="278"/>
      <c r="O717" s="278"/>
      <c r="P717" s="278"/>
      <c r="Q717" s="278"/>
      <c r="R717" s="278"/>
      <c r="S717" s="278"/>
      <c r="T717" s="278"/>
      <c r="U717" s="279"/>
      <c r="V717" s="103"/>
      <c r="W717" s="72"/>
      <c r="X717" s="72"/>
      <c r="Y717" s="72"/>
      <c r="Z717" s="45">
        <v>12</v>
      </c>
      <c r="AA717" s="76">
        <v>133</v>
      </c>
      <c r="AB717" s="76">
        <v>144</v>
      </c>
      <c r="AC717" s="72">
        <f t="shared" si="289"/>
        <v>1</v>
      </c>
      <c r="AD717" s="72">
        <f t="shared" si="290"/>
        <v>1</v>
      </c>
      <c r="AE717" s="109" t="str">
        <f t="shared" si="291"/>
        <v>469-480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0.5</v>
      </c>
      <c r="AN717" s="109">
        <f t="shared" si="295"/>
        <v>0.5</v>
      </c>
      <c r="AO717" s="109" t="str">
        <f t="shared" si="296"/>
        <v/>
      </c>
      <c r="AQ717" s="109" t="str">
        <f t="shared" si="297"/>
        <v/>
      </c>
      <c r="BA717" s="228">
        <f>MOD(SUM(E714:E718),12)</f>
        <v>0</v>
      </c>
    </row>
    <row r="718" spans="1:53" ht="15.75" thickBot="1" x14ac:dyDescent="0.3">
      <c r="A718" s="88"/>
      <c r="B718" s="66" t="s">
        <v>282</v>
      </c>
      <c r="C718" s="67" t="s">
        <v>499</v>
      </c>
      <c r="D718" s="102"/>
      <c r="E718" s="32">
        <v>12</v>
      </c>
      <c r="F718" s="32"/>
      <c r="G718" s="68" t="s">
        <v>277</v>
      </c>
      <c r="H718" s="69">
        <f t="shared" si="298"/>
        <v>457</v>
      </c>
      <c r="I718" s="70">
        <f t="shared" si="299"/>
        <v>468</v>
      </c>
      <c r="J718" s="73" t="str">
        <f t="shared" si="300"/>
        <v>--</v>
      </c>
      <c r="K718" s="32"/>
      <c r="L718" s="232"/>
      <c r="M718" s="278" t="s">
        <v>421</v>
      </c>
      <c r="N718" s="278"/>
      <c r="O718" s="278"/>
      <c r="P718" s="278"/>
      <c r="Q718" s="278"/>
      <c r="R718" s="278"/>
      <c r="S718" s="278"/>
      <c r="T718" s="278"/>
      <c r="U718" s="279"/>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457-468</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0.5</v>
      </c>
      <c r="AN718" s="109">
        <f t="shared" si="295"/>
        <v>0.5</v>
      </c>
      <c r="AO718" s="109" t="str">
        <f t="shared" si="296"/>
        <v/>
      </c>
      <c r="AQ718" s="109" t="str">
        <f t="shared" si="297"/>
        <v/>
      </c>
      <c r="BA718" s="228">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2"/>
      <c r="M719" s="278"/>
      <c r="N719" s="278"/>
      <c r="O719" s="278"/>
      <c r="P719" s="278"/>
      <c r="Q719" s="278"/>
      <c r="R719" s="278"/>
      <c r="S719" s="278"/>
      <c r="T719" s="278"/>
      <c r="U719" s="279"/>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8">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2"/>
      <c r="M720" s="278"/>
      <c r="N720" s="278"/>
      <c r="O720" s="278"/>
      <c r="P720" s="278"/>
      <c r="Q720" s="278"/>
      <c r="R720" s="278"/>
      <c r="S720" s="278"/>
      <c r="T720" s="278"/>
      <c r="U720" s="279"/>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8">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2"/>
      <c r="M721" s="278"/>
      <c r="N721" s="278"/>
      <c r="O721" s="278"/>
      <c r="P721" s="278"/>
      <c r="Q721" s="278"/>
      <c r="R721" s="278"/>
      <c r="S721" s="278"/>
      <c r="T721" s="278"/>
      <c r="U721" s="279"/>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8">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2"/>
      <c r="M722" s="278"/>
      <c r="N722" s="278"/>
      <c r="O722" s="278"/>
      <c r="P722" s="278"/>
      <c r="Q722" s="278"/>
      <c r="R722" s="278"/>
      <c r="S722" s="278"/>
      <c r="T722" s="278"/>
      <c r="U722" s="279"/>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8">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2"/>
      <c r="M723" s="278"/>
      <c r="N723" s="278"/>
      <c r="O723" s="278"/>
      <c r="P723" s="278"/>
      <c r="Q723" s="278"/>
      <c r="R723" s="278"/>
      <c r="S723" s="278"/>
      <c r="T723" s="278"/>
      <c r="U723" s="279"/>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8">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2"/>
      <c r="M724" s="278"/>
      <c r="N724" s="278"/>
      <c r="O724" s="278"/>
      <c r="P724" s="278"/>
      <c r="Q724" s="278"/>
      <c r="R724" s="278"/>
      <c r="S724" s="278"/>
      <c r="T724" s="278"/>
      <c r="U724" s="279"/>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8">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2"/>
      <c r="M725" s="278"/>
      <c r="N725" s="278"/>
      <c r="O725" s="278"/>
      <c r="P725" s="278"/>
      <c r="Q725" s="278"/>
      <c r="R725" s="278"/>
      <c r="S725" s="278"/>
      <c r="T725" s="278"/>
      <c r="U725" s="279"/>
      <c r="V725" s="103"/>
      <c r="W725" s="84">
        <f>Y725+1</f>
        <v>37</v>
      </c>
      <c r="X725" s="84"/>
      <c r="Y725" s="78">
        <f>SUM(E714:E725)</f>
        <v>36</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8">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2"/>
      <c r="M726" s="278"/>
      <c r="N726" s="278"/>
      <c r="O726" s="278"/>
      <c r="P726" s="278"/>
      <c r="Q726" s="278"/>
      <c r="R726" s="278"/>
      <c r="S726" s="278"/>
      <c r="T726" s="278"/>
      <c r="U726" s="279"/>
      <c r="V726" s="103"/>
      <c r="W726" s="84">
        <f>Y726+1</f>
        <v>37</v>
      </c>
      <c r="X726" s="84"/>
      <c r="Y726" s="78">
        <f>SUM(E714:E726)</f>
        <v>36</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8">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2"/>
      <c r="M727" s="278"/>
      <c r="N727" s="278"/>
      <c r="O727" s="278"/>
      <c r="P727" s="278"/>
      <c r="Q727" s="278"/>
      <c r="R727" s="278"/>
      <c r="S727" s="278"/>
      <c r="T727" s="278"/>
      <c r="U727" s="279"/>
      <c r="V727" s="103"/>
      <c r="W727" s="84">
        <f>Y727+1</f>
        <v>37</v>
      </c>
      <c r="X727" s="84"/>
      <c r="Y727" s="78">
        <f>SUM(E714:E727)</f>
        <v>36</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8">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2"/>
      <c r="M728" s="278"/>
      <c r="N728" s="278"/>
      <c r="O728" s="278"/>
      <c r="P728" s="278"/>
      <c r="Q728" s="278"/>
      <c r="R728" s="278"/>
      <c r="S728" s="278"/>
      <c r="T728" s="278"/>
      <c r="U728" s="279"/>
      <c r="V728" s="103"/>
      <c r="W728" s="84">
        <f>Y728+1</f>
        <v>37</v>
      </c>
      <c r="X728" s="84"/>
      <c r="Y728" s="78">
        <f>SUM(E714:E728)</f>
        <v>36</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8">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2"/>
      <c r="M729" s="278"/>
      <c r="N729" s="278"/>
      <c r="O729" s="278"/>
      <c r="P729" s="278"/>
      <c r="Q729" s="278"/>
      <c r="R729" s="278"/>
      <c r="S729" s="278"/>
      <c r="T729" s="278"/>
      <c r="U729" s="279"/>
      <c r="V729" s="103"/>
      <c r="W729" s="84">
        <f t="shared" ref="W729:W737" si="305">Y729+1</f>
        <v>37</v>
      </c>
      <c r="X729" s="84"/>
      <c r="Y729" s="78">
        <f>SUM(E714:E729)</f>
        <v>36</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8">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2"/>
      <c r="M730" s="278"/>
      <c r="N730" s="278"/>
      <c r="O730" s="278"/>
      <c r="P730" s="278"/>
      <c r="Q730" s="278"/>
      <c r="R730" s="278"/>
      <c r="S730" s="278"/>
      <c r="T730" s="278"/>
      <c r="U730" s="279"/>
      <c r="V730" s="103"/>
      <c r="W730" s="84">
        <f t="shared" si="305"/>
        <v>37</v>
      </c>
      <c r="X730" s="84"/>
      <c r="Y730" s="78">
        <f>SUM(E714:E730)</f>
        <v>36</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8">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2"/>
      <c r="M731" s="278"/>
      <c r="N731" s="278"/>
      <c r="O731" s="278"/>
      <c r="P731" s="278"/>
      <c r="Q731" s="278"/>
      <c r="R731" s="278"/>
      <c r="S731" s="278"/>
      <c r="T731" s="278"/>
      <c r="U731" s="279"/>
      <c r="V731" s="103"/>
      <c r="W731" s="84">
        <f t="shared" si="305"/>
        <v>37</v>
      </c>
      <c r="X731" s="84"/>
      <c r="Y731" s="78">
        <f>SUM(E714:E731)</f>
        <v>36</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8">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2"/>
      <c r="M732" s="278"/>
      <c r="N732" s="278"/>
      <c r="O732" s="278"/>
      <c r="P732" s="278"/>
      <c r="Q732" s="278"/>
      <c r="R732" s="278"/>
      <c r="S732" s="278"/>
      <c r="T732" s="278"/>
      <c r="U732" s="279"/>
      <c r="V732" s="103"/>
      <c r="W732" s="84">
        <f t="shared" si="305"/>
        <v>37</v>
      </c>
      <c r="X732" s="84"/>
      <c r="Y732" s="78">
        <f>SUM(E714:E732)</f>
        <v>36</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8">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2"/>
      <c r="M733" s="278"/>
      <c r="N733" s="278"/>
      <c r="O733" s="278"/>
      <c r="P733" s="278"/>
      <c r="Q733" s="278"/>
      <c r="R733" s="278"/>
      <c r="S733" s="278"/>
      <c r="T733" s="278"/>
      <c r="U733" s="279"/>
      <c r="V733" s="103"/>
      <c r="W733" s="84">
        <f t="shared" si="305"/>
        <v>37</v>
      </c>
      <c r="X733" s="84"/>
      <c r="Y733" s="78">
        <f>SUM(E714:E733)</f>
        <v>36</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8">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2"/>
      <c r="M734" s="278"/>
      <c r="N734" s="278"/>
      <c r="O734" s="278"/>
      <c r="P734" s="278"/>
      <c r="Q734" s="278"/>
      <c r="R734" s="278"/>
      <c r="S734" s="278"/>
      <c r="T734" s="278"/>
      <c r="U734" s="279"/>
      <c r="V734" s="103"/>
      <c r="W734" s="84">
        <f t="shared" si="305"/>
        <v>37</v>
      </c>
      <c r="X734" s="84"/>
      <c r="Y734" s="78">
        <f>SUM(E714:E734)</f>
        <v>36</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8">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2"/>
      <c r="M735" s="278"/>
      <c r="N735" s="278"/>
      <c r="O735" s="278"/>
      <c r="P735" s="278"/>
      <c r="Q735" s="278"/>
      <c r="R735" s="278"/>
      <c r="S735" s="278"/>
      <c r="T735" s="278"/>
      <c r="U735" s="279"/>
      <c r="V735" s="103"/>
      <c r="W735" s="84">
        <f t="shared" si="305"/>
        <v>37</v>
      </c>
      <c r="X735" s="84"/>
      <c r="Y735" s="78">
        <f>SUM(E714:E735)</f>
        <v>36</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8">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2"/>
      <c r="M736" s="278"/>
      <c r="N736" s="278"/>
      <c r="O736" s="278"/>
      <c r="P736" s="278"/>
      <c r="Q736" s="278"/>
      <c r="R736" s="278"/>
      <c r="S736" s="278"/>
      <c r="T736" s="278"/>
      <c r="U736" s="279"/>
      <c r="V736" s="103"/>
      <c r="W736" s="84">
        <f t="shared" si="305"/>
        <v>37</v>
      </c>
      <c r="X736" s="84"/>
      <c r="Y736" s="78">
        <f>SUM(E714:E736)</f>
        <v>36</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8">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2"/>
      <c r="M737" s="278"/>
      <c r="N737" s="278"/>
      <c r="O737" s="278"/>
      <c r="P737" s="278"/>
      <c r="Q737" s="278"/>
      <c r="R737" s="278"/>
      <c r="S737" s="278"/>
      <c r="T737" s="278"/>
      <c r="U737" s="279"/>
      <c r="V737" s="103"/>
      <c r="W737" s="84">
        <f t="shared" si="305"/>
        <v>37</v>
      </c>
      <c r="X737" s="84"/>
      <c r="Y737" s="78">
        <f>SUM(E714:E737)</f>
        <v>36</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8">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3"/>
      <c r="M738" s="278"/>
      <c r="N738" s="278"/>
      <c r="O738" s="278"/>
      <c r="P738" s="278"/>
      <c r="Q738" s="278"/>
      <c r="R738" s="278"/>
      <c r="S738" s="278"/>
      <c r="T738" s="278"/>
      <c r="U738" s="279"/>
      <c r="V738" s="103"/>
      <c r="W738" s="72"/>
      <c r="X738" s="72"/>
      <c r="Y738" s="78">
        <f>SUM(E714:E738)</f>
        <v>36</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7"/>
    </row>
    <row r="739" spans="1:53" ht="16.5" thickBot="1" x14ac:dyDescent="0.3">
      <c r="A739" s="88"/>
      <c r="B739" s="319" t="s">
        <v>339</v>
      </c>
      <c r="C739" s="320"/>
      <c r="D739" s="79"/>
      <c r="E739" s="80"/>
      <c r="F739" s="80"/>
      <c r="G739" s="81"/>
      <c r="H739" s="191"/>
      <c r="I739" s="191"/>
      <c r="J739" s="191"/>
      <c r="K739" s="82"/>
      <c r="L739" s="319" t="s">
        <v>306</v>
      </c>
      <c r="M739" s="330"/>
      <c r="N739" s="330"/>
      <c r="O739" s="330"/>
      <c r="P739" s="330"/>
      <c r="Q739" s="330"/>
      <c r="R739" s="330"/>
      <c r="S739" s="330"/>
      <c r="T739" s="330"/>
      <c r="U739" s="320"/>
      <c r="V739" s="104"/>
      <c r="W739" s="72"/>
      <c r="X739" s="72"/>
      <c r="Y739" s="72"/>
      <c r="Z739" s="72"/>
      <c r="AA739" s="72" t="str">
        <f t="shared" si="304"/>
        <v/>
      </c>
      <c r="AB739" s="72"/>
      <c r="AC739" s="72">
        <f>SUM(AC714:AC738)</f>
        <v>25</v>
      </c>
      <c r="AD739" s="72">
        <f>SUM(AD714:AD738)</f>
        <v>22</v>
      </c>
      <c r="AM739" s="109">
        <f>SUM(AM714:AM738)</f>
        <v>1</v>
      </c>
      <c r="AN739" s="109">
        <f>SUM(AN714:AN738)</f>
        <v>1</v>
      </c>
      <c r="AO739" s="109">
        <f>((COUNTIF(AO714:AO738,"Y")/3)*2)</f>
        <v>0</v>
      </c>
      <c r="AP739" s="109">
        <f>(COUNTIF(AO714:AO738,"Y")/3)</f>
        <v>0</v>
      </c>
      <c r="AQ739" s="109">
        <f>(COUNTIF(AQ714:AQ738,"Y")/2)</f>
        <v>0</v>
      </c>
      <c r="AR739" s="109">
        <f>(COUNTIF(AQ714:AQ738,"Y")/2)</f>
        <v>0</v>
      </c>
      <c r="BA739" s="227"/>
    </row>
    <row r="740" spans="1:53" ht="16.5" thickBot="1" x14ac:dyDescent="0.3">
      <c r="A740" s="88"/>
      <c r="B740" s="319" t="s">
        <v>307</v>
      </c>
      <c r="C740" s="320"/>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5"/>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5" t="s">
        <v>210</v>
      </c>
      <c r="N743" s="195" t="s">
        <v>211</v>
      </c>
      <c r="O743" s="195" t="s">
        <v>212</v>
      </c>
      <c r="P743" s="195" t="s">
        <v>213</v>
      </c>
      <c r="Q743" s="195" t="s">
        <v>214</v>
      </c>
      <c r="R743" s="195" t="s">
        <v>215</v>
      </c>
      <c r="S743" s="195" t="s">
        <v>216</v>
      </c>
      <c r="T743" s="195" t="s">
        <v>217</v>
      </c>
      <c r="U743" s="195" t="s">
        <v>218</v>
      </c>
      <c r="V743" s="195" t="s">
        <v>219</v>
      </c>
      <c r="W743" s="113" t="s">
        <v>220</v>
      </c>
      <c r="X743" s="195" t="s">
        <v>221</v>
      </c>
      <c r="Y743" s="25"/>
      <c r="Z743" s="25"/>
      <c r="AA743" s="25"/>
      <c r="AB743" s="25"/>
      <c r="AC743" s="25"/>
      <c r="AD743" s="25"/>
      <c r="BA743" s="225"/>
    </row>
    <row r="744" spans="1:53" ht="16.5" thickTop="1" thickBot="1" x14ac:dyDescent="0.3">
      <c r="A744" s="88"/>
      <c r="B744" s="312" t="s">
        <v>222</v>
      </c>
      <c r="C744" s="313"/>
      <c r="D744" s="314" t="s">
        <v>223</v>
      </c>
      <c r="E744" s="305"/>
      <c r="F744" s="88"/>
      <c r="G744" s="315" t="s">
        <v>224</v>
      </c>
      <c r="H744" s="316"/>
      <c r="I744" s="28">
        <f>SUM(E755:E779)</f>
        <v>24</v>
      </c>
      <c r="J744" s="317" t="s">
        <v>225</v>
      </c>
      <c r="K744" s="318"/>
      <c r="L744" s="305"/>
      <c r="M744" s="195">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5" t="s">
        <v>226</v>
      </c>
      <c r="AA744" s="296"/>
      <c r="AB744" s="297"/>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t="str">
        <f>IF(OR($AS745="Y",$AS746="Y",$AS747="Y"),"",COUNTIFS($E745,"SS",$E750,"Y"))</f>
        <v/>
      </c>
      <c r="AV744" s="111" t="str">
        <f>IF(OR($AS745="Y",$AS746="Y",$AS747="Y"),"",COUNTIFS($E745,"RPX",$E750,"Y"))</f>
        <v/>
      </c>
      <c r="AW744" s="111" t="str">
        <f>IF(OR($AS745="Y",$AS746="Y",$AS747="Y"),"",COUNTIFS($E745,"EUC",$E750,"Y"))</f>
        <v/>
      </c>
      <c r="AX744" s="109" t="str">
        <f>IF(OR($AS745="Y",$AS746="Y",$AS747="Y"),"",COUNTIFS($E745,"RPX-T",$E750,"Y"))</f>
        <v/>
      </c>
      <c r="BA744" s="225"/>
    </row>
    <row r="745" spans="1:53" ht="16.5" customHeight="1" thickTop="1" thickBot="1" x14ac:dyDescent="0.3">
      <c r="A745" s="88"/>
      <c r="B745" s="29" t="s">
        <v>228</v>
      </c>
      <c r="C745" s="30">
        <v>12</v>
      </c>
      <c r="D745" s="31" t="s">
        <v>229</v>
      </c>
      <c r="E745" s="66" t="str">
        <f>TEXT(IF('Cable Calculator'!CP7="","",'Cable Calculator'!CP7),)</f>
        <v>EUC</v>
      </c>
      <c r="F745" s="88"/>
      <c r="G745" s="304" t="s">
        <v>230</v>
      </c>
      <c r="H745" s="305"/>
      <c r="I745" s="33">
        <f>E746-I744</f>
        <v>0</v>
      </c>
      <c r="J745" s="289" t="s">
        <v>231</v>
      </c>
      <c r="K745" s="290"/>
      <c r="L745" s="34">
        <f>I749</f>
        <v>457</v>
      </c>
      <c r="M745" s="195">
        <v>4</v>
      </c>
      <c r="N745" s="35">
        <f>SUM(AI745,AI756)</f>
        <v>0</v>
      </c>
      <c r="O745" s="35">
        <v>0</v>
      </c>
      <c r="P745" s="35">
        <f>SUM(AJ745,AJ756)</f>
        <v>0</v>
      </c>
      <c r="Q745" s="35">
        <v>0</v>
      </c>
      <c r="R745" s="35">
        <f>COUNTIFS($E755:$E779,"4",$F755:$F779,"Pole",$C755:$C779,"FST")</f>
        <v>0</v>
      </c>
      <c r="S745" s="35">
        <f>SUM(AL745,AK756)</f>
        <v>0</v>
      </c>
      <c r="T745" s="35">
        <v>0</v>
      </c>
      <c r="U745" s="35">
        <f>SUM(AK745,AL756)</f>
        <v>1</v>
      </c>
      <c r="V745" s="35">
        <v>0</v>
      </c>
      <c r="W745" s="34">
        <f>COUNTIFS($E755:$E779,"4",$F755:$F779,"HH",$C755:$C779,"FST")</f>
        <v>1</v>
      </c>
      <c r="X745" s="35">
        <f>COUNTIFS($E755:$E779,"4",$F755:$F779,"Ped",$C755:$C779,"FST")</f>
        <v>0</v>
      </c>
      <c r="Y745" s="25"/>
      <c r="Z745" s="298" t="s">
        <v>232</v>
      </c>
      <c r="AA745" s="300" t="s">
        <v>233</v>
      </c>
      <c r="AB745" s="301"/>
      <c r="AC745" s="25"/>
      <c r="AD745" s="25"/>
      <c r="AH745" s="109">
        <v>4</v>
      </c>
      <c r="AI745" s="109" t="str">
        <f>IF($E745="SS",COUNTIFS($C755:$C779,"FST",$E755:$E779,"4"),"0")</f>
        <v>0</v>
      </c>
      <c r="AJ745" s="109" t="str">
        <f>IF($E745="RPX",COUNTIFS($C755:$C779,"FST",$E755:$E779,"4"),"0")</f>
        <v>0</v>
      </c>
      <c r="AK745" s="109">
        <f>IF($E745="EUC",COUNTIFS($C755:$C779,"FST",$E755:$E779,"4"),"0")</f>
        <v>1</v>
      </c>
      <c r="AL745" s="109" t="str">
        <f>IF($E745="RPX-T",COUNTIFS($C755:$C779,"FST",$E755:$E779,"4"),"0")</f>
        <v>0</v>
      </c>
      <c r="AS745" s="109" t="str">
        <f>IF(AND(E750="Y",E746=24,E747=0),"Y","N")</f>
        <v>Y</v>
      </c>
      <c r="AT745" s="110" t="s">
        <v>234</v>
      </c>
      <c r="AU745" s="109">
        <f>COUNTIFS($E745,"SS",$AS745,"Y")</f>
        <v>0</v>
      </c>
      <c r="AV745" s="111">
        <f>COUNTIFS($E745,"RPX",$AS745,"Y")</f>
        <v>0</v>
      </c>
      <c r="AW745" s="111">
        <f>COUNTIFS($E745,"EUC",$AS745,"Y")</f>
        <v>1</v>
      </c>
      <c r="AX745" s="109">
        <f>COUNTIFS($E745,"RPX-T",$AS745,"Y")</f>
        <v>0</v>
      </c>
      <c r="BA745" s="226"/>
    </row>
    <row r="746" spans="1:53" ht="16.5" thickTop="1" thickBot="1" x14ac:dyDescent="0.3">
      <c r="A746" s="88"/>
      <c r="B746" s="36" t="s">
        <v>235</v>
      </c>
      <c r="C746" s="37">
        <v>0</v>
      </c>
      <c r="D746" s="38" t="s">
        <v>236</v>
      </c>
      <c r="E746" s="32">
        <v>24</v>
      </c>
      <c r="F746" s="88"/>
      <c r="G746" s="291" t="s">
        <v>237</v>
      </c>
      <c r="H746" s="292"/>
      <c r="I746" s="35">
        <f>IF(E746=0,0,12-(MOD(I744,12)))</f>
        <v>12</v>
      </c>
      <c r="J746" s="289" t="s">
        <v>238</v>
      </c>
      <c r="K746" s="290"/>
      <c r="L746" s="39">
        <f>I750-I744</f>
        <v>456</v>
      </c>
      <c r="M746" s="195">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9"/>
      <c r="AA746" s="302"/>
      <c r="AB746" s="303"/>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6"/>
    </row>
    <row r="747" spans="1:53" ht="16.5" customHeight="1" thickTop="1" thickBot="1" x14ac:dyDescent="0.3">
      <c r="A747" s="88"/>
      <c r="B747" s="40" t="s">
        <v>240</v>
      </c>
      <c r="C747" s="30">
        <v>0</v>
      </c>
      <c r="D747" s="41" t="s">
        <v>241</v>
      </c>
      <c r="E747" s="42">
        <v>0</v>
      </c>
      <c r="F747" s="88"/>
      <c r="G747" s="321" t="s">
        <v>242</v>
      </c>
      <c r="H747" s="43" t="s">
        <v>243</v>
      </c>
      <c r="I747" s="35">
        <f>IF(E747&lt;&gt;0,1,0)</f>
        <v>0</v>
      </c>
      <c r="J747" s="291" t="s">
        <v>244</v>
      </c>
      <c r="K747" s="292"/>
      <c r="L747" s="44">
        <f>'Cable Calculator'!CP3</f>
        <v>735</v>
      </c>
      <c r="M747" s="195">
        <v>8</v>
      </c>
      <c r="N747" s="35">
        <f>SUM(AI747,AI758)</f>
        <v>0</v>
      </c>
      <c r="O747" s="35">
        <v>0</v>
      </c>
      <c r="P747" s="35">
        <f>SUM(AJ747,AJ758)</f>
        <v>0</v>
      </c>
      <c r="Q747" s="35">
        <v>0</v>
      </c>
      <c r="R747" s="35">
        <f>COUNTIFS($E755:$E779,"8",$F755:$F779,"Pole",$C755:$C779,"FST")</f>
        <v>0</v>
      </c>
      <c r="S747" s="35">
        <f>SUM(AL747,AK758)</f>
        <v>0</v>
      </c>
      <c r="T747" s="35">
        <v>0</v>
      </c>
      <c r="U747" s="35">
        <f>SUM(AK747,AL758)</f>
        <v>1</v>
      </c>
      <c r="V747" s="35">
        <v>0</v>
      </c>
      <c r="W747" s="34">
        <f>COUNTIFS($E755:$E779,"8",$F755:$F779,"HH",$C755:$C779,"FST")</f>
        <v>1</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1</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6"/>
    </row>
    <row r="748" spans="1:53" ht="16.5" thickTop="1" thickBot="1" x14ac:dyDescent="0.3">
      <c r="A748" s="88"/>
      <c r="B748" s="29" t="s">
        <v>246</v>
      </c>
      <c r="C748" s="37">
        <v>0</v>
      </c>
      <c r="D748" s="41" t="s">
        <v>247</v>
      </c>
      <c r="E748" s="42">
        <v>457</v>
      </c>
      <c r="F748" s="88"/>
      <c r="G748" s="322"/>
      <c r="H748" s="47" t="s">
        <v>248</v>
      </c>
      <c r="I748" s="35">
        <f>IF(E747&lt;&gt;0,E747,0)</f>
        <v>0</v>
      </c>
      <c r="J748" s="193"/>
      <c r="K748" s="194"/>
      <c r="L748" s="48"/>
      <c r="M748" s="195">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0</v>
      </c>
      <c r="V748" s="35">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6"/>
    </row>
    <row r="749" spans="1:53" ht="16.5" customHeight="1" thickTop="1" thickBot="1" x14ac:dyDescent="0.3">
      <c r="A749" s="88"/>
      <c r="B749" s="36" t="s">
        <v>249</v>
      </c>
      <c r="C749" s="30">
        <v>0</v>
      </c>
      <c r="D749" s="49" t="s">
        <v>250</v>
      </c>
      <c r="E749" s="50">
        <f>E746/12</f>
        <v>2</v>
      </c>
      <c r="F749" s="88"/>
      <c r="G749" s="321" t="s">
        <v>251</v>
      </c>
      <c r="H749" s="51" t="s">
        <v>252</v>
      </c>
      <c r="I749" s="112">
        <f>E748</f>
        <v>457</v>
      </c>
      <c r="J749" s="323" t="s">
        <v>253</v>
      </c>
      <c r="K749" s="324"/>
      <c r="L749" s="325"/>
      <c r="M749" s="52" t="s">
        <v>254</v>
      </c>
      <c r="N749" s="106"/>
      <c r="O749" s="106"/>
      <c r="P749" s="191"/>
      <c r="Q749" s="191"/>
      <c r="R749" s="191"/>
      <c r="S749" s="191"/>
      <c r="T749" s="191"/>
      <c r="U749" s="191"/>
      <c r="V749" s="191"/>
      <c r="W749" s="53">
        <f>SUM(P749:U749)</f>
        <v>0</v>
      </c>
      <c r="X749" s="54"/>
      <c r="Y749" s="25"/>
      <c r="Z749" s="45">
        <v>3</v>
      </c>
      <c r="AA749" s="46">
        <v>25</v>
      </c>
      <c r="AB749" s="46">
        <v>36</v>
      </c>
      <c r="AC749" s="25"/>
      <c r="AD749" s="25"/>
      <c r="BA749" s="226"/>
    </row>
    <row r="750" spans="1:53" ht="16.5" thickTop="1" thickBot="1" x14ac:dyDescent="0.3">
      <c r="A750" s="88"/>
      <c r="B750" s="36" t="s">
        <v>255</v>
      </c>
      <c r="C750" s="30">
        <v>0</v>
      </c>
      <c r="D750" s="31" t="s">
        <v>256</v>
      </c>
      <c r="E750" s="101" t="str">
        <f>IF('Cable Calculator'!CP5="","",'Cable Calculator'!CP5)</f>
        <v>Y</v>
      </c>
      <c r="F750" s="88"/>
      <c r="G750" s="322"/>
      <c r="H750" s="47" t="s">
        <v>257</v>
      </c>
      <c r="I750" s="35">
        <f>IF(E748="","0",IF(AND(E745="EUC",E746=432), I749+(203-E747),IF(E748=0,0,(E748+(E746-E747)-1))))</f>
        <v>480</v>
      </c>
      <c r="J750" s="286" t="str">
        <f>IFERROR(IF(OR(E745="EUC",E745="SS"),"---",IF(OR(P744,S744),"NO 2F Tethers for RPX!",IF(OR(P746,S746),"NO 6F Tethers for RPX!","---"))),"---")</f>
        <v>---</v>
      </c>
      <c r="K750" s="287"/>
      <c r="L750" s="288"/>
      <c r="M750" s="286" t="str">
        <f>IF(E747&gt;60,"Dead Count &gt;60: Consider Downsize","---")</f>
        <v>---</v>
      </c>
      <c r="N750" s="287"/>
      <c r="O750" s="287"/>
      <c r="P750" s="287"/>
      <c r="Q750" s="287"/>
      <c r="R750" s="287"/>
      <c r="S750" s="287"/>
      <c r="T750" s="287"/>
      <c r="U750" s="288"/>
      <c r="V750" s="100"/>
      <c r="W750" s="54">
        <f>SUM(P750:U750)</f>
        <v>0</v>
      </c>
      <c r="X750" s="54"/>
      <c r="Y750" s="25"/>
      <c r="Z750" s="45">
        <v>4</v>
      </c>
      <c r="AA750" s="46">
        <v>37</v>
      </c>
      <c r="AB750" s="46">
        <v>48</v>
      </c>
      <c r="AC750" s="25"/>
      <c r="AD750" s="25"/>
      <c r="BA750" s="226"/>
    </row>
    <row r="751" spans="1:53" ht="16.5" thickTop="1" thickBot="1" x14ac:dyDescent="0.3">
      <c r="A751" s="88"/>
      <c r="B751" s="55" t="s">
        <v>258</v>
      </c>
      <c r="C751" s="56">
        <f>SUM(C745:C750)+I744</f>
        <v>36</v>
      </c>
      <c r="D751" s="31" t="s">
        <v>259</v>
      </c>
      <c r="E751" s="101" t="str">
        <f>IF(AS745="Y","DBL",IF(AS746="Y","TRPL",IF(AS747="Y","QUAD","")))</f>
        <v>DBL</v>
      </c>
      <c r="F751" s="88"/>
      <c r="G751" s="191"/>
      <c r="H751" s="57"/>
      <c r="I751" s="191"/>
      <c r="J751" s="286"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7"/>
      <c r="L751" s="288"/>
      <c r="M751" s="286" t="str">
        <f>IF(AND(OR(E745="SS",E745="RPX",E745="EUC",E745="RPX-T"),(OR(C755="",C755="Field SPL"))),"Cannot have FlexNap cables without tethers","---")</f>
        <v>---</v>
      </c>
      <c r="N751" s="287"/>
      <c r="O751" s="287"/>
      <c r="P751" s="287"/>
      <c r="Q751" s="287"/>
      <c r="R751" s="287"/>
      <c r="S751" s="287"/>
      <c r="T751" s="287"/>
      <c r="U751" s="288"/>
      <c r="V751" s="25"/>
      <c r="W751" s="58"/>
      <c r="X751" s="58"/>
      <c r="Y751" s="25"/>
      <c r="Z751" s="45">
        <v>5</v>
      </c>
      <c r="AA751" s="46">
        <v>49</v>
      </c>
      <c r="AB751" s="46">
        <v>60</v>
      </c>
      <c r="AC751" s="25"/>
      <c r="AD751" s="25"/>
      <c r="BA751" s="226"/>
    </row>
    <row r="752" spans="1:53" ht="16.5" thickTop="1" thickBot="1" x14ac:dyDescent="0.3">
      <c r="A752" s="88"/>
      <c r="B752" s="59"/>
      <c r="C752" s="60"/>
      <c r="D752" s="61"/>
      <c r="E752" s="62"/>
      <c r="F752" s="88"/>
      <c r="G752" s="63"/>
      <c r="H752" s="64"/>
      <c r="I752" s="63"/>
      <c r="J752" s="286" t="str">
        <f>IF(AND(OR(E745="RPX", E745="RPX-T", E745="SS"),E746=216),"NO 216 For RPX, RPX-T, OR SS CABLE","---")</f>
        <v>---</v>
      </c>
      <c r="K752" s="287"/>
      <c r="L752" s="288"/>
      <c r="M752" s="286" t="str" cm="1">
        <f t="array" ref="M752">IF(AND(E745="",OR(C755:C779="FST",C755:C779="REV T",C755:C779="DBL REV",C755:C779="TPL REV", C755:C779="QD REV")),"Non-FlexNap cables cannot have tethers","---")</f>
        <v>---</v>
      </c>
      <c r="N752" s="287"/>
      <c r="O752" s="287"/>
      <c r="P752" s="287"/>
      <c r="Q752" s="287"/>
      <c r="R752" s="287"/>
      <c r="S752" s="287"/>
      <c r="T752" s="287"/>
      <c r="U752" s="288"/>
      <c r="V752" s="25"/>
      <c r="W752" s="58"/>
      <c r="X752" s="58"/>
      <c r="Y752" s="25"/>
      <c r="Z752" s="45">
        <v>6</v>
      </c>
      <c r="AA752" s="65">
        <v>61</v>
      </c>
      <c r="AB752" s="65">
        <v>72</v>
      </c>
      <c r="AC752" s="25"/>
      <c r="AD752" s="25"/>
      <c r="BA752" s="225"/>
    </row>
    <row r="753" spans="1:53" ht="15.75" customHeight="1" thickBot="1" x14ac:dyDescent="0.3">
      <c r="A753" s="88"/>
      <c r="B753" s="321" t="s">
        <v>260</v>
      </c>
      <c r="C753" s="293" t="s">
        <v>261</v>
      </c>
      <c r="D753" s="293" t="s">
        <v>262</v>
      </c>
      <c r="E753" s="306" t="s">
        <v>263</v>
      </c>
      <c r="F753" s="293" t="s">
        <v>264</v>
      </c>
      <c r="G753" s="308" t="s">
        <v>265</v>
      </c>
      <c r="H753" s="308" t="s">
        <v>266</v>
      </c>
      <c r="I753" s="308" t="s">
        <v>267</v>
      </c>
      <c r="J753" s="310" t="s">
        <v>268</v>
      </c>
      <c r="K753" s="293" t="s">
        <v>269</v>
      </c>
      <c r="L753" s="280" t="s">
        <v>270</v>
      </c>
      <c r="M753" s="282" t="s">
        <v>271</v>
      </c>
      <c r="N753" s="282"/>
      <c r="O753" s="282"/>
      <c r="P753" s="282"/>
      <c r="Q753" s="282"/>
      <c r="R753" s="282"/>
      <c r="S753" s="282"/>
      <c r="T753" s="282"/>
      <c r="U753" s="283"/>
      <c r="V753" s="107"/>
      <c r="W753" s="72"/>
      <c r="X753" s="72"/>
      <c r="Y753" s="72"/>
      <c r="Z753" s="45">
        <v>7</v>
      </c>
      <c r="AA753" s="65">
        <v>73</v>
      </c>
      <c r="AB753" s="65">
        <v>84</v>
      </c>
      <c r="AC753" s="25"/>
      <c r="AD753" s="25"/>
      <c r="BA753" s="227"/>
    </row>
    <row r="754" spans="1:53" ht="15.75" thickBot="1" x14ac:dyDescent="0.3">
      <c r="A754" s="88"/>
      <c r="B754" s="322"/>
      <c r="C754" s="294"/>
      <c r="D754" s="294"/>
      <c r="E754" s="307"/>
      <c r="F754" s="294"/>
      <c r="G754" s="309"/>
      <c r="H754" s="309"/>
      <c r="I754" s="309"/>
      <c r="J754" s="311"/>
      <c r="K754" s="294"/>
      <c r="L754" s="281"/>
      <c r="M754" s="284"/>
      <c r="N754" s="284"/>
      <c r="O754" s="284"/>
      <c r="P754" s="284"/>
      <c r="Q754" s="284"/>
      <c r="R754" s="284"/>
      <c r="S754" s="284"/>
      <c r="T754" s="284"/>
      <c r="U754" s="285"/>
      <c r="V754" s="107"/>
      <c r="W754" s="72"/>
      <c r="X754" s="72"/>
      <c r="Y754" s="72"/>
      <c r="Z754" s="45">
        <v>8</v>
      </c>
      <c r="AA754" s="46">
        <v>85</v>
      </c>
      <c r="AB754" s="46">
        <v>96</v>
      </c>
      <c r="AC754" s="25"/>
      <c r="AD754" s="25"/>
      <c r="AI754" s="109" t="s">
        <v>272</v>
      </c>
      <c r="AJ754" s="109" t="s">
        <v>273</v>
      </c>
      <c r="AK754" s="109" t="s">
        <v>274</v>
      </c>
      <c r="AL754" s="109" t="s">
        <v>275</v>
      </c>
      <c r="BA754" s="227"/>
    </row>
    <row r="755" spans="1:53" ht="15.75" thickBot="1" x14ac:dyDescent="0.3">
      <c r="A755" s="88"/>
      <c r="B755" s="66" t="s">
        <v>276</v>
      </c>
      <c r="C755" s="67" t="s">
        <v>484</v>
      </c>
      <c r="D755" s="102" t="s">
        <v>775</v>
      </c>
      <c r="E755" s="32">
        <v>4</v>
      </c>
      <c r="F755" s="32" t="s">
        <v>488</v>
      </c>
      <c r="G755" s="68" t="s">
        <v>277</v>
      </c>
      <c r="H755" s="69">
        <f>IF(I755=0,0,I755-(E755-1))</f>
        <v>477</v>
      </c>
      <c r="I755" s="70">
        <f>IF(E755=0,0,I750)</f>
        <v>480</v>
      </c>
      <c r="J755" s="71" t="s">
        <v>278</v>
      </c>
      <c r="K755" s="32"/>
      <c r="L755" s="232"/>
      <c r="M755" s="278"/>
      <c r="N755" s="278"/>
      <c r="O755" s="278"/>
      <c r="P755" s="278"/>
      <c r="Q755" s="278"/>
      <c r="R755" s="278"/>
      <c r="S755" s="278"/>
      <c r="T755" s="278"/>
      <c r="U755" s="279"/>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477-480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8">
        <f>MOD(E755,12)</f>
        <v>4</v>
      </c>
    </row>
    <row r="756" spans="1:53" ht="15.75" thickBot="1" x14ac:dyDescent="0.3">
      <c r="A756" s="88"/>
      <c r="B756" s="66" t="s">
        <v>279</v>
      </c>
      <c r="C756" s="67" t="s">
        <v>484</v>
      </c>
      <c r="D756" s="102" t="s">
        <v>776</v>
      </c>
      <c r="E756" s="32">
        <v>8</v>
      </c>
      <c r="F756" s="32" t="s">
        <v>488</v>
      </c>
      <c r="G756" s="68" t="s">
        <v>277</v>
      </c>
      <c r="H756" s="69">
        <f t="shared" ref="H756:H779" si="315">IF(E756=0,0,I756-(E756-1))</f>
        <v>469</v>
      </c>
      <c r="I756" s="70">
        <f t="shared" ref="I756:I779" si="316">IF(E756=0,0,H755-1)</f>
        <v>476</v>
      </c>
      <c r="J756" s="73" t="str">
        <f>IF(C756="","--",IF(AND(C756&lt;&gt;"FST",C756&lt;&gt;"TCF",BA755&lt;&gt;0),BA755,"--"))</f>
        <v>--</v>
      </c>
      <c r="K756" s="32"/>
      <c r="L756" s="232"/>
      <c r="M756" s="278"/>
      <c r="N756" s="278"/>
      <c r="O756" s="278"/>
      <c r="P756" s="278"/>
      <c r="Q756" s="278"/>
      <c r="R756" s="278"/>
      <c r="S756" s="278"/>
      <c r="T756" s="278"/>
      <c r="U756" s="279"/>
      <c r="V756" s="103"/>
      <c r="W756" s="72"/>
      <c r="X756" s="72"/>
      <c r="Y756" s="72"/>
      <c r="Z756" s="45">
        <v>10</v>
      </c>
      <c r="AA756" s="46">
        <v>109</v>
      </c>
      <c r="AB756" s="46">
        <v>120</v>
      </c>
      <c r="AC756" s="72">
        <f t="shared" si="306"/>
        <v>1</v>
      </c>
      <c r="AD756" s="72">
        <f t="shared" si="307"/>
        <v>0</v>
      </c>
      <c r="AE756" s="109" t="str">
        <f t="shared" si="308"/>
        <v>469-476</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8">
        <f>MOD(SUM(E755:E756),12)</f>
        <v>0</v>
      </c>
    </row>
    <row r="757" spans="1:53" ht="15.75" thickBot="1" x14ac:dyDescent="0.3">
      <c r="A757" s="88"/>
      <c r="B757" s="74" t="s">
        <v>280</v>
      </c>
      <c r="C757" s="67"/>
      <c r="D757" s="102"/>
      <c r="E757" s="32">
        <v>12</v>
      </c>
      <c r="F757" s="32"/>
      <c r="G757" s="75" t="s">
        <v>277</v>
      </c>
      <c r="H757" s="69">
        <f t="shared" si="315"/>
        <v>457</v>
      </c>
      <c r="I757" s="70">
        <f t="shared" si="316"/>
        <v>468</v>
      </c>
      <c r="J757" s="73" t="str">
        <f t="shared" ref="J757:J779" si="317">IF(C757="","--",IF(AND(C757&lt;&gt;"FST",C757&lt;&gt;"TCF",BA756&lt;&gt;0),BA756,"--"))</f>
        <v>--</v>
      </c>
      <c r="K757" s="32"/>
      <c r="L757" s="232"/>
      <c r="M757" s="278"/>
      <c r="N757" s="278"/>
      <c r="O757" s="278"/>
      <c r="P757" s="278"/>
      <c r="Q757" s="278"/>
      <c r="R757" s="278"/>
      <c r="S757" s="278"/>
      <c r="T757" s="278"/>
      <c r="U757" s="279"/>
      <c r="V757" s="103"/>
      <c r="W757" s="72"/>
      <c r="X757" s="72"/>
      <c r="Y757" s="72"/>
      <c r="Z757" s="45">
        <v>11</v>
      </c>
      <c r="AA757" s="46">
        <v>121</v>
      </c>
      <c r="AB757" s="46">
        <v>132</v>
      </c>
      <c r="AC757" s="72">
        <f t="shared" si="306"/>
        <v>1</v>
      </c>
      <c r="AD757" s="72">
        <f t="shared" si="307"/>
        <v>1</v>
      </c>
      <c r="AE757" s="109" t="str">
        <f t="shared" si="308"/>
        <v>457-468</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8">
        <f>MOD(SUM(E755:E758),12)</f>
        <v>0</v>
      </c>
    </row>
    <row r="758" spans="1:53" ht="15.75" thickBot="1" x14ac:dyDescent="0.3">
      <c r="A758" s="88"/>
      <c r="B758" s="66" t="s">
        <v>281</v>
      </c>
      <c r="C758" s="67"/>
      <c r="D758" s="254"/>
      <c r="E758" s="102"/>
      <c r="F758" s="32"/>
      <c r="G758" s="68" t="s">
        <v>277</v>
      </c>
      <c r="H758" s="69" t="e">
        <f>IF(#REF!=0,0,I758-(#REF!-1))</f>
        <v>#REF!</v>
      </c>
      <c r="I758" s="70" t="e">
        <f>IF(#REF!=0,0,H757-1)</f>
        <v>#REF!</v>
      </c>
      <c r="J758" s="73" t="str">
        <f t="shared" si="317"/>
        <v>--</v>
      </c>
      <c r="K758" s="32"/>
      <c r="L758" s="232"/>
      <c r="M758" s="278"/>
      <c r="N758" s="278"/>
      <c r="O758" s="278"/>
      <c r="P758" s="278"/>
      <c r="Q758" s="278"/>
      <c r="R758" s="278"/>
      <c r="S758" s="278"/>
      <c r="T758" s="278"/>
      <c r="U758" s="279"/>
      <c r="V758" s="103"/>
      <c r="W758" s="72"/>
      <c r="X758" s="72"/>
      <c r="Y758" s="72"/>
      <c r="Z758" s="45">
        <v>12</v>
      </c>
      <c r="AA758" s="76">
        <v>133</v>
      </c>
      <c r="AB758" s="76">
        <v>144</v>
      </c>
      <c r="AC758" s="72">
        <f t="shared" si="306"/>
        <v>1</v>
      </c>
      <c r="AD758" s="72">
        <f t="shared" si="307"/>
        <v>1</v>
      </c>
      <c r="AE758" s="109" t="e">
        <f t="shared" si="308"/>
        <v>#REF!</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
      </c>
      <c r="AQ758" s="109" t="str">
        <f t="shared" si="314"/>
        <v/>
      </c>
      <c r="BA758" s="228">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2"/>
      <c r="M759" s="278"/>
      <c r="N759" s="278"/>
      <c r="O759" s="278"/>
      <c r="P759" s="278"/>
      <c r="Q759" s="278"/>
      <c r="R759" s="278"/>
      <c r="S759" s="278"/>
      <c r="T759" s="278"/>
      <c r="U759" s="279"/>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
      </c>
      <c r="AQ759" s="109" t="str">
        <f t="shared" si="314"/>
        <v/>
      </c>
      <c r="BA759" s="228">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2"/>
      <c r="M760" s="278"/>
      <c r="N760" s="278"/>
      <c r="O760" s="278"/>
      <c r="P760" s="278"/>
      <c r="Q760" s="278"/>
      <c r="R760" s="278"/>
      <c r="S760" s="278"/>
      <c r="T760" s="278"/>
      <c r="U760" s="279"/>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8">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2"/>
      <c r="M761" s="278"/>
      <c r="N761" s="278"/>
      <c r="O761" s="278"/>
      <c r="P761" s="278"/>
      <c r="Q761" s="278"/>
      <c r="R761" s="278"/>
      <c r="S761" s="278"/>
      <c r="T761" s="278"/>
      <c r="U761" s="279"/>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8">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2"/>
      <c r="M762" s="278"/>
      <c r="N762" s="278"/>
      <c r="O762" s="278"/>
      <c r="P762" s="278"/>
      <c r="Q762" s="278"/>
      <c r="R762" s="278"/>
      <c r="S762" s="278"/>
      <c r="T762" s="278"/>
      <c r="U762" s="279"/>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8">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2"/>
      <c r="M763" s="278"/>
      <c r="N763" s="278"/>
      <c r="O763" s="278"/>
      <c r="P763" s="278"/>
      <c r="Q763" s="278"/>
      <c r="R763" s="278"/>
      <c r="S763" s="278"/>
      <c r="T763" s="278"/>
      <c r="U763" s="279"/>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8">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2"/>
      <c r="M764" s="278"/>
      <c r="N764" s="278"/>
      <c r="O764" s="278"/>
      <c r="P764" s="278"/>
      <c r="Q764" s="278"/>
      <c r="R764" s="278"/>
      <c r="S764" s="278"/>
      <c r="T764" s="278"/>
      <c r="U764" s="279"/>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8">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2"/>
      <c r="M765" s="278"/>
      <c r="N765" s="278"/>
      <c r="O765" s="278"/>
      <c r="P765" s="278"/>
      <c r="Q765" s="278"/>
      <c r="R765" s="278"/>
      <c r="S765" s="278"/>
      <c r="T765" s="278"/>
      <c r="U765" s="279"/>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8">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2"/>
      <c r="M766" s="278"/>
      <c r="N766" s="278"/>
      <c r="O766" s="278"/>
      <c r="P766" s="278"/>
      <c r="Q766" s="278"/>
      <c r="R766" s="278"/>
      <c r="S766" s="278"/>
      <c r="T766" s="278"/>
      <c r="U766" s="279"/>
      <c r="V766" s="103"/>
      <c r="W766" s="84">
        <f>Y766+1</f>
        <v>25</v>
      </c>
      <c r="X766" s="84"/>
      <c r="Y766" s="78">
        <f>SUM(E755:E766)</f>
        <v>24</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8">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2"/>
      <c r="M767" s="278"/>
      <c r="N767" s="278"/>
      <c r="O767" s="278"/>
      <c r="P767" s="278"/>
      <c r="Q767" s="278"/>
      <c r="R767" s="278"/>
      <c r="S767" s="278"/>
      <c r="T767" s="278"/>
      <c r="U767" s="279"/>
      <c r="V767" s="103"/>
      <c r="W767" s="84">
        <f>Y767+1</f>
        <v>25</v>
      </c>
      <c r="X767" s="84"/>
      <c r="Y767" s="78">
        <f>SUM(E755:E767)</f>
        <v>24</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8">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2"/>
      <c r="M768" s="278"/>
      <c r="N768" s="278"/>
      <c r="O768" s="278"/>
      <c r="P768" s="278"/>
      <c r="Q768" s="278"/>
      <c r="R768" s="278"/>
      <c r="S768" s="278"/>
      <c r="T768" s="278"/>
      <c r="U768" s="279"/>
      <c r="V768" s="103"/>
      <c r="W768" s="84">
        <f>Y768+1</f>
        <v>25</v>
      </c>
      <c r="X768" s="84"/>
      <c r="Y768" s="78">
        <f>SUM(E755:E768)</f>
        <v>24</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8">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2"/>
      <c r="M769" s="278"/>
      <c r="N769" s="278"/>
      <c r="O769" s="278"/>
      <c r="P769" s="278"/>
      <c r="Q769" s="278"/>
      <c r="R769" s="278"/>
      <c r="S769" s="278"/>
      <c r="T769" s="278"/>
      <c r="U769" s="279"/>
      <c r="V769" s="103"/>
      <c r="W769" s="84">
        <f>Y769+1</f>
        <v>25</v>
      </c>
      <c r="X769" s="84"/>
      <c r="Y769" s="78">
        <f>SUM(E755:E769)</f>
        <v>24</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8">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2"/>
      <c r="M770" s="278"/>
      <c r="N770" s="278"/>
      <c r="O770" s="278"/>
      <c r="P770" s="278"/>
      <c r="Q770" s="278"/>
      <c r="R770" s="278"/>
      <c r="S770" s="278"/>
      <c r="T770" s="278"/>
      <c r="U770" s="279"/>
      <c r="V770" s="103"/>
      <c r="W770" s="84">
        <f t="shared" ref="W770:W778" si="322">Y770+1</f>
        <v>25</v>
      </c>
      <c r="X770" s="84"/>
      <c r="Y770" s="78">
        <f>SUM(E755:E770)</f>
        <v>24</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8">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2"/>
      <c r="M771" s="278"/>
      <c r="N771" s="278"/>
      <c r="O771" s="278"/>
      <c r="P771" s="278"/>
      <c r="Q771" s="278"/>
      <c r="R771" s="278"/>
      <c r="S771" s="278"/>
      <c r="T771" s="278"/>
      <c r="U771" s="279"/>
      <c r="V771" s="103"/>
      <c r="W771" s="84">
        <f t="shared" si="322"/>
        <v>25</v>
      </c>
      <c r="X771" s="84"/>
      <c r="Y771" s="78">
        <f>SUM(E755:E771)</f>
        <v>24</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8">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2"/>
      <c r="M772" s="278"/>
      <c r="N772" s="278"/>
      <c r="O772" s="278"/>
      <c r="P772" s="278"/>
      <c r="Q772" s="278"/>
      <c r="R772" s="278"/>
      <c r="S772" s="278"/>
      <c r="T772" s="278"/>
      <c r="U772" s="279"/>
      <c r="V772" s="103"/>
      <c r="W772" s="84">
        <f t="shared" si="322"/>
        <v>25</v>
      </c>
      <c r="X772" s="84"/>
      <c r="Y772" s="78">
        <f>SUM(E755:E772)</f>
        <v>24</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8">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2"/>
      <c r="M773" s="278"/>
      <c r="N773" s="278"/>
      <c r="O773" s="278"/>
      <c r="P773" s="278"/>
      <c r="Q773" s="278"/>
      <c r="R773" s="278"/>
      <c r="S773" s="278"/>
      <c r="T773" s="278"/>
      <c r="U773" s="279"/>
      <c r="V773" s="103"/>
      <c r="W773" s="84">
        <f t="shared" si="322"/>
        <v>25</v>
      </c>
      <c r="X773" s="84"/>
      <c r="Y773" s="78">
        <f>SUM(E755:E773)</f>
        <v>24</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8">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2"/>
      <c r="M774" s="278"/>
      <c r="N774" s="278"/>
      <c r="O774" s="278"/>
      <c r="P774" s="278"/>
      <c r="Q774" s="278"/>
      <c r="R774" s="278"/>
      <c r="S774" s="278"/>
      <c r="T774" s="278"/>
      <c r="U774" s="279"/>
      <c r="V774" s="103"/>
      <c r="W774" s="84">
        <f t="shared" si="322"/>
        <v>25</v>
      </c>
      <c r="X774" s="84"/>
      <c r="Y774" s="78">
        <f>SUM(E755:E774)</f>
        <v>24</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8">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2"/>
      <c r="M775" s="278"/>
      <c r="N775" s="278"/>
      <c r="O775" s="278"/>
      <c r="P775" s="278"/>
      <c r="Q775" s="278"/>
      <c r="R775" s="278"/>
      <c r="S775" s="278"/>
      <c r="T775" s="278"/>
      <c r="U775" s="279"/>
      <c r="V775" s="103"/>
      <c r="W775" s="84">
        <f t="shared" si="322"/>
        <v>25</v>
      </c>
      <c r="X775" s="84"/>
      <c r="Y775" s="78">
        <f>SUM(E755:E775)</f>
        <v>24</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8">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2"/>
      <c r="M776" s="278"/>
      <c r="N776" s="278"/>
      <c r="O776" s="278"/>
      <c r="P776" s="278"/>
      <c r="Q776" s="278"/>
      <c r="R776" s="278"/>
      <c r="S776" s="278"/>
      <c r="T776" s="278"/>
      <c r="U776" s="279"/>
      <c r="V776" s="103"/>
      <c r="W776" s="84">
        <f t="shared" si="322"/>
        <v>25</v>
      </c>
      <c r="X776" s="84"/>
      <c r="Y776" s="78">
        <f>SUM(E755:E776)</f>
        <v>24</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8">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2"/>
      <c r="M777" s="278"/>
      <c r="N777" s="278"/>
      <c r="O777" s="278"/>
      <c r="P777" s="278"/>
      <c r="Q777" s="278"/>
      <c r="R777" s="278"/>
      <c r="S777" s="278"/>
      <c r="T777" s="278"/>
      <c r="U777" s="279"/>
      <c r="V777" s="103"/>
      <c r="W777" s="84">
        <f t="shared" si="322"/>
        <v>25</v>
      </c>
      <c r="X777" s="84"/>
      <c r="Y777" s="78">
        <f>SUM(E755:E777)</f>
        <v>24</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8">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2"/>
      <c r="M778" s="278"/>
      <c r="N778" s="278"/>
      <c r="O778" s="278"/>
      <c r="P778" s="278"/>
      <c r="Q778" s="278"/>
      <c r="R778" s="278"/>
      <c r="S778" s="278"/>
      <c r="T778" s="278"/>
      <c r="U778" s="279"/>
      <c r="V778" s="103"/>
      <c r="W778" s="84">
        <f t="shared" si="322"/>
        <v>25</v>
      </c>
      <c r="X778" s="84"/>
      <c r="Y778" s="78">
        <f>SUM(E755:E778)</f>
        <v>24</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8">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3"/>
      <c r="M779" s="278"/>
      <c r="N779" s="278"/>
      <c r="O779" s="278"/>
      <c r="P779" s="278"/>
      <c r="Q779" s="278"/>
      <c r="R779" s="278"/>
      <c r="S779" s="278"/>
      <c r="T779" s="278"/>
      <c r="U779" s="279"/>
      <c r="V779" s="103"/>
      <c r="W779" s="72"/>
      <c r="X779" s="72"/>
      <c r="Y779" s="78">
        <f>SUM(E755:E779)</f>
        <v>24</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7"/>
    </row>
    <row r="780" spans="1:53" ht="16.5" thickBot="1" x14ac:dyDescent="0.3">
      <c r="A780" s="88"/>
      <c r="B780" s="319" t="s">
        <v>341</v>
      </c>
      <c r="C780" s="320"/>
      <c r="D780" s="79"/>
      <c r="E780" s="80"/>
      <c r="F780" s="80"/>
      <c r="G780" s="81"/>
      <c r="H780" s="191"/>
      <c r="I780" s="191"/>
      <c r="J780" s="191"/>
      <c r="K780" s="82"/>
      <c r="L780" s="319" t="s">
        <v>306</v>
      </c>
      <c r="M780" s="330"/>
      <c r="N780" s="330"/>
      <c r="O780" s="330"/>
      <c r="P780" s="330"/>
      <c r="Q780" s="330"/>
      <c r="R780" s="330"/>
      <c r="S780" s="330"/>
      <c r="T780" s="330"/>
      <c r="U780" s="320"/>
      <c r="V780" s="104"/>
      <c r="W780" s="72"/>
      <c r="X780" s="72"/>
      <c r="Y780" s="72"/>
      <c r="Z780" s="72"/>
      <c r="AA780" s="72" t="str">
        <f t="shared" si="321"/>
        <v/>
      </c>
      <c r="AB780" s="72"/>
      <c r="AC780" s="72">
        <f>SUM(AC755:AC779)</f>
        <v>25</v>
      </c>
      <c r="AD780" s="72">
        <f>SUM(AD755:AD779)</f>
        <v>23</v>
      </c>
      <c r="AM780" s="109">
        <f>SUM(AM755:AM779)</f>
        <v>0</v>
      </c>
      <c r="AN780" s="109">
        <f>SUM(AN755:AN779)</f>
        <v>0</v>
      </c>
      <c r="AO780" s="109">
        <f>((COUNTIF(AO755:AO779,"Y")/3)*2)</f>
        <v>0</v>
      </c>
      <c r="AP780" s="109">
        <f>(COUNTIF(AO755:AO779,"Y")/3)</f>
        <v>0</v>
      </c>
      <c r="AQ780" s="109">
        <f>(COUNTIF(AQ755:AQ779,"Y")/2)</f>
        <v>0</v>
      </c>
      <c r="AR780" s="109">
        <f>(COUNTIF(AQ755:AQ779,"Y")/2)</f>
        <v>0</v>
      </c>
      <c r="BA780" s="227"/>
    </row>
    <row r="781" spans="1:53" ht="16.5" thickBot="1" x14ac:dyDescent="0.3">
      <c r="A781" s="88"/>
      <c r="B781" s="319" t="s">
        <v>307</v>
      </c>
      <c r="C781" s="320"/>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5"/>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5" t="s">
        <v>210</v>
      </c>
      <c r="N784" s="195" t="s">
        <v>211</v>
      </c>
      <c r="O784" s="195" t="s">
        <v>212</v>
      </c>
      <c r="P784" s="195" t="s">
        <v>213</v>
      </c>
      <c r="Q784" s="195" t="s">
        <v>214</v>
      </c>
      <c r="R784" s="195" t="s">
        <v>215</v>
      </c>
      <c r="S784" s="195" t="s">
        <v>216</v>
      </c>
      <c r="T784" s="195" t="s">
        <v>217</v>
      </c>
      <c r="U784" s="195" t="s">
        <v>218</v>
      </c>
      <c r="V784" s="195" t="s">
        <v>219</v>
      </c>
      <c r="W784" s="113" t="s">
        <v>220</v>
      </c>
      <c r="X784" s="195" t="s">
        <v>221</v>
      </c>
      <c r="Y784" s="25"/>
      <c r="Z784" s="25"/>
      <c r="AA784" s="25"/>
      <c r="AB784" s="25"/>
      <c r="AC784" s="25"/>
      <c r="AD784" s="25"/>
      <c r="BA784" s="225"/>
    </row>
    <row r="785" spans="1:53" ht="16.5" thickTop="1" thickBot="1" x14ac:dyDescent="0.3">
      <c r="A785" s="88"/>
      <c r="B785" s="312" t="s">
        <v>222</v>
      </c>
      <c r="C785" s="313"/>
      <c r="D785" s="314" t="s">
        <v>223</v>
      </c>
      <c r="E785" s="305"/>
      <c r="F785" s="88"/>
      <c r="G785" s="315" t="s">
        <v>224</v>
      </c>
      <c r="H785" s="316"/>
      <c r="I785" s="28">
        <f>SUM(E796:E820)</f>
        <v>20</v>
      </c>
      <c r="J785" s="317" t="s">
        <v>225</v>
      </c>
      <c r="K785" s="318"/>
      <c r="L785" s="305"/>
      <c r="M785" s="195">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5" t="s">
        <v>226</v>
      </c>
      <c r="AA785" s="296"/>
      <c r="AB785" s="297"/>
      <c r="AC785" s="25"/>
      <c r="AD785" s="25"/>
      <c r="AH785" s="109">
        <v>2</v>
      </c>
      <c r="AI785" s="109" t="str">
        <f>IF($E786="SS",COUNTIFS($C796:$C820,"FST",$E796:$E820,"2"),"0")</f>
        <v>0</v>
      </c>
      <c r="AJ785" s="109" t="str">
        <f>IF($E786="RPX",COUNTIFS($C796:$C820,"FST",$E796:$E820,"2"),"0")</f>
        <v>0</v>
      </c>
      <c r="AK785" s="109">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5"/>
    </row>
    <row r="786" spans="1:53" ht="16.5" customHeight="1" thickTop="1" thickBot="1" x14ac:dyDescent="0.3">
      <c r="A786" s="88"/>
      <c r="B786" s="29" t="s">
        <v>228</v>
      </c>
      <c r="C786" s="30">
        <v>12</v>
      </c>
      <c r="D786" s="31" t="s">
        <v>229</v>
      </c>
      <c r="E786" s="66" t="str">
        <f>TEXT(IF('Cable Calculator'!CU7="","",'Cable Calculator'!CU7),)</f>
        <v>EUC</v>
      </c>
      <c r="F786" s="88"/>
      <c r="G786" s="304" t="s">
        <v>230</v>
      </c>
      <c r="H786" s="305"/>
      <c r="I786" s="33">
        <f>E787-I785</f>
        <v>28</v>
      </c>
      <c r="J786" s="289" t="s">
        <v>231</v>
      </c>
      <c r="K786" s="290"/>
      <c r="L786" s="34">
        <f>I790</f>
        <v>613</v>
      </c>
      <c r="M786" s="195">
        <v>4</v>
      </c>
      <c r="N786" s="35">
        <f>SUM(AI786,AI797)</f>
        <v>0</v>
      </c>
      <c r="O786" s="35">
        <v>0</v>
      </c>
      <c r="P786" s="35">
        <f>SUM(AJ786,AJ797)</f>
        <v>0</v>
      </c>
      <c r="Q786" s="35">
        <v>0</v>
      </c>
      <c r="R786" s="35">
        <f>COUNTIFS($E796:$E820,"4",$F796:$F820,"Pole",$C796:$C820,"FST")</f>
        <v>0</v>
      </c>
      <c r="S786" s="35">
        <f>SUM(AL786,AK797)</f>
        <v>0</v>
      </c>
      <c r="T786" s="35">
        <v>0</v>
      </c>
      <c r="U786" s="35">
        <f>SUM(AK786,AL797)</f>
        <v>2</v>
      </c>
      <c r="V786" s="35">
        <v>0</v>
      </c>
      <c r="W786" s="34">
        <f>COUNTIFS($E796:$E820,"4",$F796:$F820,"HH",$C796:$C820,"FST")</f>
        <v>2</v>
      </c>
      <c r="X786" s="35">
        <f>COUNTIFS($E796:$E820,"4",$F796:$F820,"Ped",$C796:$C820,"FST")</f>
        <v>0</v>
      </c>
      <c r="Y786" s="25"/>
      <c r="Z786" s="298" t="s">
        <v>232</v>
      </c>
      <c r="AA786" s="300" t="s">
        <v>233</v>
      </c>
      <c r="AB786" s="301"/>
      <c r="AC786" s="25"/>
      <c r="AD786" s="25"/>
      <c r="AH786" s="109">
        <v>4</v>
      </c>
      <c r="AI786" s="109" t="str">
        <f>IF($E786="SS",COUNTIFS($C796:$C820,"FST",$E796:$E820,"4"),"0")</f>
        <v>0</v>
      </c>
      <c r="AJ786" s="109" t="str">
        <f>IF($E786="RPX",COUNTIFS($C796:$C820,"FST",$E796:$E820,"4"),"0")</f>
        <v>0</v>
      </c>
      <c r="AK786" s="109">
        <f>IF($E786="EUC",COUNTIFS($C796:$C820,"FST",$E796:$E820,"4"),"0")</f>
        <v>2</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6"/>
    </row>
    <row r="787" spans="1:53" ht="16.5" thickTop="1" thickBot="1" x14ac:dyDescent="0.3">
      <c r="A787" s="88"/>
      <c r="B787" s="36" t="s">
        <v>235</v>
      </c>
      <c r="C787" s="37">
        <v>0</v>
      </c>
      <c r="D787" s="38" t="s">
        <v>236</v>
      </c>
      <c r="E787" s="32">
        <v>48</v>
      </c>
      <c r="F787" s="88"/>
      <c r="G787" s="291" t="s">
        <v>237</v>
      </c>
      <c r="H787" s="292"/>
      <c r="I787" s="35">
        <f>IF(E787=0,0,12-(MOD(I785,12)))</f>
        <v>4</v>
      </c>
      <c r="J787" s="289" t="s">
        <v>238</v>
      </c>
      <c r="K787" s="290"/>
      <c r="L787" s="39">
        <f>I791-I785</f>
        <v>628</v>
      </c>
      <c r="M787" s="195">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299"/>
      <c r="AA787" s="302"/>
      <c r="AB787" s="303"/>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6"/>
    </row>
    <row r="788" spans="1:53" ht="16.5" customHeight="1" thickTop="1" thickBot="1" x14ac:dyDescent="0.3">
      <c r="A788" s="88"/>
      <c r="B788" s="40" t="s">
        <v>240</v>
      </c>
      <c r="C788" s="30">
        <v>0</v>
      </c>
      <c r="D788" s="41" t="s">
        <v>241</v>
      </c>
      <c r="E788" s="42">
        <v>12</v>
      </c>
      <c r="F788" s="88"/>
      <c r="G788" s="321" t="s">
        <v>242</v>
      </c>
      <c r="H788" s="43" t="s">
        <v>243</v>
      </c>
      <c r="I788" s="35">
        <f>IF(E788&lt;&gt;0,1,0)</f>
        <v>1</v>
      </c>
      <c r="J788" s="291" t="s">
        <v>244</v>
      </c>
      <c r="K788" s="292"/>
      <c r="L788" s="44">
        <f>'Cable Calculator'!CU3</f>
        <v>2917</v>
      </c>
      <c r="M788" s="195">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6"/>
    </row>
    <row r="789" spans="1:53" ht="16.5" thickTop="1" thickBot="1" x14ac:dyDescent="0.3">
      <c r="A789" s="88"/>
      <c r="B789" s="29" t="s">
        <v>246</v>
      </c>
      <c r="C789" s="37">
        <v>0</v>
      </c>
      <c r="D789" s="41" t="s">
        <v>247</v>
      </c>
      <c r="E789" s="42">
        <v>613</v>
      </c>
      <c r="F789" s="88"/>
      <c r="G789" s="322"/>
      <c r="H789" s="47" t="s">
        <v>248</v>
      </c>
      <c r="I789" s="35">
        <f>IF(E788&lt;&gt;0,E788,0)</f>
        <v>12</v>
      </c>
      <c r="J789" s="193"/>
      <c r="K789" s="194"/>
      <c r="L789" s="48"/>
      <c r="M789" s="195">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1</v>
      </c>
      <c r="V789" s="35">
        <f>IF($E786="EUC",SUM($AN821,AP821,AR821),"0")</f>
        <v>0</v>
      </c>
      <c r="W789" s="34">
        <f>COUNTIFS($E796:$E820,"12",$F796:$F820,"HH",$C796:$C820,"FST")</f>
        <v>1</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1</v>
      </c>
      <c r="AL789" s="109" t="str">
        <f>IF($E786="RPX-T",COUNTIFS($C796:$C820,"FST",$E796:$E820,"12"),"0")</f>
        <v>0</v>
      </c>
      <c r="BA789" s="226"/>
    </row>
    <row r="790" spans="1:53" ht="16.5" customHeight="1" thickTop="1" thickBot="1" x14ac:dyDescent="0.3">
      <c r="A790" s="88"/>
      <c r="B790" s="36" t="s">
        <v>249</v>
      </c>
      <c r="C790" s="30">
        <v>0</v>
      </c>
      <c r="D790" s="49" t="s">
        <v>250</v>
      </c>
      <c r="E790" s="50">
        <f>E787/12</f>
        <v>4</v>
      </c>
      <c r="F790" s="88"/>
      <c r="G790" s="321" t="s">
        <v>251</v>
      </c>
      <c r="H790" s="51" t="s">
        <v>252</v>
      </c>
      <c r="I790" s="112">
        <f>E789</f>
        <v>613</v>
      </c>
      <c r="J790" s="323" t="s">
        <v>253</v>
      </c>
      <c r="K790" s="324"/>
      <c r="L790" s="325"/>
      <c r="M790" s="52" t="s">
        <v>254</v>
      </c>
      <c r="N790" s="106"/>
      <c r="O790" s="106"/>
      <c r="P790" s="191"/>
      <c r="Q790" s="191"/>
      <c r="R790" s="191"/>
      <c r="S790" s="191"/>
      <c r="T790" s="191"/>
      <c r="U790" s="191"/>
      <c r="V790" s="191"/>
      <c r="W790" s="53">
        <f>SUM(P790:U790)</f>
        <v>0</v>
      </c>
      <c r="X790" s="54"/>
      <c r="Y790" s="25"/>
      <c r="Z790" s="45">
        <v>3</v>
      </c>
      <c r="AA790" s="46">
        <v>25</v>
      </c>
      <c r="AB790" s="46">
        <v>36</v>
      </c>
      <c r="AC790" s="25"/>
      <c r="AD790" s="25"/>
      <c r="BA790" s="226"/>
    </row>
    <row r="791" spans="1:53" ht="16.5" thickTop="1" thickBot="1" x14ac:dyDescent="0.3">
      <c r="A791" s="88"/>
      <c r="B791" s="36" t="s">
        <v>255</v>
      </c>
      <c r="C791" s="30">
        <v>0</v>
      </c>
      <c r="D791" s="31" t="s">
        <v>256</v>
      </c>
      <c r="E791" s="101" t="str">
        <f>IF('Cable Calculator'!CU5="","",'Cable Calculator'!CU5)</f>
        <v>N</v>
      </c>
      <c r="F791" s="88"/>
      <c r="G791" s="322"/>
      <c r="H791" s="47" t="s">
        <v>257</v>
      </c>
      <c r="I791" s="35">
        <f>IF(E789="","0",IF(AND(E786="EUC",E787=432), I790+(203-E788),IF(E789=0,0,(E789+(E787-E788)-1))))</f>
        <v>648</v>
      </c>
      <c r="J791" s="286" t="str">
        <f>IFERROR(IF(OR(E786="EUC",E786="SS"),"---",IF(OR(P785,S785),"NO 2F Tethers for RPX!",IF(OR(P787,S787),"NO 6F Tethers for RPX!","---"))),"---")</f>
        <v>---</v>
      </c>
      <c r="K791" s="287"/>
      <c r="L791" s="288"/>
      <c r="M791" s="286" t="str">
        <f>IF(E788&gt;60,"Dead Count &gt;60: Consider Downsize","---")</f>
        <v>---</v>
      </c>
      <c r="N791" s="287"/>
      <c r="O791" s="287"/>
      <c r="P791" s="287"/>
      <c r="Q791" s="287"/>
      <c r="R791" s="287"/>
      <c r="S791" s="287"/>
      <c r="T791" s="287"/>
      <c r="U791" s="288"/>
      <c r="V791" s="100"/>
      <c r="W791" s="54">
        <f>SUM(P791:U791)</f>
        <v>0</v>
      </c>
      <c r="X791" s="54"/>
      <c r="Y791" s="25"/>
      <c r="Z791" s="45">
        <v>4</v>
      </c>
      <c r="AA791" s="46">
        <v>37</v>
      </c>
      <c r="AB791" s="46">
        <v>48</v>
      </c>
      <c r="AC791" s="25"/>
      <c r="AD791" s="25"/>
      <c r="BA791" s="226"/>
    </row>
    <row r="792" spans="1:53" ht="16.5" thickTop="1" thickBot="1" x14ac:dyDescent="0.3">
      <c r="A792" s="88"/>
      <c r="B792" s="55" t="s">
        <v>258</v>
      </c>
      <c r="C792" s="56">
        <f>SUM(C786:C791)+I785</f>
        <v>32</v>
      </c>
      <c r="D792" s="31" t="s">
        <v>259</v>
      </c>
      <c r="E792" s="101" t="str">
        <f>IF(AS786="Y","DBL",IF(AS787="Y","TRPL",IF(AS788="Y","QUAD","")))</f>
        <v/>
      </c>
      <c r="F792" s="88"/>
      <c r="G792" s="191"/>
      <c r="H792" s="57"/>
      <c r="I792" s="191"/>
      <c r="J792" s="286"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7"/>
      <c r="L792" s="288"/>
      <c r="M792" s="286" t="str">
        <f>IF(AND(OR(E786="SS",E786="RPX",E786="EUC",E786="RPX-T"),(OR(C796="",C796="Field SPL"))),"Cannot have FlexNap cables without tethers","---")</f>
        <v>---</v>
      </c>
      <c r="N792" s="287"/>
      <c r="O792" s="287"/>
      <c r="P792" s="287"/>
      <c r="Q792" s="287"/>
      <c r="R792" s="287"/>
      <c r="S792" s="287"/>
      <c r="T792" s="287"/>
      <c r="U792" s="288"/>
      <c r="V792" s="25"/>
      <c r="W792" s="58"/>
      <c r="X792" s="58"/>
      <c r="Y792" s="25"/>
      <c r="Z792" s="45">
        <v>5</v>
      </c>
      <c r="AA792" s="46">
        <v>49</v>
      </c>
      <c r="AB792" s="46">
        <v>60</v>
      </c>
      <c r="AC792" s="25"/>
      <c r="AD792" s="25"/>
      <c r="BA792" s="226"/>
    </row>
    <row r="793" spans="1:53" ht="16.5" thickTop="1" thickBot="1" x14ac:dyDescent="0.3">
      <c r="A793" s="88"/>
      <c r="B793" s="59"/>
      <c r="C793" s="60"/>
      <c r="D793" s="61"/>
      <c r="E793" s="62"/>
      <c r="F793" s="88"/>
      <c r="G793" s="63"/>
      <c r="H793" s="64"/>
      <c r="I793" s="63"/>
      <c r="J793" s="286" t="str">
        <f>IF(AND(OR(E786="RPX", E786="RPX-T", E786="SS"),E787=216),"NO 216 For RPX, RPX-T, OR SS CABLE","---")</f>
        <v>---</v>
      </c>
      <c r="K793" s="287"/>
      <c r="L793" s="288"/>
      <c r="M793" s="286" t="str" cm="1">
        <f t="array" ref="M793">IF(AND(E786="",OR(C796:C820="FST",C796:C820="REV T",C796:C820="DBL REV",C796:C820="TPL REV", C796:C820="QD REV")),"Non-FlexNap cables cannot have tethers","---")</f>
        <v>---</v>
      </c>
      <c r="N793" s="287"/>
      <c r="O793" s="287"/>
      <c r="P793" s="287"/>
      <c r="Q793" s="287"/>
      <c r="R793" s="287"/>
      <c r="S793" s="287"/>
      <c r="T793" s="287"/>
      <c r="U793" s="288"/>
      <c r="V793" s="25"/>
      <c r="W793" s="58"/>
      <c r="X793" s="58"/>
      <c r="Y793" s="25"/>
      <c r="Z793" s="45">
        <v>6</v>
      </c>
      <c r="AA793" s="65">
        <v>61</v>
      </c>
      <c r="AB793" s="65">
        <v>72</v>
      </c>
      <c r="AC793" s="25"/>
      <c r="AD793" s="25"/>
      <c r="BA793" s="225"/>
    </row>
    <row r="794" spans="1:53" ht="15.75" customHeight="1" thickBot="1" x14ac:dyDescent="0.3">
      <c r="A794" s="88"/>
      <c r="B794" s="321" t="s">
        <v>260</v>
      </c>
      <c r="C794" s="293" t="s">
        <v>261</v>
      </c>
      <c r="D794" s="293" t="s">
        <v>262</v>
      </c>
      <c r="E794" s="306" t="s">
        <v>263</v>
      </c>
      <c r="F794" s="293" t="s">
        <v>264</v>
      </c>
      <c r="G794" s="308" t="s">
        <v>265</v>
      </c>
      <c r="H794" s="308" t="s">
        <v>266</v>
      </c>
      <c r="I794" s="308" t="s">
        <v>267</v>
      </c>
      <c r="J794" s="310" t="s">
        <v>268</v>
      </c>
      <c r="K794" s="293" t="s">
        <v>269</v>
      </c>
      <c r="L794" s="280" t="s">
        <v>270</v>
      </c>
      <c r="M794" s="282" t="s">
        <v>271</v>
      </c>
      <c r="N794" s="282"/>
      <c r="O794" s="282"/>
      <c r="P794" s="282"/>
      <c r="Q794" s="282"/>
      <c r="R794" s="282"/>
      <c r="S794" s="282"/>
      <c r="T794" s="282"/>
      <c r="U794" s="283"/>
      <c r="V794" s="107"/>
      <c r="W794" s="72"/>
      <c r="X794" s="72"/>
      <c r="Y794" s="72"/>
      <c r="Z794" s="45">
        <v>7</v>
      </c>
      <c r="AA794" s="65">
        <v>73</v>
      </c>
      <c r="AB794" s="65">
        <v>84</v>
      </c>
      <c r="AC794" s="25"/>
      <c r="AD794" s="25"/>
      <c r="BA794" s="227"/>
    </row>
    <row r="795" spans="1:53" ht="15.75" thickBot="1" x14ac:dyDescent="0.3">
      <c r="A795" s="88"/>
      <c r="B795" s="322"/>
      <c r="C795" s="294"/>
      <c r="D795" s="294"/>
      <c r="E795" s="307"/>
      <c r="F795" s="294"/>
      <c r="G795" s="309"/>
      <c r="H795" s="309"/>
      <c r="I795" s="309"/>
      <c r="J795" s="311"/>
      <c r="K795" s="294"/>
      <c r="L795" s="281"/>
      <c r="M795" s="284"/>
      <c r="N795" s="284"/>
      <c r="O795" s="284"/>
      <c r="P795" s="284"/>
      <c r="Q795" s="284"/>
      <c r="R795" s="284"/>
      <c r="S795" s="284"/>
      <c r="T795" s="284"/>
      <c r="U795" s="285"/>
      <c r="V795" s="107"/>
      <c r="W795" s="72"/>
      <c r="X795" s="72"/>
      <c r="Y795" s="72"/>
      <c r="Z795" s="45">
        <v>8</v>
      </c>
      <c r="AA795" s="46">
        <v>85</v>
      </c>
      <c r="AB795" s="46">
        <v>96</v>
      </c>
      <c r="AC795" s="25"/>
      <c r="AD795" s="25"/>
      <c r="AI795" s="109" t="s">
        <v>272</v>
      </c>
      <c r="AJ795" s="109" t="s">
        <v>273</v>
      </c>
      <c r="AK795" s="109" t="s">
        <v>274</v>
      </c>
      <c r="AL795" s="109" t="s">
        <v>275</v>
      </c>
      <c r="BA795" s="227"/>
    </row>
    <row r="796" spans="1:53" ht="15.75" thickBot="1" x14ac:dyDescent="0.3">
      <c r="A796" s="88"/>
      <c r="B796" s="66" t="s">
        <v>276</v>
      </c>
      <c r="C796" s="67" t="s">
        <v>484</v>
      </c>
      <c r="D796" s="102" t="s">
        <v>779</v>
      </c>
      <c r="E796" s="32">
        <v>4</v>
      </c>
      <c r="F796" s="32" t="s">
        <v>488</v>
      </c>
      <c r="G796" s="68" t="s">
        <v>277</v>
      </c>
      <c r="H796" s="69">
        <f>IF(I796=0,0,I796-(E796-1))</f>
        <v>645</v>
      </c>
      <c r="I796" s="70">
        <f>IF(E796=0,0,I791)</f>
        <v>648</v>
      </c>
      <c r="J796" s="71" t="s">
        <v>278</v>
      </c>
      <c r="K796" s="32"/>
      <c r="L796" s="232"/>
      <c r="M796" s="278"/>
      <c r="N796" s="278"/>
      <c r="O796" s="278"/>
      <c r="P796" s="278"/>
      <c r="Q796" s="278"/>
      <c r="R796" s="278"/>
      <c r="S796" s="278"/>
      <c r="T796" s="278"/>
      <c r="U796" s="279"/>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645-648</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8">
        <f>MOD(E796,12)</f>
        <v>4</v>
      </c>
    </row>
    <row r="797" spans="1:53" ht="15.75" thickBot="1" x14ac:dyDescent="0.3">
      <c r="A797" s="88"/>
      <c r="B797" s="66" t="s">
        <v>279</v>
      </c>
      <c r="C797" s="67" t="s">
        <v>484</v>
      </c>
      <c r="D797" s="102" t="s">
        <v>780</v>
      </c>
      <c r="E797" s="32">
        <v>4</v>
      </c>
      <c r="F797" s="32" t="s">
        <v>488</v>
      </c>
      <c r="G797" s="68" t="s">
        <v>277</v>
      </c>
      <c r="H797" s="69">
        <f t="shared" ref="H797:H820" si="332">IF(E797=0,0,I797-(E797-1))</f>
        <v>641</v>
      </c>
      <c r="I797" s="70">
        <f t="shared" ref="I797:I820" si="333">IF(E797=0,0,H796-1)</f>
        <v>644</v>
      </c>
      <c r="J797" s="73" t="str">
        <f>IF(C797="","--",IF(AND(C797&lt;&gt;"FST",C797&lt;&gt;"TCF",BA796&lt;&gt;0),BA796,"--"))</f>
        <v>--</v>
      </c>
      <c r="K797" s="32"/>
      <c r="L797" s="232"/>
      <c r="M797" s="278"/>
      <c r="N797" s="278"/>
      <c r="O797" s="278"/>
      <c r="P797" s="278"/>
      <c r="Q797" s="278"/>
      <c r="R797" s="278"/>
      <c r="S797" s="278"/>
      <c r="T797" s="278"/>
      <c r="U797" s="279"/>
      <c r="V797" s="103"/>
      <c r="W797" s="72"/>
      <c r="X797" s="72"/>
      <c r="Y797" s="72"/>
      <c r="Z797" s="45">
        <v>10</v>
      </c>
      <c r="AA797" s="46">
        <v>109</v>
      </c>
      <c r="AB797" s="46">
        <v>120</v>
      </c>
      <c r="AC797" s="72">
        <f t="shared" si="323"/>
        <v>1</v>
      </c>
      <c r="AD797" s="72">
        <f t="shared" si="324"/>
        <v>0</v>
      </c>
      <c r="AE797" s="109" t="str">
        <f t="shared" si="325"/>
        <v>641-644</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28"/>
        <v>0</v>
      </c>
      <c r="AN797" s="109">
        <f t="shared" si="329"/>
        <v>0</v>
      </c>
      <c r="AO797" s="109" t="str">
        <f t="shared" si="330"/>
        <v/>
      </c>
      <c r="AQ797" s="109" t="str">
        <f t="shared" si="331"/>
        <v/>
      </c>
      <c r="BA797" s="228">
        <f>MOD(SUM(E796:E797),12)</f>
        <v>8</v>
      </c>
    </row>
    <row r="798" spans="1:53" ht="15.75" thickBot="1" x14ac:dyDescent="0.3">
      <c r="A798" s="88"/>
      <c r="B798" s="74" t="s">
        <v>280</v>
      </c>
      <c r="C798" s="67" t="s">
        <v>484</v>
      </c>
      <c r="D798" s="102" t="s">
        <v>794</v>
      </c>
      <c r="E798" s="32">
        <v>12</v>
      </c>
      <c r="F798" s="32" t="s">
        <v>488</v>
      </c>
      <c r="G798" s="75" t="s">
        <v>277</v>
      </c>
      <c r="H798" s="69">
        <f t="shared" si="332"/>
        <v>629</v>
      </c>
      <c r="I798" s="70">
        <f t="shared" si="333"/>
        <v>640</v>
      </c>
      <c r="J798" s="73" t="str">
        <f t="shared" ref="J798:J820" si="334">IF(C798="","--",IF(AND(C798&lt;&gt;"FST",C798&lt;&gt;"TCF",BA797&lt;&gt;0),BA797,"--"))</f>
        <v>--</v>
      </c>
      <c r="K798" s="32"/>
      <c r="L798" s="232"/>
      <c r="M798" s="278"/>
      <c r="N798" s="278"/>
      <c r="O798" s="278"/>
      <c r="P798" s="278"/>
      <c r="Q798" s="278"/>
      <c r="R798" s="278"/>
      <c r="S798" s="278"/>
      <c r="T798" s="278"/>
      <c r="U798" s="279"/>
      <c r="V798" s="103"/>
      <c r="W798" s="72"/>
      <c r="X798" s="72"/>
      <c r="Y798" s="72"/>
      <c r="Z798" s="45">
        <v>11</v>
      </c>
      <c r="AA798" s="46">
        <v>121</v>
      </c>
      <c r="AB798" s="46">
        <v>132</v>
      </c>
      <c r="AC798" s="72">
        <f t="shared" si="323"/>
        <v>1</v>
      </c>
      <c r="AD798" s="72">
        <f t="shared" si="324"/>
        <v>0</v>
      </c>
      <c r="AE798" s="109" t="str">
        <f t="shared" si="325"/>
        <v>629-640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28"/>
        <v>0</v>
      </c>
      <c r="AN798" s="109">
        <f t="shared" si="329"/>
        <v>0</v>
      </c>
      <c r="AO798" s="109" t="str">
        <f t="shared" si="330"/>
        <v/>
      </c>
      <c r="AQ798" s="109" t="str">
        <f t="shared" si="331"/>
        <v/>
      </c>
      <c r="BA798" s="228">
        <f>MOD(SUM(E796:E799),12)</f>
        <v>8</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2"/>
      <c r="M799" s="278"/>
      <c r="N799" s="278"/>
      <c r="O799" s="278"/>
      <c r="P799" s="278"/>
      <c r="Q799" s="278"/>
      <c r="R799" s="278"/>
      <c r="S799" s="278"/>
      <c r="T799" s="278"/>
      <c r="U799" s="279"/>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28"/>
        <v>0</v>
      </c>
      <c r="AN799" s="109">
        <f t="shared" si="329"/>
        <v>0</v>
      </c>
      <c r="AO799" s="109" t="str">
        <f t="shared" si="330"/>
        <v/>
      </c>
      <c r="AQ799" s="109" t="str">
        <f t="shared" si="331"/>
        <v/>
      </c>
      <c r="BA799" s="228">
        <f>MOD(SUM(E796:E800),12)</f>
        <v>8</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2"/>
      <c r="M800" s="278"/>
      <c r="N800" s="278"/>
      <c r="O800" s="278"/>
      <c r="P800" s="278"/>
      <c r="Q800" s="278"/>
      <c r="R800" s="278"/>
      <c r="S800" s="278"/>
      <c r="T800" s="278"/>
      <c r="U800" s="279"/>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28"/>
        <v>0</v>
      </c>
      <c r="AN800" s="109">
        <f t="shared" si="329"/>
        <v>0</v>
      </c>
      <c r="AO800" s="109" t="str">
        <f t="shared" si="330"/>
        <v/>
      </c>
      <c r="AQ800" s="109" t="str">
        <f t="shared" si="331"/>
        <v/>
      </c>
      <c r="BA800" s="228">
        <f>MOD(SUM(E796:E801),12)</f>
        <v>8</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2"/>
      <c r="M801" s="278"/>
      <c r="N801" s="278"/>
      <c r="O801" s="278"/>
      <c r="P801" s="278"/>
      <c r="Q801" s="278"/>
      <c r="R801" s="278"/>
      <c r="S801" s="278"/>
      <c r="T801" s="278"/>
      <c r="U801" s="279"/>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8">
        <f>MOD(SUM(E796:E802),12)</f>
        <v>8</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2"/>
      <c r="M802" s="278"/>
      <c r="N802" s="278"/>
      <c r="O802" s="278"/>
      <c r="P802" s="278"/>
      <c r="Q802" s="278"/>
      <c r="R802" s="278"/>
      <c r="S802" s="278"/>
      <c r="T802" s="278"/>
      <c r="U802" s="279"/>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8">
        <f>MOD(SUM(E796:E803),12)</f>
        <v>8</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2"/>
      <c r="M803" s="278"/>
      <c r="N803" s="278"/>
      <c r="O803" s="278"/>
      <c r="P803" s="278"/>
      <c r="Q803" s="278"/>
      <c r="R803" s="278"/>
      <c r="S803" s="278"/>
      <c r="T803" s="278"/>
      <c r="U803" s="279"/>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8">
        <f>MOD(SUM(E796:E804),12)</f>
        <v>8</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2"/>
      <c r="M804" s="278"/>
      <c r="N804" s="278"/>
      <c r="O804" s="278"/>
      <c r="P804" s="278"/>
      <c r="Q804" s="278"/>
      <c r="R804" s="278"/>
      <c r="S804" s="278"/>
      <c r="T804" s="278"/>
      <c r="U804" s="279"/>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8">
        <f>MOD(SUM(E796:E805),12)</f>
        <v>8</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2"/>
      <c r="M805" s="278"/>
      <c r="N805" s="278"/>
      <c r="O805" s="278"/>
      <c r="P805" s="278"/>
      <c r="Q805" s="278"/>
      <c r="R805" s="278"/>
      <c r="S805" s="278"/>
      <c r="T805" s="278"/>
      <c r="U805" s="279"/>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8">
        <f>MOD(SUM(E796:E806),12)</f>
        <v>8</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2"/>
      <c r="M806" s="278"/>
      <c r="N806" s="278"/>
      <c r="O806" s="278"/>
      <c r="P806" s="278"/>
      <c r="Q806" s="278"/>
      <c r="R806" s="278"/>
      <c r="S806" s="278"/>
      <c r="T806" s="278"/>
      <c r="U806" s="279"/>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8">
        <f>MOD(SUM(E796:E807),12)</f>
        <v>8</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2"/>
      <c r="M807" s="278"/>
      <c r="N807" s="278"/>
      <c r="O807" s="278"/>
      <c r="P807" s="278"/>
      <c r="Q807" s="278"/>
      <c r="R807" s="278"/>
      <c r="S807" s="278"/>
      <c r="T807" s="278"/>
      <c r="U807" s="279"/>
      <c r="V807" s="103"/>
      <c r="W807" s="84">
        <f>Y807+1</f>
        <v>21</v>
      </c>
      <c r="X807" s="84"/>
      <c r="Y807" s="78">
        <f>SUM(E796:E807)</f>
        <v>20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8">
        <f>MOD(SUM(E796:E808),12)</f>
        <v>8</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2"/>
      <c r="M808" s="278"/>
      <c r="N808" s="278"/>
      <c r="O808" s="278"/>
      <c r="P808" s="278"/>
      <c r="Q808" s="278"/>
      <c r="R808" s="278"/>
      <c r="S808" s="278"/>
      <c r="T808" s="278"/>
      <c r="U808" s="279"/>
      <c r="V808" s="103"/>
      <c r="W808" s="84">
        <f>Y808+1</f>
        <v>21</v>
      </c>
      <c r="X808" s="84"/>
      <c r="Y808" s="78">
        <f>SUM(E796:E808)</f>
        <v>20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8">
        <f>MOD(SUM(E796:E809),12)</f>
        <v>8</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2"/>
      <c r="M809" s="278"/>
      <c r="N809" s="278"/>
      <c r="O809" s="278"/>
      <c r="P809" s="278"/>
      <c r="Q809" s="278"/>
      <c r="R809" s="278"/>
      <c r="S809" s="278"/>
      <c r="T809" s="278"/>
      <c r="U809" s="279"/>
      <c r="V809" s="103"/>
      <c r="W809" s="84">
        <f>Y809+1</f>
        <v>21</v>
      </c>
      <c r="X809" s="84"/>
      <c r="Y809" s="78">
        <f>SUM(E796:E809)</f>
        <v>20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8">
        <f>MOD(SUM(E796:E810),12)</f>
        <v>8</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2"/>
      <c r="M810" s="278"/>
      <c r="N810" s="278"/>
      <c r="O810" s="278"/>
      <c r="P810" s="278"/>
      <c r="Q810" s="278"/>
      <c r="R810" s="278"/>
      <c r="S810" s="278"/>
      <c r="T810" s="278"/>
      <c r="U810" s="279"/>
      <c r="V810" s="103"/>
      <c r="W810" s="84">
        <f>Y810+1</f>
        <v>21</v>
      </c>
      <c r="X810" s="84"/>
      <c r="Y810" s="78">
        <f>SUM(E796:E810)</f>
        <v>20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8">
        <f>MOD(SUM(E796:E811),12)</f>
        <v>8</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2"/>
      <c r="M811" s="278"/>
      <c r="N811" s="278"/>
      <c r="O811" s="278"/>
      <c r="P811" s="278"/>
      <c r="Q811" s="278"/>
      <c r="R811" s="278"/>
      <c r="S811" s="278"/>
      <c r="T811" s="278"/>
      <c r="U811" s="279"/>
      <c r="V811" s="103"/>
      <c r="W811" s="84">
        <f t="shared" ref="W811:W819" si="339">Y811+1</f>
        <v>21</v>
      </c>
      <c r="X811" s="84"/>
      <c r="Y811" s="78">
        <f>SUM(E796:E811)</f>
        <v>20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8">
        <f>MOD(SUM(E796:E812),12)</f>
        <v>8</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2"/>
      <c r="M812" s="278"/>
      <c r="N812" s="278"/>
      <c r="O812" s="278"/>
      <c r="P812" s="278"/>
      <c r="Q812" s="278"/>
      <c r="R812" s="278"/>
      <c r="S812" s="278"/>
      <c r="T812" s="278"/>
      <c r="U812" s="279"/>
      <c r="V812" s="103"/>
      <c r="W812" s="84">
        <f t="shared" si="339"/>
        <v>21</v>
      </c>
      <c r="X812" s="84"/>
      <c r="Y812" s="78">
        <f>SUM(E796:E812)</f>
        <v>20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8">
        <f>MOD(SUM(E796:E813),12)</f>
        <v>8</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2"/>
      <c r="M813" s="278"/>
      <c r="N813" s="278"/>
      <c r="O813" s="278"/>
      <c r="P813" s="278"/>
      <c r="Q813" s="278"/>
      <c r="R813" s="278"/>
      <c r="S813" s="278"/>
      <c r="T813" s="278"/>
      <c r="U813" s="279"/>
      <c r="V813" s="103"/>
      <c r="W813" s="84">
        <f t="shared" si="339"/>
        <v>21</v>
      </c>
      <c r="X813" s="84"/>
      <c r="Y813" s="78">
        <f>SUM(E796:E813)</f>
        <v>20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8">
        <f>MOD(SUM(E796:E814),12)</f>
        <v>8</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2"/>
      <c r="M814" s="278"/>
      <c r="N814" s="278"/>
      <c r="O814" s="278"/>
      <c r="P814" s="278"/>
      <c r="Q814" s="278"/>
      <c r="R814" s="278"/>
      <c r="S814" s="278"/>
      <c r="T814" s="278"/>
      <c r="U814" s="279"/>
      <c r="V814" s="103"/>
      <c r="W814" s="84">
        <f t="shared" si="339"/>
        <v>21</v>
      </c>
      <c r="X814" s="84"/>
      <c r="Y814" s="78">
        <f>SUM(E796:E814)</f>
        <v>20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8">
        <f>MOD(SUM(E796:E815),12)</f>
        <v>8</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2"/>
      <c r="M815" s="278"/>
      <c r="N815" s="278"/>
      <c r="O815" s="278"/>
      <c r="P815" s="278"/>
      <c r="Q815" s="278"/>
      <c r="R815" s="278"/>
      <c r="S815" s="278"/>
      <c r="T815" s="278"/>
      <c r="U815" s="279"/>
      <c r="V815" s="103"/>
      <c r="W815" s="84">
        <f t="shared" si="339"/>
        <v>21</v>
      </c>
      <c r="X815" s="84"/>
      <c r="Y815" s="78">
        <f>SUM(E796:E815)</f>
        <v>20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8">
        <f>MOD(SUM(E796:E816),12)</f>
        <v>8</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2"/>
      <c r="M816" s="278"/>
      <c r="N816" s="278"/>
      <c r="O816" s="278"/>
      <c r="P816" s="278"/>
      <c r="Q816" s="278"/>
      <c r="R816" s="278"/>
      <c r="S816" s="278"/>
      <c r="T816" s="278"/>
      <c r="U816" s="279"/>
      <c r="V816" s="103"/>
      <c r="W816" s="84">
        <f t="shared" si="339"/>
        <v>21</v>
      </c>
      <c r="X816" s="84"/>
      <c r="Y816" s="78">
        <f>SUM(E796:E816)</f>
        <v>20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8">
        <f>MOD(SUM(E796:E817),12)</f>
        <v>8</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2"/>
      <c r="M817" s="278"/>
      <c r="N817" s="278"/>
      <c r="O817" s="278"/>
      <c r="P817" s="278"/>
      <c r="Q817" s="278"/>
      <c r="R817" s="278"/>
      <c r="S817" s="278"/>
      <c r="T817" s="278"/>
      <c r="U817" s="279"/>
      <c r="V817" s="103"/>
      <c r="W817" s="84">
        <f t="shared" si="339"/>
        <v>21</v>
      </c>
      <c r="X817" s="84"/>
      <c r="Y817" s="78">
        <f>SUM(E796:E817)</f>
        <v>20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8">
        <f>MOD(SUM(E796:E818),12)</f>
        <v>8</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2"/>
      <c r="M818" s="278"/>
      <c r="N818" s="278"/>
      <c r="O818" s="278"/>
      <c r="P818" s="278"/>
      <c r="Q818" s="278"/>
      <c r="R818" s="278"/>
      <c r="S818" s="278"/>
      <c r="T818" s="278"/>
      <c r="U818" s="279"/>
      <c r="V818" s="103"/>
      <c r="W818" s="84">
        <f t="shared" si="339"/>
        <v>21</v>
      </c>
      <c r="X818" s="84"/>
      <c r="Y818" s="78">
        <f>SUM(E796:E818)</f>
        <v>20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8">
        <f>MOD(SUM(E796:E819),12)</f>
        <v>8</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2"/>
      <c r="M819" s="278"/>
      <c r="N819" s="278"/>
      <c r="O819" s="278"/>
      <c r="P819" s="278"/>
      <c r="Q819" s="278"/>
      <c r="R819" s="278"/>
      <c r="S819" s="278"/>
      <c r="T819" s="278"/>
      <c r="U819" s="279"/>
      <c r="V819" s="103"/>
      <c r="W819" s="84">
        <f t="shared" si="339"/>
        <v>21</v>
      </c>
      <c r="X819" s="84"/>
      <c r="Y819" s="78">
        <f>SUM(E796:E819)</f>
        <v>20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8">
        <f>MOD(SUM(E796:E820),12)</f>
        <v>8</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3"/>
      <c r="M820" s="278"/>
      <c r="N820" s="278"/>
      <c r="O820" s="278"/>
      <c r="P820" s="278"/>
      <c r="Q820" s="278"/>
      <c r="R820" s="278"/>
      <c r="S820" s="278"/>
      <c r="T820" s="278"/>
      <c r="U820" s="279"/>
      <c r="V820" s="103"/>
      <c r="W820" s="72"/>
      <c r="X820" s="72"/>
      <c r="Y820" s="78">
        <f>SUM(E796:E820)</f>
        <v>20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7"/>
    </row>
    <row r="821" spans="1:53" ht="16.5" thickBot="1" x14ac:dyDescent="0.3">
      <c r="A821" s="88"/>
      <c r="B821" s="319" t="s">
        <v>343</v>
      </c>
      <c r="C821" s="320"/>
      <c r="D821" s="79"/>
      <c r="E821" s="80"/>
      <c r="F821" s="80"/>
      <c r="G821" s="81"/>
      <c r="H821" s="191"/>
      <c r="I821" s="191"/>
      <c r="J821" s="191"/>
      <c r="K821" s="82"/>
      <c r="L821" s="319" t="s">
        <v>306</v>
      </c>
      <c r="M821" s="330"/>
      <c r="N821" s="330"/>
      <c r="O821" s="330"/>
      <c r="P821" s="330"/>
      <c r="Q821" s="330"/>
      <c r="R821" s="330"/>
      <c r="S821" s="330"/>
      <c r="T821" s="330"/>
      <c r="U821" s="320"/>
      <c r="V821" s="104"/>
      <c r="W821" s="72"/>
      <c r="X821" s="72"/>
      <c r="Y821" s="72"/>
      <c r="Z821" s="72"/>
      <c r="AA821" s="72" t="str">
        <f t="shared" si="338"/>
        <v/>
      </c>
      <c r="AB821" s="72"/>
      <c r="AC821" s="72">
        <f>SUM(AC796:AC820)</f>
        <v>25</v>
      </c>
      <c r="AD821" s="72">
        <f>SUM(AD796:AD820)</f>
        <v>22</v>
      </c>
      <c r="AM821" s="109">
        <f>SUM(AM796:AM820)</f>
        <v>0</v>
      </c>
      <c r="AN821" s="109">
        <f>SUM(AN796:AN820)</f>
        <v>0</v>
      </c>
      <c r="AO821" s="109">
        <f>((COUNTIF(AO796:AO820,"Y")/3)*2)</f>
        <v>0</v>
      </c>
      <c r="AP821" s="109">
        <f>(COUNTIF(AO796:AO820,"Y")/3)</f>
        <v>0</v>
      </c>
      <c r="AQ821" s="109">
        <f>(COUNTIF(AQ796:AQ820,"Y")/2)</f>
        <v>0</v>
      </c>
      <c r="AR821" s="109">
        <f>(COUNTIF(AQ796:AQ820,"Y")/2)</f>
        <v>0</v>
      </c>
      <c r="BA821" s="227"/>
    </row>
    <row r="822" spans="1:53" ht="16.5" thickBot="1" x14ac:dyDescent="0.3">
      <c r="A822" s="88"/>
      <c r="B822" s="319" t="s">
        <v>307</v>
      </c>
      <c r="C822" s="320"/>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5"/>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5" t="s">
        <v>210</v>
      </c>
      <c r="N825" s="195" t="s">
        <v>211</v>
      </c>
      <c r="O825" s="195" t="s">
        <v>212</v>
      </c>
      <c r="P825" s="195" t="s">
        <v>213</v>
      </c>
      <c r="Q825" s="195" t="s">
        <v>214</v>
      </c>
      <c r="R825" s="195" t="s">
        <v>215</v>
      </c>
      <c r="S825" s="195" t="s">
        <v>216</v>
      </c>
      <c r="T825" s="195" t="s">
        <v>217</v>
      </c>
      <c r="U825" s="195" t="s">
        <v>218</v>
      </c>
      <c r="V825" s="195" t="s">
        <v>219</v>
      </c>
      <c r="W825" s="113" t="s">
        <v>220</v>
      </c>
      <c r="X825" s="195" t="s">
        <v>221</v>
      </c>
      <c r="Y825" s="25"/>
      <c r="Z825" s="25"/>
      <c r="AA825" s="25"/>
      <c r="AB825" s="25"/>
      <c r="AC825" s="25"/>
      <c r="AD825" s="25"/>
      <c r="BA825" s="225"/>
    </row>
    <row r="826" spans="1:53" ht="16.5" thickTop="1" thickBot="1" x14ac:dyDescent="0.3">
      <c r="A826" s="88"/>
      <c r="B826" s="312" t="s">
        <v>222</v>
      </c>
      <c r="C826" s="313"/>
      <c r="D826" s="314" t="s">
        <v>223</v>
      </c>
      <c r="E826" s="305"/>
      <c r="F826" s="88"/>
      <c r="G826" s="315" t="s">
        <v>224</v>
      </c>
      <c r="H826" s="316"/>
      <c r="I826" s="28">
        <f>SUM(E837:E861)</f>
        <v>24</v>
      </c>
      <c r="J826" s="317" t="s">
        <v>225</v>
      </c>
      <c r="K826" s="318"/>
      <c r="L826" s="305"/>
      <c r="M826" s="195">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5" t="s">
        <v>226</v>
      </c>
      <c r="AA826" s="296"/>
      <c r="AB826" s="297"/>
      <c r="AC826" s="25"/>
      <c r="AD826" s="25"/>
      <c r="AH826" s="109">
        <v>2</v>
      </c>
      <c r="AI826" s="109" t="str">
        <f>IF($E827="SS",COUNTIFS($C837:$C861,"FST",$E837:$E861,"2"),"0")</f>
        <v>0</v>
      </c>
      <c r="AJ826" s="109" t="str">
        <f>IF($E827="RPX",COUNTIFS($C837:$C861,"FST",$E837:$E861,"2"),"0")</f>
        <v>0</v>
      </c>
      <c r="AK826" s="109">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5"/>
    </row>
    <row r="827" spans="1:53" ht="16.5" customHeight="1" thickTop="1" thickBot="1" x14ac:dyDescent="0.3">
      <c r="A827" s="88"/>
      <c r="B827" s="29" t="s">
        <v>228</v>
      </c>
      <c r="C827" s="30">
        <v>0</v>
      </c>
      <c r="D827" s="31" t="s">
        <v>229</v>
      </c>
      <c r="E827" s="66" t="str">
        <f>TEXT(IF('Cable Calculator'!CZ7="","",'Cable Calculator'!CZ7),)</f>
        <v>EUC</v>
      </c>
      <c r="F827" s="88"/>
      <c r="G827" s="304" t="s">
        <v>230</v>
      </c>
      <c r="H827" s="305"/>
      <c r="I827" s="33">
        <f>E828-I826</f>
        <v>0</v>
      </c>
      <c r="J827" s="289" t="s">
        <v>231</v>
      </c>
      <c r="K827" s="290"/>
      <c r="L827" s="34">
        <f>I831</f>
        <v>721</v>
      </c>
      <c r="M827" s="195">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8" t="s">
        <v>232</v>
      </c>
      <c r="AA827" s="300" t="s">
        <v>233</v>
      </c>
      <c r="AB827" s="301"/>
      <c r="AC827" s="25"/>
      <c r="AD827" s="25"/>
      <c r="AH827" s="109">
        <v>4</v>
      </c>
      <c r="AI827" s="109" t="str">
        <f>IF($E827="SS",COUNTIFS($C837:$C861,"FST",$E837:$E861,"4"),"0")</f>
        <v>0</v>
      </c>
      <c r="AJ827" s="109" t="str">
        <f>IF($E827="RPX",COUNTIFS($C837:$C861,"FST",$E837:$E861,"4"),"0")</f>
        <v>0</v>
      </c>
      <c r="AK827" s="109">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6"/>
    </row>
    <row r="828" spans="1:53" ht="16.5" thickTop="1" thickBot="1" x14ac:dyDescent="0.3">
      <c r="A828" s="88"/>
      <c r="B828" s="36" t="s">
        <v>235</v>
      </c>
      <c r="C828" s="37">
        <v>0</v>
      </c>
      <c r="D828" s="38" t="s">
        <v>236</v>
      </c>
      <c r="E828" s="32">
        <v>24</v>
      </c>
      <c r="F828" s="88"/>
      <c r="G828" s="291" t="s">
        <v>237</v>
      </c>
      <c r="H828" s="292"/>
      <c r="I828" s="35">
        <f>IF(E828=0,0,12-(MOD(I826,12)))</f>
        <v>12</v>
      </c>
      <c r="J828" s="289" t="s">
        <v>238</v>
      </c>
      <c r="K828" s="290"/>
      <c r="L828" s="39">
        <f>I832-I826</f>
        <v>720</v>
      </c>
      <c r="M828" s="195">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9"/>
      <c r="AA828" s="302"/>
      <c r="AB828" s="303"/>
      <c r="AC828" s="25"/>
      <c r="AD828" s="25"/>
      <c r="AH828" s="109">
        <v>6</v>
      </c>
      <c r="AI828" s="109" t="str">
        <f>IF($E827="SS",COUNTIFS($C837:$C861,"FST",$E837:$E861,"6"),"0")</f>
        <v>0</v>
      </c>
      <c r="AJ828" s="109" t="str">
        <f>IF($E827="RPX",COUNTIFS($C837:$C861,"FST",$E837:$E861,"6"),"0")</f>
        <v>0</v>
      </c>
      <c r="AK828" s="109">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6"/>
    </row>
    <row r="829" spans="1:53" ht="16.5" customHeight="1" thickTop="1" thickBot="1" x14ac:dyDescent="0.3">
      <c r="A829" s="88"/>
      <c r="B829" s="40" t="s">
        <v>240</v>
      </c>
      <c r="C829" s="30">
        <v>0</v>
      </c>
      <c r="D829" s="41" t="s">
        <v>241</v>
      </c>
      <c r="E829" s="42">
        <v>0</v>
      </c>
      <c r="F829" s="88"/>
      <c r="G829" s="321" t="s">
        <v>242</v>
      </c>
      <c r="H829" s="43" t="s">
        <v>243</v>
      </c>
      <c r="I829" s="35">
        <f>IF(E829&lt;&gt;0,1,0)</f>
        <v>0</v>
      </c>
      <c r="J829" s="291" t="s">
        <v>244</v>
      </c>
      <c r="K829" s="292"/>
      <c r="L829" s="44">
        <f>'Cable Calculator'!CZ3</f>
        <v>1453</v>
      </c>
      <c r="M829" s="195">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6"/>
    </row>
    <row r="830" spans="1:53" ht="16.5" thickTop="1" thickBot="1" x14ac:dyDescent="0.3">
      <c r="A830" s="88"/>
      <c r="B830" s="29" t="s">
        <v>246</v>
      </c>
      <c r="C830" s="37">
        <v>0</v>
      </c>
      <c r="D830" s="41" t="s">
        <v>247</v>
      </c>
      <c r="E830" s="42">
        <v>721</v>
      </c>
      <c r="F830" s="88"/>
      <c r="G830" s="322"/>
      <c r="H830" s="47" t="s">
        <v>248</v>
      </c>
      <c r="I830" s="35">
        <f>IF(E829&lt;&gt;0,E829,0)</f>
        <v>0</v>
      </c>
      <c r="J830" s="193"/>
      <c r="K830" s="194"/>
      <c r="L830" s="48"/>
      <c r="M830" s="195">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f>IF($E827="EUC",SUM(AK830,AL841,AM862,AO862,AQ862),"0")</f>
        <v>2</v>
      </c>
      <c r="V830" s="35">
        <f>IF($E827="EUC",SUM($AN862,AP862,AR862),"0")</f>
        <v>0</v>
      </c>
      <c r="W830" s="34">
        <f>COUNTIFS($E837:$E861,"12",$F837:$F861,"HH",$C837:$C861,"FST")</f>
        <v>1</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f>IF($E827="EUC",COUNTIFS($C837:$C861,"FST",$E837:$E861,"12"),"0")</f>
        <v>1</v>
      </c>
      <c r="AL830" s="109" t="str">
        <f>IF($E827="RPX-T",COUNTIFS($C837:$C861,"FST",$E837:$E861,"12"),"0")</f>
        <v>0</v>
      </c>
      <c r="BA830" s="226"/>
    </row>
    <row r="831" spans="1:53" ht="16.5" customHeight="1" thickTop="1" thickBot="1" x14ac:dyDescent="0.3">
      <c r="A831" s="88"/>
      <c r="B831" s="36" t="s">
        <v>249</v>
      </c>
      <c r="C831" s="30">
        <v>0</v>
      </c>
      <c r="D831" s="49" t="s">
        <v>250</v>
      </c>
      <c r="E831" s="50">
        <f>E828/12</f>
        <v>2</v>
      </c>
      <c r="F831" s="88"/>
      <c r="G831" s="321" t="s">
        <v>251</v>
      </c>
      <c r="H831" s="51" t="s">
        <v>252</v>
      </c>
      <c r="I831" s="112">
        <f>E830</f>
        <v>721</v>
      </c>
      <c r="J831" s="323" t="s">
        <v>253</v>
      </c>
      <c r="K831" s="324"/>
      <c r="L831" s="325"/>
      <c r="M831" s="52" t="s">
        <v>254</v>
      </c>
      <c r="N831" s="106"/>
      <c r="O831" s="106"/>
      <c r="P831" s="191"/>
      <c r="Q831" s="191"/>
      <c r="R831" s="191"/>
      <c r="S831" s="191"/>
      <c r="T831" s="191"/>
      <c r="U831" s="191"/>
      <c r="V831" s="191"/>
      <c r="W831" s="53">
        <f>SUM(P831:U831)</f>
        <v>0</v>
      </c>
      <c r="X831" s="54"/>
      <c r="Y831" s="25"/>
      <c r="Z831" s="45">
        <v>3</v>
      </c>
      <c r="AA831" s="46">
        <v>25</v>
      </c>
      <c r="AB831" s="46">
        <v>36</v>
      </c>
      <c r="AC831" s="25"/>
      <c r="AD831" s="25"/>
      <c r="BA831" s="226"/>
    </row>
    <row r="832" spans="1:53" ht="16.5" thickTop="1" thickBot="1" x14ac:dyDescent="0.3">
      <c r="A832" s="88"/>
      <c r="B832" s="36" t="s">
        <v>255</v>
      </c>
      <c r="C832" s="30">
        <v>0</v>
      </c>
      <c r="D832" s="31" t="s">
        <v>256</v>
      </c>
      <c r="E832" s="101" t="str">
        <f>IF('Cable Calculator'!CZ5="","",'Cable Calculator'!CZ5)</f>
        <v>N</v>
      </c>
      <c r="F832" s="88"/>
      <c r="G832" s="322"/>
      <c r="H832" s="47" t="s">
        <v>257</v>
      </c>
      <c r="I832" s="35">
        <f>IF(E830="","0",IF(AND(E827="EUC",E828=432), I831+(203-E829),IF(E830=0,0,(E830+(E828-E829)-1))))</f>
        <v>744</v>
      </c>
      <c r="J832" s="286" t="str">
        <f>IFERROR(IF(OR(E827="EUC",E827="SS"),"---",IF(OR(P826,S826),"NO 2F Tethers for RPX!",IF(OR(P828,S828),"NO 6F Tethers for RPX!","---"))),"---")</f>
        <v>---</v>
      </c>
      <c r="K832" s="287"/>
      <c r="L832" s="288"/>
      <c r="M832" s="286" t="str">
        <f>IF(E829&gt;60,"Dead Count &gt;60: Consider Downsize","---")</f>
        <v>---</v>
      </c>
      <c r="N832" s="287"/>
      <c r="O832" s="287"/>
      <c r="P832" s="287"/>
      <c r="Q832" s="287"/>
      <c r="R832" s="287"/>
      <c r="S832" s="287"/>
      <c r="T832" s="287"/>
      <c r="U832" s="288"/>
      <c r="V832" s="100"/>
      <c r="W832" s="54">
        <f>SUM(P832:U832)</f>
        <v>0</v>
      </c>
      <c r="X832" s="54"/>
      <c r="Y832" s="25"/>
      <c r="Z832" s="45">
        <v>4</v>
      </c>
      <c r="AA832" s="46">
        <v>37</v>
      </c>
      <c r="AB832" s="46">
        <v>48</v>
      </c>
      <c r="AC832" s="25"/>
      <c r="AD832" s="25"/>
      <c r="BA832" s="226"/>
    </row>
    <row r="833" spans="1:53" ht="16.5" thickTop="1" thickBot="1" x14ac:dyDescent="0.3">
      <c r="A833" s="88"/>
      <c r="B833" s="55" t="s">
        <v>258</v>
      </c>
      <c r="C833" s="56">
        <f>SUM(C827:C832)+I826</f>
        <v>24</v>
      </c>
      <c r="D833" s="31" t="s">
        <v>259</v>
      </c>
      <c r="E833" s="101" t="str">
        <f>IF(AS827="Y","DBL",IF(AS828="Y","TRPL",IF(AS829="Y","QUAD","")))</f>
        <v/>
      </c>
      <c r="F833" s="88"/>
      <c r="G833" s="191"/>
      <c r="H833" s="57"/>
      <c r="I833" s="191"/>
      <c r="J833" s="286"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7"/>
      <c r="L833" s="288"/>
      <c r="M833" s="286" t="str">
        <f>IF(AND(OR(E827="SS",E827="RPX",E827="EUC",E827="RPX-T"),(OR(C837="",C837="Field SPL"))),"Cannot have FlexNap cables without tethers","---")</f>
        <v>---</v>
      </c>
      <c r="N833" s="287"/>
      <c r="O833" s="287"/>
      <c r="P833" s="287"/>
      <c r="Q833" s="287"/>
      <c r="R833" s="287"/>
      <c r="S833" s="287"/>
      <c r="T833" s="287"/>
      <c r="U833" s="288"/>
      <c r="V833" s="25"/>
      <c r="W833" s="58"/>
      <c r="X833" s="58"/>
      <c r="Y833" s="25"/>
      <c r="Z833" s="45">
        <v>5</v>
      </c>
      <c r="AA833" s="46">
        <v>49</v>
      </c>
      <c r="AB833" s="46">
        <v>60</v>
      </c>
      <c r="AC833" s="25"/>
      <c r="AD833" s="25"/>
      <c r="BA833" s="226"/>
    </row>
    <row r="834" spans="1:53" ht="16.5" thickTop="1" thickBot="1" x14ac:dyDescent="0.3">
      <c r="A834" s="88"/>
      <c r="B834" s="59"/>
      <c r="C834" s="60"/>
      <c r="D834" s="61"/>
      <c r="E834" s="62"/>
      <c r="F834" s="88"/>
      <c r="G834" s="63"/>
      <c r="H834" s="64"/>
      <c r="I834" s="63"/>
      <c r="J834" s="286" t="str">
        <f>IF(AND(OR(E827="RPX", E827="RPX-T", E827="SS"),E828=216),"NO 216 For RPX, RPX-T, OR SS CABLE","---")</f>
        <v>---</v>
      </c>
      <c r="K834" s="287"/>
      <c r="L834" s="288"/>
      <c r="M834" s="286" t="str" cm="1">
        <f t="array" ref="M834">IF(AND(E827="",OR(C837:C861="FST",C837:C861="REV T",C837:C861="DBL REV",C837:C861="TPL REV", C837:C861="QD REV")),"Non-FlexNap cables cannot have tethers","---")</f>
        <v>---</v>
      </c>
      <c r="N834" s="287"/>
      <c r="O834" s="287"/>
      <c r="P834" s="287"/>
      <c r="Q834" s="287"/>
      <c r="R834" s="287"/>
      <c r="S834" s="287"/>
      <c r="T834" s="287"/>
      <c r="U834" s="288"/>
      <c r="V834" s="25"/>
      <c r="W834" s="58"/>
      <c r="X834" s="58"/>
      <c r="Y834" s="25"/>
      <c r="Z834" s="45">
        <v>6</v>
      </c>
      <c r="AA834" s="65">
        <v>61</v>
      </c>
      <c r="AB834" s="65">
        <v>72</v>
      </c>
      <c r="AC834" s="25"/>
      <c r="AD834" s="25"/>
      <c r="BA834" s="225"/>
    </row>
    <row r="835" spans="1:53" ht="15.75" customHeight="1" thickBot="1" x14ac:dyDescent="0.3">
      <c r="A835" s="88"/>
      <c r="B835" s="321" t="s">
        <v>260</v>
      </c>
      <c r="C835" s="293" t="s">
        <v>261</v>
      </c>
      <c r="D835" s="293" t="s">
        <v>262</v>
      </c>
      <c r="E835" s="306" t="s">
        <v>263</v>
      </c>
      <c r="F835" s="293" t="s">
        <v>264</v>
      </c>
      <c r="G835" s="308" t="s">
        <v>265</v>
      </c>
      <c r="H835" s="308" t="s">
        <v>266</v>
      </c>
      <c r="I835" s="308" t="s">
        <v>267</v>
      </c>
      <c r="J835" s="310" t="s">
        <v>268</v>
      </c>
      <c r="K835" s="293" t="s">
        <v>269</v>
      </c>
      <c r="L835" s="280" t="s">
        <v>270</v>
      </c>
      <c r="M835" s="282" t="s">
        <v>271</v>
      </c>
      <c r="N835" s="282"/>
      <c r="O835" s="282"/>
      <c r="P835" s="282"/>
      <c r="Q835" s="282"/>
      <c r="R835" s="282"/>
      <c r="S835" s="282"/>
      <c r="T835" s="282"/>
      <c r="U835" s="283"/>
      <c r="V835" s="107"/>
      <c r="W835" s="72"/>
      <c r="X835" s="72"/>
      <c r="Y835" s="72"/>
      <c r="Z835" s="45">
        <v>7</v>
      </c>
      <c r="AA835" s="65">
        <v>73</v>
      </c>
      <c r="AB835" s="65">
        <v>84</v>
      </c>
      <c r="AC835" s="25"/>
      <c r="AD835" s="25"/>
      <c r="BA835" s="227"/>
    </row>
    <row r="836" spans="1:53" ht="15.75" thickBot="1" x14ac:dyDescent="0.3">
      <c r="A836" s="88"/>
      <c r="B836" s="322"/>
      <c r="C836" s="294"/>
      <c r="D836" s="294"/>
      <c r="E836" s="307"/>
      <c r="F836" s="294"/>
      <c r="G836" s="309"/>
      <c r="H836" s="309"/>
      <c r="I836" s="309"/>
      <c r="J836" s="311"/>
      <c r="K836" s="294"/>
      <c r="L836" s="281"/>
      <c r="M836" s="284"/>
      <c r="N836" s="284"/>
      <c r="O836" s="284"/>
      <c r="P836" s="284"/>
      <c r="Q836" s="284"/>
      <c r="R836" s="284"/>
      <c r="S836" s="284"/>
      <c r="T836" s="284"/>
      <c r="U836" s="285"/>
      <c r="V836" s="107"/>
      <c r="W836" s="72"/>
      <c r="X836" s="72"/>
      <c r="Y836" s="72"/>
      <c r="Z836" s="45">
        <v>8</v>
      </c>
      <c r="AA836" s="46">
        <v>85</v>
      </c>
      <c r="AB836" s="46">
        <v>96</v>
      </c>
      <c r="AC836" s="25"/>
      <c r="AD836" s="25"/>
      <c r="AI836" s="109" t="s">
        <v>272</v>
      </c>
      <c r="AJ836" s="109" t="s">
        <v>273</v>
      </c>
      <c r="AK836" s="109" t="s">
        <v>274</v>
      </c>
      <c r="AL836" s="109" t="s">
        <v>275</v>
      </c>
      <c r="BA836" s="227"/>
    </row>
    <row r="837" spans="1:53" ht="15.75" thickBot="1" x14ac:dyDescent="0.3">
      <c r="A837" s="88"/>
      <c r="B837" s="66" t="s">
        <v>276</v>
      </c>
      <c r="C837" s="67" t="s">
        <v>494</v>
      </c>
      <c r="D837" s="102"/>
      <c r="E837" s="32">
        <v>12</v>
      </c>
      <c r="F837" s="32"/>
      <c r="G837" s="68" t="s">
        <v>277</v>
      </c>
      <c r="H837" s="69">
        <f>IF(I837=0,0,I837-(E837-1))</f>
        <v>733</v>
      </c>
      <c r="I837" s="70">
        <f>IF(E837=0,0,I832)</f>
        <v>744</v>
      </c>
      <c r="J837" s="71" t="s">
        <v>278</v>
      </c>
      <c r="K837" s="32"/>
      <c r="L837" s="232"/>
      <c r="M837" s="278" t="s">
        <v>407</v>
      </c>
      <c r="N837" s="278"/>
      <c r="O837" s="278"/>
      <c r="P837" s="278"/>
      <c r="Q837" s="278"/>
      <c r="R837" s="278"/>
      <c r="S837" s="278"/>
      <c r="T837" s="278"/>
      <c r="U837" s="279"/>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733-744</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f>IF(E827="EUC",COUNTIFS(C837:C861,"TCF",E837:E861,"2"),"")</f>
        <v>0</v>
      </c>
      <c r="AM837" s="109">
        <f t="shared" ref="AM837:AM861" si="345">VALUE(IF(C837="FST","0",IF(C837="REV T","1",IF(C837="DBL REV",".5","0"))))</f>
        <v>1</v>
      </c>
      <c r="AN837" s="109">
        <f t="shared" ref="AN837:AN861" si="346">VALUE(IF(C837="FST","0",IF(C837="REV T","0",IF(C837="DBL REV",".5","0"))))</f>
        <v>0</v>
      </c>
      <c r="AO837" s="109" t="str">
        <f t="shared" ref="AO837:AO861" si="347">IF(C837="TPL REV","Y","")</f>
        <v/>
      </c>
      <c r="AQ837" s="109" t="str">
        <f t="shared" ref="AQ837:AQ861" si="348">IF(C837="QD REV","Y","")</f>
        <v/>
      </c>
      <c r="BA837" s="228">
        <f>MOD(E837,12)</f>
        <v>0</v>
      </c>
    </row>
    <row r="838" spans="1:53" ht="15.75" thickBot="1" x14ac:dyDescent="0.3">
      <c r="A838" s="88"/>
      <c r="B838" s="66" t="s">
        <v>279</v>
      </c>
      <c r="C838" s="67" t="s">
        <v>484</v>
      </c>
      <c r="D838" s="102" t="s">
        <v>799</v>
      </c>
      <c r="E838" s="32">
        <v>12</v>
      </c>
      <c r="F838" s="32" t="s">
        <v>488</v>
      </c>
      <c r="G838" s="68" t="s">
        <v>277</v>
      </c>
      <c r="H838" s="69">
        <f t="shared" ref="H838:H861" si="349">IF(E838=0,0,I838-(E838-1))</f>
        <v>721</v>
      </c>
      <c r="I838" s="70">
        <f t="shared" ref="I838:I861" si="350">IF(E838=0,0,H837-1)</f>
        <v>732</v>
      </c>
      <c r="J838" s="73" t="str">
        <f>IF(C838="","--",IF(AND(C838&lt;&gt;"FST",C838&lt;&gt;"TCF",BA837&lt;&gt;0),BA837,"--"))</f>
        <v>--</v>
      </c>
      <c r="K838" s="32"/>
      <c r="L838" s="232"/>
      <c r="M838" s="278"/>
      <c r="N838" s="278"/>
      <c r="O838" s="278"/>
      <c r="P838" s="278"/>
      <c r="Q838" s="278"/>
      <c r="R838" s="278"/>
      <c r="S838" s="278"/>
      <c r="T838" s="278"/>
      <c r="U838" s="279"/>
      <c r="V838" s="103"/>
      <c r="W838" s="72"/>
      <c r="X838" s="72"/>
      <c r="Y838" s="72"/>
      <c r="Z838" s="45">
        <v>10</v>
      </c>
      <c r="AA838" s="46">
        <v>109</v>
      </c>
      <c r="AB838" s="46">
        <v>120</v>
      </c>
      <c r="AC838" s="72">
        <f t="shared" si="340"/>
        <v>1</v>
      </c>
      <c r="AD838" s="72">
        <f t="shared" si="341"/>
        <v>0</v>
      </c>
      <c r="AE838" s="109" t="str">
        <f t="shared" si="342"/>
        <v>721-732</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f>IF(E827="EUC",COUNTIFS(C837:C861,"TCF",E837:E861,"4"),"")</f>
        <v>0</v>
      </c>
      <c r="AM838" s="109">
        <f t="shared" si="345"/>
        <v>0</v>
      </c>
      <c r="AN838" s="109">
        <f t="shared" si="346"/>
        <v>0</v>
      </c>
      <c r="AO838" s="109" t="str">
        <f t="shared" si="347"/>
        <v/>
      </c>
      <c r="AQ838" s="109" t="str">
        <f t="shared" si="348"/>
        <v/>
      </c>
      <c r="BA838" s="228">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2"/>
      <c r="M839" s="278"/>
      <c r="N839" s="278"/>
      <c r="O839" s="278"/>
      <c r="P839" s="278"/>
      <c r="Q839" s="278"/>
      <c r="R839" s="278"/>
      <c r="S839" s="278"/>
      <c r="T839" s="278"/>
      <c r="U839" s="279"/>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f>IF(E827="EUC",COUNTIFS(C837:C861,"TCF",E837:E861,"6"),"")</f>
        <v>0</v>
      </c>
      <c r="AM839" s="109">
        <f t="shared" si="345"/>
        <v>0</v>
      </c>
      <c r="AN839" s="109">
        <f t="shared" si="346"/>
        <v>0</v>
      </c>
      <c r="AO839" s="109" t="str">
        <f t="shared" si="347"/>
        <v/>
      </c>
      <c r="AQ839" s="109" t="str">
        <f t="shared" si="348"/>
        <v/>
      </c>
      <c r="BA839" s="228">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2"/>
      <c r="M840" s="278"/>
      <c r="N840" s="278"/>
      <c r="O840" s="278"/>
      <c r="P840" s="278"/>
      <c r="Q840" s="278"/>
      <c r="R840" s="278"/>
      <c r="S840" s="278"/>
      <c r="T840" s="278"/>
      <c r="U840" s="279"/>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f>IF(E827="EUC",COUNTIFS(C837:C861,"TCF",E837:E861,"8"),"")</f>
        <v>0</v>
      </c>
      <c r="AM840" s="109">
        <f t="shared" si="345"/>
        <v>0</v>
      </c>
      <c r="AN840" s="109">
        <f t="shared" si="346"/>
        <v>0</v>
      </c>
      <c r="AO840" s="109" t="str">
        <f t="shared" si="347"/>
        <v/>
      </c>
      <c r="AQ840" s="109" t="str">
        <f t="shared" si="348"/>
        <v/>
      </c>
      <c r="BA840" s="228">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2"/>
      <c r="M841" s="278"/>
      <c r="N841" s="278"/>
      <c r="O841" s="278"/>
      <c r="P841" s="278"/>
      <c r="Q841" s="278"/>
      <c r="R841" s="278"/>
      <c r="S841" s="278"/>
      <c r="T841" s="278"/>
      <c r="U841" s="279"/>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f>IF(E827="EUC",COUNTIFS(C837:C861,"TCF",E837:E861,"12"),"")</f>
        <v>0</v>
      </c>
      <c r="AM841" s="109">
        <f t="shared" si="345"/>
        <v>0</v>
      </c>
      <c r="AN841" s="109">
        <f t="shared" si="346"/>
        <v>0</v>
      </c>
      <c r="AO841" s="109" t="str">
        <f t="shared" si="347"/>
        <v/>
      </c>
      <c r="AQ841" s="109" t="str">
        <f t="shared" si="348"/>
        <v/>
      </c>
      <c r="BA841" s="228">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2"/>
      <c r="M842" s="278"/>
      <c r="N842" s="278"/>
      <c r="O842" s="278"/>
      <c r="P842" s="278"/>
      <c r="Q842" s="278"/>
      <c r="R842" s="278"/>
      <c r="S842" s="278"/>
      <c r="T842" s="278"/>
      <c r="U842" s="279"/>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8">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2"/>
      <c r="M843" s="278"/>
      <c r="N843" s="278"/>
      <c r="O843" s="278"/>
      <c r="P843" s="278"/>
      <c r="Q843" s="278"/>
      <c r="R843" s="278"/>
      <c r="S843" s="278"/>
      <c r="T843" s="278"/>
      <c r="U843" s="279"/>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8">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2"/>
      <c r="M844" s="278"/>
      <c r="N844" s="278"/>
      <c r="O844" s="278"/>
      <c r="P844" s="278"/>
      <c r="Q844" s="278"/>
      <c r="R844" s="278"/>
      <c r="S844" s="278"/>
      <c r="T844" s="278"/>
      <c r="U844" s="279"/>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8">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2"/>
      <c r="M845" s="278"/>
      <c r="N845" s="278"/>
      <c r="O845" s="278"/>
      <c r="P845" s="278"/>
      <c r="Q845" s="278"/>
      <c r="R845" s="278"/>
      <c r="S845" s="278"/>
      <c r="T845" s="278"/>
      <c r="U845" s="279"/>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8">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2"/>
      <c r="M846" s="278"/>
      <c r="N846" s="278"/>
      <c r="O846" s="278"/>
      <c r="P846" s="278"/>
      <c r="Q846" s="278"/>
      <c r="R846" s="278"/>
      <c r="S846" s="278"/>
      <c r="T846" s="278"/>
      <c r="U846" s="279"/>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8">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2"/>
      <c r="M847" s="278"/>
      <c r="N847" s="278"/>
      <c r="O847" s="278"/>
      <c r="P847" s="278"/>
      <c r="Q847" s="278"/>
      <c r="R847" s="278"/>
      <c r="S847" s="278"/>
      <c r="T847" s="278"/>
      <c r="U847" s="279"/>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8">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2"/>
      <c r="M848" s="278"/>
      <c r="N848" s="278"/>
      <c r="O848" s="278"/>
      <c r="P848" s="278"/>
      <c r="Q848" s="278"/>
      <c r="R848" s="278"/>
      <c r="S848" s="278"/>
      <c r="T848" s="278"/>
      <c r="U848" s="279"/>
      <c r="V848" s="103"/>
      <c r="W848" s="84">
        <f>Y848+1</f>
        <v>25</v>
      </c>
      <c r="X848" s="84"/>
      <c r="Y848" s="78">
        <f>SUM(E837:E848)</f>
        <v>24</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8">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2"/>
      <c r="M849" s="278"/>
      <c r="N849" s="278"/>
      <c r="O849" s="278"/>
      <c r="P849" s="278"/>
      <c r="Q849" s="278"/>
      <c r="R849" s="278"/>
      <c r="S849" s="278"/>
      <c r="T849" s="278"/>
      <c r="U849" s="279"/>
      <c r="V849" s="103"/>
      <c r="W849" s="84">
        <f>Y849+1</f>
        <v>25</v>
      </c>
      <c r="X849" s="84"/>
      <c r="Y849" s="78">
        <f>SUM(E837:E849)</f>
        <v>24</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8">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2"/>
      <c r="M850" s="278"/>
      <c r="N850" s="278"/>
      <c r="O850" s="278"/>
      <c r="P850" s="278"/>
      <c r="Q850" s="278"/>
      <c r="R850" s="278"/>
      <c r="S850" s="278"/>
      <c r="T850" s="278"/>
      <c r="U850" s="279"/>
      <c r="V850" s="103"/>
      <c r="W850" s="84">
        <f>Y850+1</f>
        <v>25</v>
      </c>
      <c r="X850" s="84"/>
      <c r="Y850" s="78">
        <f>SUM(E837:E850)</f>
        <v>24</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8">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2"/>
      <c r="M851" s="278"/>
      <c r="N851" s="278"/>
      <c r="O851" s="278"/>
      <c r="P851" s="278"/>
      <c r="Q851" s="278"/>
      <c r="R851" s="278"/>
      <c r="S851" s="278"/>
      <c r="T851" s="278"/>
      <c r="U851" s="279"/>
      <c r="V851" s="103"/>
      <c r="W851" s="84">
        <f>Y851+1</f>
        <v>25</v>
      </c>
      <c r="X851" s="84"/>
      <c r="Y851" s="78">
        <f>SUM(E837:E851)</f>
        <v>24</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8">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2"/>
      <c r="M852" s="278"/>
      <c r="N852" s="278"/>
      <c r="O852" s="278"/>
      <c r="P852" s="278"/>
      <c r="Q852" s="278"/>
      <c r="R852" s="278"/>
      <c r="S852" s="278"/>
      <c r="T852" s="278"/>
      <c r="U852" s="279"/>
      <c r="V852" s="103"/>
      <c r="W852" s="84">
        <f t="shared" ref="W852:W860" si="356">Y852+1</f>
        <v>25</v>
      </c>
      <c r="X852" s="84"/>
      <c r="Y852" s="78">
        <f>SUM(E837:E852)</f>
        <v>24</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8">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2"/>
      <c r="M853" s="278"/>
      <c r="N853" s="278"/>
      <c r="O853" s="278"/>
      <c r="P853" s="278"/>
      <c r="Q853" s="278"/>
      <c r="R853" s="278"/>
      <c r="S853" s="278"/>
      <c r="T853" s="278"/>
      <c r="U853" s="279"/>
      <c r="V853" s="103"/>
      <c r="W853" s="84">
        <f t="shared" si="356"/>
        <v>25</v>
      </c>
      <c r="X853" s="84"/>
      <c r="Y853" s="78">
        <f>SUM(E837:E853)</f>
        <v>24</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8">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2"/>
      <c r="M854" s="278"/>
      <c r="N854" s="278"/>
      <c r="O854" s="278"/>
      <c r="P854" s="278"/>
      <c r="Q854" s="278"/>
      <c r="R854" s="278"/>
      <c r="S854" s="278"/>
      <c r="T854" s="278"/>
      <c r="U854" s="279"/>
      <c r="V854" s="103"/>
      <c r="W854" s="84">
        <f t="shared" si="356"/>
        <v>25</v>
      </c>
      <c r="X854" s="84"/>
      <c r="Y854" s="78">
        <f>SUM(E837:E854)</f>
        <v>24</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8">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2"/>
      <c r="M855" s="278"/>
      <c r="N855" s="278"/>
      <c r="O855" s="278"/>
      <c r="P855" s="278"/>
      <c r="Q855" s="278"/>
      <c r="R855" s="278"/>
      <c r="S855" s="278"/>
      <c r="T855" s="278"/>
      <c r="U855" s="279"/>
      <c r="V855" s="103"/>
      <c r="W855" s="84">
        <f t="shared" si="356"/>
        <v>25</v>
      </c>
      <c r="X855" s="84"/>
      <c r="Y855" s="78">
        <f>SUM(E837:E855)</f>
        <v>24</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8">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2"/>
      <c r="M856" s="278"/>
      <c r="N856" s="278"/>
      <c r="O856" s="278"/>
      <c r="P856" s="278"/>
      <c r="Q856" s="278"/>
      <c r="R856" s="278"/>
      <c r="S856" s="278"/>
      <c r="T856" s="278"/>
      <c r="U856" s="279"/>
      <c r="V856" s="103"/>
      <c r="W856" s="84">
        <f t="shared" si="356"/>
        <v>25</v>
      </c>
      <c r="X856" s="84"/>
      <c r="Y856" s="78">
        <f>SUM(E837:E856)</f>
        <v>24</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8">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2"/>
      <c r="M857" s="278"/>
      <c r="N857" s="278"/>
      <c r="O857" s="278"/>
      <c r="P857" s="278"/>
      <c r="Q857" s="278"/>
      <c r="R857" s="278"/>
      <c r="S857" s="278"/>
      <c r="T857" s="278"/>
      <c r="U857" s="279"/>
      <c r="V857" s="103"/>
      <c r="W857" s="84">
        <f t="shared" si="356"/>
        <v>25</v>
      </c>
      <c r="X857" s="84"/>
      <c r="Y857" s="78">
        <f>SUM(E837:E857)</f>
        <v>24</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8">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2"/>
      <c r="M858" s="278"/>
      <c r="N858" s="278"/>
      <c r="O858" s="278"/>
      <c r="P858" s="278"/>
      <c r="Q858" s="278"/>
      <c r="R858" s="278"/>
      <c r="S858" s="278"/>
      <c r="T858" s="278"/>
      <c r="U858" s="279"/>
      <c r="V858" s="103"/>
      <c r="W858" s="84">
        <f t="shared" si="356"/>
        <v>25</v>
      </c>
      <c r="X858" s="84"/>
      <c r="Y858" s="78">
        <f>SUM(E837:E858)</f>
        <v>24</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8">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2"/>
      <c r="M859" s="278"/>
      <c r="N859" s="278"/>
      <c r="O859" s="278"/>
      <c r="P859" s="278"/>
      <c r="Q859" s="278"/>
      <c r="R859" s="278"/>
      <c r="S859" s="278"/>
      <c r="T859" s="278"/>
      <c r="U859" s="279"/>
      <c r="V859" s="103"/>
      <c r="W859" s="84">
        <f t="shared" si="356"/>
        <v>25</v>
      </c>
      <c r="X859" s="84"/>
      <c r="Y859" s="78">
        <f>SUM(E837:E859)</f>
        <v>24</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8">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2"/>
      <c r="M860" s="278"/>
      <c r="N860" s="278"/>
      <c r="O860" s="278"/>
      <c r="P860" s="278"/>
      <c r="Q860" s="278"/>
      <c r="R860" s="278"/>
      <c r="S860" s="278"/>
      <c r="T860" s="278"/>
      <c r="U860" s="279"/>
      <c r="V860" s="103"/>
      <c r="W860" s="84">
        <f t="shared" si="356"/>
        <v>25</v>
      </c>
      <c r="X860" s="84"/>
      <c r="Y860" s="78">
        <f>SUM(E837:E860)</f>
        <v>24</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8">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3"/>
      <c r="M861" s="278"/>
      <c r="N861" s="278"/>
      <c r="O861" s="278"/>
      <c r="P861" s="278"/>
      <c r="Q861" s="278"/>
      <c r="R861" s="278"/>
      <c r="S861" s="278"/>
      <c r="T861" s="278"/>
      <c r="U861" s="279"/>
      <c r="V861" s="103"/>
      <c r="W861" s="72"/>
      <c r="X861" s="72"/>
      <c r="Y861" s="78">
        <f>SUM(E837:E861)</f>
        <v>24</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7"/>
    </row>
    <row r="862" spans="1:53" ht="16.5" thickBot="1" x14ac:dyDescent="0.3">
      <c r="A862" s="88"/>
      <c r="B862" s="319" t="s">
        <v>345</v>
      </c>
      <c r="C862" s="320"/>
      <c r="D862" s="79"/>
      <c r="E862" s="80"/>
      <c r="F862" s="80"/>
      <c r="G862" s="81"/>
      <c r="H862" s="191"/>
      <c r="I862" s="191"/>
      <c r="J862" s="191"/>
      <c r="K862" s="82"/>
      <c r="L862" s="319" t="s">
        <v>306</v>
      </c>
      <c r="M862" s="330"/>
      <c r="N862" s="330"/>
      <c r="O862" s="330"/>
      <c r="P862" s="330"/>
      <c r="Q862" s="330"/>
      <c r="R862" s="330"/>
      <c r="S862" s="330"/>
      <c r="T862" s="330"/>
      <c r="U862" s="320"/>
      <c r="V862" s="104"/>
      <c r="W862" s="72"/>
      <c r="X862" s="72"/>
      <c r="Y862" s="72"/>
      <c r="Z862" s="72"/>
      <c r="AA862" s="72" t="str">
        <f t="shared" si="355"/>
        <v/>
      </c>
      <c r="AB862" s="72"/>
      <c r="AC862" s="72">
        <f>SUM(AC837:AC861)</f>
        <v>25</v>
      </c>
      <c r="AD862" s="72">
        <f>SUM(AD837:AD861)</f>
        <v>24</v>
      </c>
      <c r="AM862" s="109">
        <f>SUM(AM837:AM861)</f>
        <v>1</v>
      </c>
      <c r="AN862" s="109">
        <f>SUM(AN837:AN861)</f>
        <v>0</v>
      </c>
      <c r="AO862" s="109">
        <f>((COUNTIF(AO837:AO861,"Y")/3)*2)</f>
        <v>0</v>
      </c>
      <c r="AP862" s="109">
        <f>(COUNTIF(AO837:AO861,"Y")/3)</f>
        <v>0</v>
      </c>
      <c r="AQ862" s="109">
        <f>(COUNTIF(AQ837:AQ861,"Y")/2)</f>
        <v>0</v>
      </c>
      <c r="AR862" s="109">
        <f>(COUNTIF(AQ837:AQ861,"Y")/2)</f>
        <v>0</v>
      </c>
      <c r="BA862" s="227"/>
    </row>
    <row r="863" spans="1:53" ht="16.5" thickBot="1" x14ac:dyDescent="0.3">
      <c r="A863" s="88"/>
      <c r="B863" s="319" t="s">
        <v>307</v>
      </c>
      <c r="C863" s="320"/>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5"/>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5" t="s">
        <v>210</v>
      </c>
      <c r="N866" s="195" t="s">
        <v>211</v>
      </c>
      <c r="O866" s="195" t="s">
        <v>212</v>
      </c>
      <c r="P866" s="195" t="s">
        <v>213</v>
      </c>
      <c r="Q866" s="195" t="s">
        <v>214</v>
      </c>
      <c r="R866" s="195" t="s">
        <v>215</v>
      </c>
      <c r="S866" s="195" t="s">
        <v>216</v>
      </c>
      <c r="T866" s="195" t="s">
        <v>217</v>
      </c>
      <c r="U866" s="195" t="s">
        <v>218</v>
      </c>
      <c r="V866" s="195" t="s">
        <v>219</v>
      </c>
      <c r="W866" s="113" t="s">
        <v>220</v>
      </c>
      <c r="X866" s="195" t="s">
        <v>221</v>
      </c>
      <c r="Y866" s="25"/>
      <c r="Z866" s="25"/>
      <c r="AA866" s="25"/>
      <c r="AB866" s="25"/>
      <c r="AC866" s="25"/>
      <c r="AD866" s="25"/>
      <c r="BA866" s="225"/>
    </row>
    <row r="867" spans="1:53" ht="16.5" thickTop="1" thickBot="1" x14ac:dyDescent="0.3">
      <c r="A867" s="88"/>
      <c r="B867" s="312" t="s">
        <v>222</v>
      </c>
      <c r="C867" s="313"/>
      <c r="D867" s="314" t="s">
        <v>223</v>
      </c>
      <c r="E867" s="305"/>
      <c r="F867" s="88"/>
      <c r="G867" s="315" t="s">
        <v>224</v>
      </c>
      <c r="H867" s="316"/>
      <c r="I867" s="28">
        <f>SUM(E878:E902)</f>
        <v>60</v>
      </c>
      <c r="J867" s="317" t="s">
        <v>225</v>
      </c>
      <c r="K867" s="318"/>
      <c r="L867" s="305"/>
      <c r="M867" s="195">
        <v>2</v>
      </c>
      <c r="N867" s="35">
        <f>SUM(AI867,AI878)</f>
        <v>0</v>
      </c>
      <c r="O867" s="35">
        <v>0</v>
      </c>
      <c r="P867" s="35">
        <f>SUM(AJ867,AJ878)</f>
        <v>0</v>
      </c>
      <c r="Q867" s="35">
        <v>0</v>
      </c>
      <c r="R867" s="35">
        <f>COUNTIFS($E878:$E902,"2",$F878:$F902,"Pole",$C878:$C902,"FST")</f>
        <v>0</v>
      </c>
      <c r="S867" s="35">
        <f>SUM(AL867,AK878)</f>
        <v>0</v>
      </c>
      <c r="T867" s="35">
        <v>0</v>
      </c>
      <c r="U867" s="35">
        <f>SUM(AK867,AL878)</f>
        <v>2</v>
      </c>
      <c r="V867" s="35">
        <v>0</v>
      </c>
      <c r="W867" s="34">
        <f>COUNTIFS($E878:$E902,"2",$F878:$F902,"HH",$C878:$C902,"FST")</f>
        <v>2</v>
      </c>
      <c r="X867" s="35">
        <f>COUNTIFS($E878:$E902,"2",$F878:$F902,"Ped",$C878:$C902,"FST")</f>
        <v>0</v>
      </c>
      <c r="Y867" s="25"/>
      <c r="Z867" s="295" t="s">
        <v>226</v>
      </c>
      <c r="AA867" s="296"/>
      <c r="AB867" s="297"/>
      <c r="AC867" s="25"/>
      <c r="AD867" s="25"/>
      <c r="AH867" s="109">
        <v>2</v>
      </c>
      <c r="AI867" s="109" t="str">
        <f>IF($E868="SS",COUNTIFS($C878:$C902,"FST",$E878:$E902,"2"),"0")</f>
        <v>0</v>
      </c>
      <c r="AJ867" s="109" t="str">
        <f>IF($E868="RPX",COUNTIFS($C878:$C902,"FST",$E878:$E902,"2"),"0")</f>
        <v>0</v>
      </c>
      <c r="AK867" s="109">
        <f>IF($E868="EUC",COUNTIFS($C878:$C902,"FST",$E878:$E902,"2"),"0")</f>
        <v>2</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5"/>
    </row>
    <row r="868" spans="1:53" ht="16.5" customHeight="1" thickTop="1" thickBot="1" x14ac:dyDescent="0.3">
      <c r="A868" s="88"/>
      <c r="B868" s="29" t="s">
        <v>228</v>
      </c>
      <c r="C868" s="30">
        <v>0</v>
      </c>
      <c r="D868" s="31" t="s">
        <v>229</v>
      </c>
      <c r="E868" s="66" t="str">
        <f>TEXT(IF('Cable Calculator'!DE7="","",'Cable Calculator'!DE7),)</f>
        <v>EUC</v>
      </c>
      <c r="F868" s="88"/>
      <c r="G868" s="304" t="s">
        <v>230</v>
      </c>
      <c r="H868" s="305"/>
      <c r="I868" s="33">
        <f>E869-I867</f>
        <v>372</v>
      </c>
      <c r="J868" s="289" t="s">
        <v>231</v>
      </c>
      <c r="K868" s="290"/>
      <c r="L868" s="34">
        <f>I872</f>
        <v>637</v>
      </c>
      <c r="M868" s="195">
        <v>4</v>
      </c>
      <c r="N868" s="35">
        <f>SUM(AI868,AI879)</f>
        <v>0</v>
      </c>
      <c r="O868" s="35">
        <v>0</v>
      </c>
      <c r="P868" s="35">
        <f>SUM(AJ868,AJ879)</f>
        <v>0</v>
      </c>
      <c r="Q868" s="35">
        <v>0</v>
      </c>
      <c r="R868" s="35">
        <f>COUNTIFS($E878:$E902,"4",$F878:$F902,"Pole",$C878:$C902,"FST")</f>
        <v>0</v>
      </c>
      <c r="S868" s="35">
        <f>SUM(AL868,AK879)</f>
        <v>0</v>
      </c>
      <c r="T868" s="35">
        <v>0</v>
      </c>
      <c r="U868" s="35">
        <f>SUM(AK868,AL879)</f>
        <v>2</v>
      </c>
      <c r="V868" s="35">
        <v>0</v>
      </c>
      <c r="W868" s="34">
        <f>COUNTIFS($E878:$E902,"4",$F878:$F902,"HH",$C878:$C902,"FST")</f>
        <v>2</v>
      </c>
      <c r="X868" s="35">
        <f>COUNTIFS($E878:$E902,"4",$F878:$F902,"Ped",$C878:$C902,"FST")</f>
        <v>0</v>
      </c>
      <c r="Y868" s="25"/>
      <c r="Z868" s="298" t="s">
        <v>232</v>
      </c>
      <c r="AA868" s="300" t="s">
        <v>233</v>
      </c>
      <c r="AB868" s="301"/>
      <c r="AC868" s="25"/>
      <c r="AD868" s="25"/>
      <c r="AH868" s="109">
        <v>4</v>
      </c>
      <c r="AI868" s="109" t="str">
        <f>IF($E868="SS",COUNTIFS($C878:$C902,"FST",$E878:$E902,"4"),"0")</f>
        <v>0</v>
      </c>
      <c r="AJ868" s="109" t="str">
        <f>IF($E868="RPX",COUNTIFS($C878:$C902,"FST",$E878:$E902,"4"),"0")</f>
        <v>0</v>
      </c>
      <c r="AK868" s="109">
        <f>IF($E868="EUC",COUNTIFS($C878:$C902,"FST",$E878:$E902,"4"),"0")</f>
        <v>2</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6"/>
    </row>
    <row r="869" spans="1:53" ht="16.5" thickTop="1" thickBot="1" x14ac:dyDescent="0.3">
      <c r="A869" s="88"/>
      <c r="B869" s="36" t="s">
        <v>235</v>
      </c>
      <c r="C869" s="37">
        <v>0</v>
      </c>
      <c r="D869" s="38" t="s">
        <v>236</v>
      </c>
      <c r="E869" s="32">
        <v>432</v>
      </c>
      <c r="F869" s="88"/>
      <c r="G869" s="291" t="s">
        <v>237</v>
      </c>
      <c r="H869" s="292"/>
      <c r="I869" s="35">
        <f>IF(E869=0,0,12-(MOD(I867,12)))</f>
        <v>12</v>
      </c>
      <c r="J869" s="289" t="s">
        <v>238</v>
      </c>
      <c r="K869" s="290"/>
      <c r="L869" s="39">
        <f>I873-I867</f>
        <v>636</v>
      </c>
      <c r="M869" s="195">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9"/>
      <c r="AA869" s="302"/>
      <c r="AB869" s="303"/>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6"/>
    </row>
    <row r="870" spans="1:53" ht="16.5" customHeight="1" thickTop="1" thickBot="1" x14ac:dyDescent="0.3">
      <c r="A870" s="88"/>
      <c r="B870" s="40" t="s">
        <v>240</v>
      </c>
      <c r="C870" s="30">
        <v>0</v>
      </c>
      <c r="D870" s="41" t="s">
        <v>241</v>
      </c>
      <c r="E870" s="42">
        <v>144</v>
      </c>
      <c r="F870" s="88"/>
      <c r="G870" s="321" t="s">
        <v>242</v>
      </c>
      <c r="H870" s="43" t="s">
        <v>243</v>
      </c>
      <c r="I870" s="35">
        <f>IF(E870&lt;&gt;0,1,0)</f>
        <v>1</v>
      </c>
      <c r="J870" s="291" t="s">
        <v>244</v>
      </c>
      <c r="K870" s="292"/>
      <c r="L870" s="44">
        <f>'Cable Calculator'!DE3</f>
        <v>420</v>
      </c>
      <c r="M870" s="195">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6"/>
    </row>
    <row r="871" spans="1:53" ht="16.5" thickTop="1" thickBot="1" x14ac:dyDescent="0.3">
      <c r="A871" s="88"/>
      <c r="B871" s="29" t="s">
        <v>246</v>
      </c>
      <c r="C871" s="37">
        <v>0</v>
      </c>
      <c r="D871" s="41" t="s">
        <v>247</v>
      </c>
      <c r="E871" s="42">
        <v>637</v>
      </c>
      <c r="F871" s="88"/>
      <c r="G871" s="322"/>
      <c r="H871" s="47" t="s">
        <v>248</v>
      </c>
      <c r="I871" s="35">
        <f>IF(E870&lt;&gt;0,E870,0)</f>
        <v>144</v>
      </c>
      <c r="J871" s="193"/>
      <c r="K871" s="194"/>
      <c r="L871" s="48"/>
      <c r="M871" s="195">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0</v>
      </c>
      <c r="V871" s="35">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6"/>
    </row>
    <row r="872" spans="1:53" ht="16.5" customHeight="1" thickTop="1" thickBot="1" x14ac:dyDescent="0.3">
      <c r="A872" s="88"/>
      <c r="B872" s="36" t="s">
        <v>249</v>
      </c>
      <c r="C872" s="30">
        <v>0</v>
      </c>
      <c r="D872" s="49" t="s">
        <v>250</v>
      </c>
      <c r="E872" s="50">
        <f>E869/12</f>
        <v>36</v>
      </c>
      <c r="F872" s="88"/>
      <c r="G872" s="321" t="s">
        <v>251</v>
      </c>
      <c r="H872" s="51" t="s">
        <v>252</v>
      </c>
      <c r="I872" s="112">
        <f>E871</f>
        <v>637</v>
      </c>
      <c r="J872" s="323" t="s">
        <v>253</v>
      </c>
      <c r="K872" s="324"/>
      <c r="L872" s="325"/>
      <c r="M872" s="52" t="s">
        <v>254</v>
      </c>
      <c r="N872" s="106"/>
      <c r="O872" s="106"/>
      <c r="P872" s="191"/>
      <c r="Q872" s="191"/>
      <c r="R872" s="191"/>
      <c r="S872" s="191"/>
      <c r="T872" s="191"/>
      <c r="U872" s="191"/>
      <c r="V872" s="191"/>
      <c r="W872" s="53">
        <f>SUM(P872:U872)</f>
        <v>0</v>
      </c>
      <c r="X872" s="54"/>
      <c r="Y872" s="25"/>
      <c r="Z872" s="45">
        <v>3</v>
      </c>
      <c r="AA872" s="46">
        <v>25</v>
      </c>
      <c r="AB872" s="46">
        <v>36</v>
      </c>
      <c r="AC872" s="25"/>
      <c r="AD872" s="25"/>
      <c r="BA872" s="226"/>
    </row>
    <row r="873" spans="1:53" ht="16.5" thickTop="1" thickBot="1" x14ac:dyDescent="0.3">
      <c r="A873" s="88"/>
      <c r="B873" s="36" t="s">
        <v>255</v>
      </c>
      <c r="C873" s="30">
        <v>216</v>
      </c>
      <c r="D873" s="31" t="s">
        <v>256</v>
      </c>
      <c r="E873" s="101" t="str">
        <f>IF('Cable Calculator'!DE5="","",'Cable Calculator'!DE5)</f>
        <v>N</v>
      </c>
      <c r="F873" s="88"/>
      <c r="G873" s="322"/>
      <c r="H873" s="47" t="s">
        <v>257</v>
      </c>
      <c r="I873" s="35">
        <f>IF(E871="","0",IF(AND(E868="EUC",E869=432), I872+(203-E870),IF(E871=0,0,(E871+(E869-E870)-1))))</f>
        <v>696</v>
      </c>
      <c r="J873" s="286" t="str">
        <f>IFERROR(IF(OR(E868="EUC",E868="SS"),"---",IF(OR(P867,S867),"NO 2F Tethers for RPX!",IF(OR(P869,S869),"NO 6F Tethers for RPX!","---"))),"---")</f>
        <v>---</v>
      </c>
      <c r="K873" s="287"/>
      <c r="L873" s="288"/>
      <c r="M873" s="286" t="str">
        <f>IF(E870&gt;60,"Dead Count &gt;60: Consider Downsize","---")</f>
        <v>Dead Count &gt;60: Consider Downsize</v>
      </c>
      <c r="N873" s="287"/>
      <c r="O873" s="287"/>
      <c r="P873" s="287"/>
      <c r="Q873" s="287"/>
      <c r="R873" s="287"/>
      <c r="S873" s="287"/>
      <c r="T873" s="287"/>
      <c r="U873" s="288"/>
      <c r="V873" s="100"/>
      <c r="W873" s="54">
        <f>SUM(P873:U873)</f>
        <v>0</v>
      </c>
      <c r="X873" s="54"/>
      <c r="Y873" s="25"/>
      <c r="Z873" s="45">
        <v>4</v>
      </c>
      <c r="AA873" s="46">
        <v>37</v>
      </c>
      <c r="AB873" s="46">
        <v>48</v>
      </c>
      <c r="AC873" s="25"/>
      <c r="AD873" s="25"/>
      <c r="BA873" s="226"/>
    </row>
    <row r="874" spans="1:53" ht="16.5" thickTop="1" thickBot="1" x14ac:dyDescent="0.3">
      <c r="A874" s="88"/>
      <c r="B874" s="55" t="s">
        <v>258</v>
      </c>
      <c r="C874" s="56">
        <f>SUM(C868:C873)+I867</f>
        <v>276</v>
      </c>
      <c r="D874" s="31" t="s">
        <v>259</v>
      </c>
      <c r="E874" s="101" t="str">
        <f>IF(AS868="Y","DBL",IF(AS869="Y","TRPL",IF(AS870="Y","QUAD","")))</f>
        <v/>
      </c>
      <c r="F874" s="88"/>
      <c r="G874" s="191"/>
      <c r="H874" s="57"/>
      <c r="I874" s="191"/>
      <c r="J874" s="286"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7"/>
      <c r="L874" s="288"/>
      <c r="M874" s="286" t="str">
        <f>IF(AND(OR(E868="SS",E868="RPX",E868="EUC",E868="RPX-T"),(OR(C878="",C878="Field SPL"))),"Cannot have FlexNap cables without tethers","---")</f>
        <v>---</v>
      </c>
      <c r="N874" s="287"/>
      <c r="O874" s="287"/>
      <c r="P874" s="287"/>
      <c r="Q874" s="287"/>
      <c r="R874" s="287"/>
      <c r="S874" s="287"/>
      <c r="T874" s="287"/>
      <c r="U874" s="288"/>
      <c r="V874" s="25"/>
      <c r="W874" s="58"/>
      <c r="X874" s="58"/>
      <c r="Y874" s="25"/>
      <c r="Z874" s="45">
        <v>5</v>
      </c>
      <c r="AA874" s="46">
        <v>49</v>
      </c>
      <c r="AB874" s="46">
        <v>60</v>
      </c>
      <c r="AC874" s="25"/>
      <c r="AD874" s="25"/>
      <c r="BA874" s="226"/>
    </row>
    <row r="875" spans="1:53" ht="16.5" thickTop="1" thickBot="1" x14ac:dyDescent="0.3">
      <c r="A875" s="88"/>
      <c r="B875" s="59"/>
      <c r="C875" s="60"/>
      <c r="D875" s="61"/>
      <c r="E875" s="62"/>
      <c r="F875" s="88"/>
      <c r="G875" s="63"/>
      <c r="H875" s="64"/>
      <c r="I875" s="63"/>
      <c r="J875" s="286" t="str">
        <f>IF(AND(OR(E868="RPX", E868="RPX-T", E868="SS"),E869=216),"NO 216 For RPX, RPX-T, OR SS CABLE","---")</f>
        <v>---</v>
      </c>
      <c r="K875" s="287"/>
      <c r="L875" s="288"/>
      <c r="M875" s="286" t="str" cm="1">
        <f t="array" ref="M875">IF(AND(E868="",OR(C878:C902="FST",C878:C902="REV T",C878:C902="DBL REV",C878:C902="TPL REV", C878:C902="QD REV")),"Non-FlexNap cables cannot have tethers","---")</f>
        <v>---</v>
      </c>
      <c r="N875" s="287"/>
      <c r="O875" s="287"/>
      <c r="P875" s="287"/>
      <c r="Q875" s="287"/>
      <c r="R875" s="287"/>
      <c r="S875" s="287"/>
      <c r="T875" s="287"/>
      <c r="U875" s="288"/>
      <c r="V875" s="25"/>
      <c r="W875" s="58"/>
      <c r="X875" s="58"/>
      <c r="Y875" s="25"/>
      <c r="Z875" s="45">
        <v>6</v>
      </c>
      <c r="AA875" s="65">
        <v>61</v>
      </c>
      <c r="AB875" s="65">
        <v>72</v>
      </c>
      <c r="AC875" s="25"/>
      <c r="AD875" s="25"/>
      <c r="BA875" s="225"/>
    </row>
    <row r="876" spans="1:53" ht="15.75" customHeight="1" thickBot="1" x14ac:dyDescent="0.3">
      <c r="A876" s="88"/>
      <c r="B876" s="321" t="s">
        <v>260</v>
      </c>
      <c r="C876" s="293" t="s">
        <v>261</v>
      </c>
      <c r="D876" s="293" t="s">
        <v>262</v>
      </c>
      <c r="E876" s="306" t="s">
        <v>263</v>
      </c>
      <c r="F876" s="293" t="s">
        <v>264</v>
      </c>
      <c r="G876" s="308" t="s">
        <v>265</v>
      </c>
      <c r="H876" s="308" t="s">
        <v>266</v>
      </c>
      <c r="I876" s="308" t="s">
        <v>267</v>
      </c>
      <c r="J876" s="310" t="s">
        <v>268</v>
      </c>
      <c r="K876" s="293" t="s">
        <v>269</v>
      </c>
      <c r="L876" s="280" t="s">
        <v>270</v>
      </c>
      <c r="M876" s="282" t="s">
        <v>271</v>
      </c>
      <c r="N876" s="282"/>
      <c r="O876" s="282"/>
      <c r="P876" s="282"/>
      <c r="Q876" s="282"/>
      <c r="R876" s="282"/>
      <c r="S876" s="282"/>
      <c r="T876" s="282"/>
      <c r="U876" s="283"/>
      <c r="V876" s="107"/>
      <c r="W876" s="72"/>
      <c r="X876" s="72"/>
      <c r="Y876" s="72"/>
      <c r="Z876" s="45">
        <v>7</v>
      </c>
      <c r="AA876" s="65">
        <v>73</v>
      </c>
      <c r="AB876" s="65">
        <v>84</v>
      </c>
      <c r="AC876" s="25"/>
      <c r="AD876" s="25"/>
      <c r="BA876" s="227"/>
    </row>
    <row r="877" spans="1:53" ht="15.75" thickBot="1" x14ac:dyDescent="0.3">
      <c r="A877" s="88"/>
      <c r="B877" s="322"/>
      <c r="C877" s="294"/>
      <c r="D877" s="294"/>
      <c r="E877" s="307"/>
      <c r="F877" s="294"/>
      <c r="G877" s="309"/>
      <c r="H877" s="309"/>
      <c r="I877" s="309"/>
      <c r="J877" s="311"/>
      <c r="K877" s="294"/>
      <c r="L877" s="281"/>
      <c r="M877" s="284"/>
      <c r="N877" s="284"/>
      <c r="O877" s="284"/>
      <c r="P877" s="284"/>
      <c r="Q877" s="284"/>
      <c r="R877" s="284"/>
      <c r="S877" s="284"/>
      <c r="T877" s="284"/>
      <c r="U877" s="285"/>
      <c r="V877" s="107"/>
      <c r="W877" s="72"/>
      <c r="X877" s="72"/>
      <c r="Y877" s="72"/>
      <c r="Z877" s="45">
        <v>8</v>
      </c>
      <c r="AA877" s="46">
        <v>85</v>
      </c>
      <c r="AB877" s="46">
        <v>96</v>
      </c>
      <c r="AC877" s="25"/>
      <c r="AD877" s="25"/>
      <c r="AI877" s="109" t="s">
        <v>272</v>
      </c>
      <c r="AJ877" s="109" t="s">
        <v>273</v>
      </c>
      <c r="AK877" s="109" t="s">
        <v>274</v>
      </c>
      <c r="AL877" s="109" t="s">
        <v>275</v>
      </c>
      <c r="BA877" s="227"/>
    </row>
    <row r="878" spans="1:53" ht="15.75" thickBot="1" x14ac:dyDescent="0.3">
      <c r="A878" s="88"/>
      <c r="B878" s="66" t="s">
        <v>276</v>
      </c>
      <c r="C878" s="67" t="s">
        <v>484</v>
      </c>
      <c r="D878" s="102" t="s">
        <v>741</v>
      </c>
      <c r="E878" s="32">
        <v>4</v>
      </c>
      <c r="F878" s="32" t="s">
        <v>488</v>
      </c>
      <c r="G878" s="68" t="s">
        <v>277</v>
      </c>
      <c r="H878" s="69">
        <f>IF(I878=0,0,I878-(E878-1))</f>
        <v>693</v>
      </c>
      <c r="I878" s="70">
        <f>IF(E878=0,0,I873)</f>
        <v>696</v>
      </c>
      <c r="J878" s="71" t="s">
        <v>278</v>
      </c>
      <c r="K878" s="32"/>
      <c r="L878" s="232"/>
      <c r="M878" s="278"/>
      <c r="N878" s="278"/>
      <c r="O878" s="278"/>
      <c r="P878" s="278"/>
      <c r="Q878" s="278"/>
      <c r="R878" s="278"/>
      <c r="S878" s="278"/>
      <c r="T878" s="278"/>
      <c r="U878" s="279"/>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693-696</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8">
        <f>MOD(E878,12)</f>
        <v>4</v>
      </c>
    </row>
    <row r="879" spans="1:53" ht="15.75" thickBot="1" x14ac:dyDescent="0.3">
      <c r="A879" s="88"/>
      <c r="B879" s="66" t="s">
        <v>279</v>
      </c>
      <c r="C879" s="67" t="s">
        <v>484</v>
      </c>
      <c r="D879" s="102" t="s">
        <v>742</v>
      </c>
      <c r="E879" s="32">
        <v>2</v>
      </c>
      <c r="F879" s="32" t="s">
        <v>488</v>
      </c>
      <c r="G879" s="68" t="s">
        <v>277</v>
      </c>
      <c r="H879" s="69">
        <f t="shared" ref="H879:H902" si="366">IF(E879=0,0,I879-(E879-1))</f>
        <v>691</v>
      </c>
      <c r="I879" s="70">
        <f t="shared" ref="I879:I902" si="367">IF(E879=0,0,H878-1)</f>
        <v>692</v>
      </c>
      <c r="J879" s="73" t="str">
        <f>IF(C879="","--",IF(AND(C879&lt;&gt;"FST",C879&lt;&gt;"TCF",BA878&lt;&gt;0),BA878,"--"))</f>
        <v>--</v>
      </c>
      <c r="K879" s="32"/>
      <c r="L879" s="232"/>
      <c r="M879" s="278"/>
      <c r="N879" s="278"/>
      <c r="O879" s="278"/>
      <c r="P879" s="278"/>
      <c r="Q879" s="278"/>
      <c r="R879" s="278"/>
      <c r="S879" s="278"/>
      <c r="T879" s="278"/>
      <c r="U879" s="279"/>
      <c r="V879" s="103"/>
      <c r="W879" s="72"/>
      <c r="X879" s="72"/>
      <c r="Y879" s="72"/>
      <c r="Z879" s="45">
        <v>10</v>
      </c>
      <c r="AA879" s="46">
        <v>109</v>
      </c>
      <c r="AB879" s="46">
        <v>120</v>
      </c>
      <c r="AC879" s="72">
        <f t="shared" si="357"/>
        <v>1</v>
      </c>
      <c r="AD879" s="72">
        <f t="shared" si="358"/>
        <v>0</v>
      </c>
      <c r="AE879" s="109" t="str">
        <f t="shared" si="359"/>
        <v>691-692</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62"/>
        <v>0</v>
      </c>
      <c r="AN879" s="109">
        <f t="shared" si="363"/>
        <v>0</v>
      </c>
      <c r="AO879" s="109" t="str">
        <f t="shared" si="364"/>
        <v/>
      </c>
      <c r="AQ879" s="109" t="str">
        <f t="shared" si="365"/>
        <v/>
      </c>
      <c r="BA879" s="228">
        <f>MOD(SUM(E878:E879),12)</f>
        <v>6</v>
      </c>
    </row>
    <row r="880" spans="1:53" ht="15.75" thickBot="1" x14ac:dyDescent="0.3">
      <c r="A880" s="88"/>
      <c r="B880" s="74" t="s">
        <v>280</v>
      </c>
      <c r="C880" s="67" t="s">
        <v>484</v>
      </c>
      <c r="D880" s="102" t="s">
        <v>743</v>
      </c>
      <c r="E880" s="32">
        <v>4</v>
      </c>
      <c r="F880" s="32" t="s">
        <v>488</v>
      </c>
      <c r="G880" s="75" t="s">
        <v>277</v>
      </c>
      <c r="H880" s="69">
        <f t="shared" si="366"/>
        <v>687</v>
      </c>
      <c r="I880" s="70">
        <f t="shared" si="367"/>
        <v>690</v>
      </c>
      <c r="J880" s="73" t="str">
        <f t="shared" ref="J880:J902" si="368">IF(C880="","--",IF(AND(C880&lt;&gt;"FST",C880&lt;&gt;"TCF",BA879&lt;&gt;0),BA879,"--"))</f>
        <v>--</v>
      </c>
      <c r="K880" s="32"/>
      <c r="L880" s="232"/>
      <c r="M880" s="278"/>
      <c r="N880" s="278"/>
      <c r="O880" s="278"/>
      <c r="P880" s="278"/>
      <c r="Q880" s="278"/>
      <c r="R880" s="278"/>
      <c r="S880" s="278"/>
      <c r="T880" s="278"/>
      <c r="U880" s="279"/>
      <c r="V880" s="103"/>
      <c r="W880" s="72"/>
      <c r="X880" s="72"/>
      <c r="Y880" s="72"/>
      <c r="Z880" s="45">
        <v>11</v>
      </c>
      <c r="AA880" s="46">
        <v>121</v>
      </c>
      <c r="AB880" s="46">
        <v>132</v>
      </c>
      <c r="AC880" s="72">
        <f t="shared" si="357"/>
        <v>1</v>
      </c>
      <c r="AD880" s="72">
        <f t="shared" si="358"/>
        <v>0</v>
      </c>
      <c r="AE880" s="109" t="str">
        <f t="shared" si="359"/>
        <v>687-690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62"/>
        <v>0</v>
      </c>
      <c r="AN880" s="109">
        <f t="shared" si="363"/>
        <v>0</v>
      </c>
      <c r="AO880" s="109" t="str">
        <f t="shared" si="364"/>
        <v/>
      </c>
      <c r="AQ880" s="109" t="str">
        <f t="shared" si="365"/>
        <v/>
      </c>
      <c r="BA880" s="228">
        <f>MOD(SUM(E878:E881),12)</f>
        <v>0</v>
      </c>
    </row>
    <row r="881" spans="1:53" ht="15.75" thickBot="1" x14ac:dyDescent="0.3">
      <c r="A881" s="88"/>
      <c r="B881" s="66" t="s">
        <v>281</v>
      </c>
      <c r="C881" s="67" t="s">
        <v>484</v>
      </c>
      <c r="D881" s="102" t="s">
        <v>781</v>
      </c>
      <c r="E881" s="32">
        <v>2</v>
      </c>
      <c r="F881" s="32" t="s">
        <v>488</v>
      </c>
      <c r="G881" s="68" t="s">
        <v>277</v>
      </c>
      <c r="H881" s="69">
        <f t="shared" si="366"/>
        <v>685</v>
      </c>
      <c r="I881" s="70">
        <f t="shared" si="367"/>
        <v>686</v>
      </c>
      <c r="J881" s="73" t="str">
        <f t="shared" si="368"/>
        <v>--</v>
      </c>
      <c r="K881" s="32"/>
      <c r="L881" s="232"/>
      <c r="M881" s="278"/>
      <c r="N881" s="278"/>
      <c r="O881" s="278"/>
      <c r="P881" s="278"/>
      <c r="Q881" s="278"/>
      <c r="R881" s="278"/>
      <c r="S881" s="278"/>
      <c r="T881" s="278"/>
      <c r="U881" s="279"/>
      <c r="V881" s="103"/>
      <c r="W881" s="72"/>
      <c r="X881" s="72"/>
      <c r="Y881" s="72"/>
      <c r="Z881" s="45">
        <v>12</v>
      </c>
      <c r="AA881" s="76">
        <v>133</v>
      </c>
      <c r="AB881" s="76">
        <v>144</v>
      </c>
      <c r="AC881" s="72">
        <f t="shared" si="357"/>
        <v>1</v>
      </c>
      <c r="AD881" s="72">
        <f t="shared" si="358"/>
        <v>0</v>
      </c>
      <c r="AE881" s="109" t="str">
        <f t="shared" si="359"/>
        <v>685-686</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62"/>
        <v>0</v>
      </c>
      <c r="AN881" s="109">
        <f t="shared" si="363"/>
        <v>0</v>
      </c>
      <c r="AO881" s="109" t="str">
        <f t="shared" si="364"/>
        <v/>
      </c>
      <c r="AQ881" s="109" t="str">
        <f t="shared" si="365"/>
        <v/>
      </c>
      <c r="BA881" s="228">
        <f>MOD(SUM(E878:E882),12)</f>
        <v>0</v>
      </c>
    </row>
    <row r="882" spans="1:53" ht="15.75" thickBot="1" x14ac:dyDescent="0.3">
      <c r="A882" s="88"/>
      <c r="B882" s="66" t="s">
        <v>282</v>
      </c>
      <c r="C882" s="67" t="s">
        <v>502</v>
      </c>
      <c r="D882" s="102"/>
      <c r="E882" s="32">
        <v>48</v>
      </c>
      <c r="F882" s="32"/>
      <c r="G882" s="68" t="s">
        <v>277</v>
      </c>
      <c r="H882" s="69">
        <f t="shared" si="366"/>
        <v>637</v>
      </c>
      <c r="I882" s="70">
        <f t="shared" si="367"/>
        <v>684</v>
      </c>
      <c r="J882" s="73" t="str">
        <f t="shared" si="368"/>
        <v>--</v>
      </c>
      <c r="K882" s="32"/>
      <c r="L882" s="232"/>
      <c r="M882" s="278" t="s">
        <v>410</v>
      </c>
      <c r="N882" s="278"/>
      <c r="O882" s="278"/>
      <c r="P882" s="278"/>
      <c r="Q882" s="278"/>
      <c r="R882" s="278"/>
      <c r="S882" s="278"/>
      <c r="T882" s="278"/>
      <c r="U882" s="279"/>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637-684</v>
      </c>
      <c r="AF882" s="109" t="str">
        <f t="shared" si="360"/>
        <v>N</v>
      </c>
      <c r="AG882" s="109" t="str">
        <f t="shared" si="361"/>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62"/>
        <v>0</v>
      </c>
      <c r="AN882" s="109">
        <f t="shared" si="363"/>
        <v>0</v>
      </c>
      <c r="AO882" s="109" t="str">
        <f t="shared" si="364"/>
        <v/>
      </c>
      <c r="AQ882" s="109" t="str">
        <f t="shared" si="365"/>
        <v/>
      </c>
      <c r="BA882" s="228">
        <f>MOD(SUM(E878:E883),12)</f>
        <v>0</v>
      </c>
    </row>
    <row r="883" spans="1:53" ht="15.75" thickBot="1" x14ac:dyDescent="0.3">
      <c r="A883" s="88"/>
      <c r="B883" s="66" t="s">
        <v>283</v>
      </c>
      <c r="C883" s="67"/>
      <c r="D883" s="254"/>
      <c r="E883" s="32"/>
      <c r="F883" s="32"/>
      <c r="G883" s="68" t="s">
        <v>277</v>
      </c>
      <c r="H883" s="69">
        <f t="shared" si="366"/>
        <v>0</v>
      </c>
      <c r="I883" s="70">
        <f t="shared" si="367"/>
        <v>0</v>
      </c>
      <c r="J883" s="73" t="str">
        <f t="shared" si="368"/>
        <v>--</v>
      </c>
      <c r="K883" s="32"/>
      <c r="L883" s="232"/>
      <c r="M883" s="278" t="s">
        <v>802</v>
      </c>
      <c r="N883" s="278"/>
      <c r="O883" s="278"/>
      <c r="P883" s="278"/>
      <c r="Q883" s="278"/>
      <c r="R883" s="278"/>
      <c r="S883" s="278"/>
      <c r="T883" s="278"/>
      <c r="U883" s="279"/>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8">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2"/>
      <c r="M884" s="278"/>
      <c r="N884" s="278"/>
      <c r="O884" s="278"/>
      <c r="P884" s="278"/>
      <c r="Q884" s="278"/>
      <c r="R884" s="278"/>
      <c r="S884" s="278"/>
      <c r="T884" s="278"/>
      <c r="U884" s="279"/>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8">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2"/>
      <c r="M885" s="278"/>
      <c r="N885" s="278"/>
      <c r="O885" s="278"/>
      <c r="P885" s="278"/>
      <c r="Q885" s="278"/>
      <c r="R885" s="278"/>
      <c r="S885" s="278"/>
      <c r="T885" s="278"/>
      <c r="U885" s="279"/>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8">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2"/>
      <c r="M886" s="278"/>
      <c r="N886" s="278"/>
      <c r="O886" s="278"/>
      <c r="P886" s="278"/>
      <c r="Q886" s="278"/>
      <c r="R886" s="278"/>
      <c r="S886" s="278"/>
      <c r="T886" s="278"/>
      <c r="U886" s="279"/>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8">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2"/>
      <c r="M887" s="278"/>
      <c r="N887" s="278"/>
      <c r="O887" s="278"/>
      <c r="P887" s="278"/>
      <c r="Q887" s="278"/>
      <c r="R887" s="278"/>
      <c r="S887" s="278"/>
      <c r="T887" s="278"/>
      <c r="U887" s="279"/>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8">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2"/>
      <c r="M888" s="278"/>
      <c r="N888" s="278"/>
      <c r="O888" s="278"/>
      <c r="P888" s="278"/>
      <c r="Q888" s="278"/>
      <c r="R888" s="278"/>
      <c r="S888" s="278"/>
      <c r="T888" s="278"/>
      <c r="U888" s="279"/>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8">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2"/>
      <c r="M889" s="278"/>
      <c r="N889" s="278"/>
      <c r="O889" s="278"/>
      <c r="P889" s="278"/>
      <c r="Q889" s="278"/>
      <c r="R889" s="278"/>
      <c r="S889" s="278"/>
      <c r="T889" s="278"/>
      <c r="U889" s="279"/>
      <c r="V889" s="103"/>
      <c r="W889" s="84">
        <f>Y889+1</f>
        <v>61</v>
      </c>
      <c r="X889" s="84"/>
      <c r="Y889" s="78">
        <f>SUM(E878:E889)</f>
        <v>60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8">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2"/>
      <c r="M890" s="278"/>
      <c r="N890" s="278"/>
      <c r="O890" s="278"/>
      <c r="P890" s="278"/>
      <c r="Q890" s="278"/>
      <c r="R890" s="278"/>
      <c r="S890" s="278"/>
      <c r="T890" s="278"/>
      <c r="U890" s="279"/>
      <c r="V890" s="103"/>
      <c r="W890" s="84">
        <f>Y890+1</f>
        <v>61</v>
      </c>
      <c r="X890" s="84"/>
      <c r="Y890" s="78">
        <f>SUM(E878:E890)</f>
        <v>60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8">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2"/>
      <c r="M891" s="278"/>
      <c r="N891" s="278"/>
      <c r="O891" s="278"/>
      <c r="P891" s="278"/>
      <c r="Q891" s="278"/>
      <c r="R891" s="278"/>
      <c r="S891" s="278"/>
      <c r="T891" s="278"/>
      <c r="U891" s="279"/>
      <c r="V891" s="103"/>
      <c r="W891" s="84">
        <f>Y891+1</f>
        <v>61</v>
      </c>
      <c r="X891" s="84"/>
      <c r="Y891" s="78">
        <f>SUM(E878:E891)</f>
        <v>60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8">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2"/>
      <c r="M892" s="278"/>
      <c r="N892" s="278"/>
      <c r="O892" s="278"/>
      <c r="P892" s="278"/>
      <c r="Q892" s="278"/>
      <c r="R892" s="278"/>
      <c r="S892" s="278"/>
      <c r="T892" s="278"/>
      <c r="U892" s="279"/>
      <c r="V892" s="103"/>
      <c r="W892" s="84">
        <f>Y892+1</f>
        <v>61</v>
      </c>
      <c r="X892" s="84"/>
      <c r="Y892" s="78">
        <f>SUM(E878:E892)</f>
        <v>60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8">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2"/>
      <c r="M893" s="278"/>
      <c r="N893" s="278"/>
      <c r="O893" s="278"/>
      <c r="P893" s="278"/>
      <c r="Q893" s="278"/>
      <c r="R893" s="278"/>
      <c r="S893" s="278"/>
      <c r="T893" s="278"/>
      <c r="U893" s="279"/>
      <c r="V893" s="103"/>
      <c r="W893" s="84">
        <f t="shared" ref="W893:W901" si="373">Y893+1</f>
        <v>61</v>
      </c>
      <c r="X893" s="84"/>
      <c r="Y893" s="78">
        <f>SUM(E878:E893)</f>
        <v>60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8">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2"/>
      <c r="M894" s="278"/>
      <c r="N894" s="278"/>
      <c r="O894" s="278"/>
      <c r="P894" s="278"/>
      <c r="Q894" s="278"/>
      <c r="R894" s="278"/>
      <c r="S894" s="278"/>
      <c r="T894" s="278"/>
      <c r="U894" s="279"/>
      <c r="V894" s="103"/>
      <c r="W894" s="84">
        <f t="shared" si="373"/>
        <v>61</v>
      </c>
      <c r="X894" s="84"/>
      <c r="Y894" s="78">
        <f>SUM(E878:E894)</f>
        <v>60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8">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2"/>
      <c r="M895" s="278"/>
      <c r="N895" s="278"/>
      <c r="O895" s="278"/>
      <c r="P895" s="278"/>
      <c r="Q895" s="278"/>
      <c r="R895" s="278"/>
      <c r="S895" s="278"/>
      <c r="T895" s="278"/>
      <c r="U895" s="279"/>
      <c r="V895" s="103"/>
      <c r="W895" s="84">
        <f t="shared" si="373"/>
        <v>61</v>
      </c>
      <c r="X895" s="84"/>
      <c r="Y895" s="78">
        <f>SUM(E878:E895)</f>
        <v>60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8">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2"/>
      <c r="M896" s="278"/>
      <c r="N896" s="278"/>
      <c r="O896" s="278"/>
      <c r="P896" s="278"/>
      <c r="Q896" s="278"/>
      <c r="R896" s="278"/>
      <c r="S896" s="278"/>
      <c r="T896" s="278"/>
      <c r="U896" s="279"/>
      <c r="V896" s="103"/>
      <c r="W896" s="84">
        <f t="shared" si="373"/>
        <v>61</v>
      </c>
      <c r="X896" s="84"/>
      <c r="Y896" s="78">
        <f>SUM(E878:E896)</f>
        <v>60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8">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2"/>
      <c r="M897" s="278"/>
      <c r="N897" s="278"/>
      <c r="O897" s="278"/>
      <c r="P897" s="278"/>
      <c r="Q897" s="278"/>
      <c r="R897" s="278"/>
      <c r="S897" s="278"/>
      <c r="T897" s="278"/>
      <c r="U897" s="279"/>
      <c r="V897" s="103"/>
      <c r="W897" s="84">
        <f t="shared" si="373"/>
        <v>61</v>
      </c>
      <c r="X897" s="84"/>
      <c r="Y897" s="78">
        <f>SUM(E878:E897)</f>
        <v>60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8">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2"/>
      <c r="M898" s="278"/>
      <c r="N898" s="278"/>
      <c r="O898" s="278"/>
      <c r="P898" s="278"/>
      <c r="Q898" s="278"/>
      <c r="R898" s="278"/>
      <c r="S898" s="278"/>
      <c r="T898" s="278"/>
      <c r="U898" s="279"/>
      <c r="V898" s="103"/>
      <c r="W898" s="84">
        <f t="shared" si="373"/>
        <v>61</v>
      </c>
      <c r="X898" s="84"/>
      <c r="Y898" s="78">
        <f>SUM(E878:E898)</f>
        <v>60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8">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2"/>
      <c r="M899" s="278"/>
      <c r="N899" s="278"/>
      <c r="O899" s="278"/>
      <c r="P899" s="278"/>
      <c r="Q899" s="278"/>
      <c r="R899" s="278"/>
      <c r="S899" s="278"/>
      <c r="T899" s="278"/>
      <c r="U899" s="279"/>
      <c r="V899" s="103"/>
      <c r="W899" s="84">
        <f t="shared" si="373"/>
        <v>61</v>
      </c>
      <c r="X899" s="84"/>
      <c r="Y899" s="78">
        <f>SUM(E878:E899)</f>
        <v>60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8">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2"/>
      <c r="M900" s="278"/>
      <c r="N900" s="278"/>
      <c r="O900" s="278"/>
      <c r="P900" s="278"/>
      <c r="Q900" s="278"/>
      <c r="R900" s="278"/>
      <c r="S900" s="278"/>
      <c r="T900" s="278"/>
      <c r="U900" s="279"/>
      <c r="V900" s="103"/>
      <c r="W900" s="84">
        <f t="shared" si="373"/>
        <v>61</v>
      </c>
      <c r="X900" s="84"/>
      <c r="Y900" s="78">
        <f>SUM(E878:E900)</f>
        <v>60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8">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2"/>
      <c r="M901" s="278"/>
      <c r="N901" s="278"/>
      <c r="O901" s="278"/>
      <c r="P901" s="278"/>
      <c r="Q901" s="278"/>
      <c r="R901" s="278"/>
      <c r="S901" s="278"/>
      <c r="T901" s="278"/>
      <c r="U901" s="279"/>
      <c r="V901" s="103"/>
      <c r="W901" s="84">
        <f t="shared" si="373"/>
        <v>61</v>
      </c>
      <c r="X901" s="84"/>
      <c r="Y901" s="78">
        <f>SUM(E878:E901)</f>
        <v>60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8">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3"/>
      <c r="M902" s="278"/>
      <c r="N902" s="278"/>
      <c r="O902" s="278"/>
      <c r="P902" s="278"/>
      <c r="Q902" s="278"/>
      <c r="R902" s="278"/>
      <c r="S902" s="278"/>
      <c r="T902" s="278"/>
      <c r="U902" s="279"/>
      <c r="V902" s="103"/>
      <c r="W902" s="72"/>
      <c r="X902" s="72"/>
      <c r="Y902" s="78">
        <f>SUM(E878:E902)</f>
        <v>60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7"/>
    </row>
    <row r="903" spans="1:53" ht="16.5" thickBot="1" x14ac:dyDescent="0.3">
      <c r="A903" s="88"/>
      <c r="B903" s="319" t="s">
        <v>347</v>
      </c>
      <c r="C903" s="320"/>
      <c r="D903" s="79"/>
      <c r="E903" s="80"/>
      <c r="F903" s="80"/>
      <c r="G903" s="81"/>
      <c r="H903" s="191"/>
      <c r="I903" s="191"/>
      <c r="J903" s="191"/>
      <c r="K903" s="82"/>
      <c r="L903" s="319" t="s">
        <v>306</v>
      </c>
      <c r="M903" s="330"/>
      <c r="N903" s="330"/>
      <c r="O903" s="330"/>
      <c r="P903" s="330"/>
      <c r="Q903" s="330"/>
      <c r="R903" s="330"/>
      <c r="S903" s="330"/>
      <c r="T903" s="330"/>
      <c r="U903" s="320"/>
      <c r="V903" s="104"/>
      <c r="W903" s="72"/>
      <c r="X903" s="72"/>
      <c r="Y903" s="72"/>
      <c r="Z903" s="72"/>
      <c r="AA903" s="72" t="str">
        <f t="shared" si="372"/>
        <v/>
      </c>
      <c r="AB903" s="72"/>
      <c r="AC903" s="72">
        <f>SUM(AC878:AC902)</f>
        <v>25</v>
      </c>
      <c r="AD903" s="72">
        <f>SUM(AD878:AD902)</f>
        <v>21</v>
      </c>
      <c r="AM903" s="109">
        <f>SUM(AM878:AM902)</f>
        <v>0</v>
      </c>
      <c r="AN903" s="109">
        <f>SUM(AN878:AN902)</f>
        <v>0</v>
      </c>
      <c r="AO903" s="109">
        <f>((COUNTIF(AO878:AO902,"Y")/3)*2)</f>
        <v>0</v>
      </c>
      <c r="AP903" s="109">
        <f>(COUNTIF(AO878:AO902,"Y")/3)</f>
        <v>0</v>
      </c>
      <c r="AQ903" s="109">
        <f>(COUNTIF(AQ878:AQ902,"Y")/2)</f>
        <v>0</v>
      </c>
      <c r="AR903" s="109">
        <f>(COUNTIF(AQ878:AQ902,"Y")/2)</f>
        <v>0</v>
      </c>
      <c r="BA903" s="227"/>
    </row>
    <row r="904" spans="1:53" ht="16.5" thickBot="1" x14ac:dyDescent="0.3">
      <c r="A904" s="88"/>
      <c r="B904" s="319" t="s">
        <v>307</v>
      </c>
      <c r="C904" s="320"/>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5"/>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5" t="s">
        <v>210</v>
      </c>
      <c r="N907" s="195" t="s">
        <v>211</v>
      </c>
      <c r="O907" s="195" t="s">
        <v>212</v>
      </c>
      <c r="P907" s="195" t="s">
        <v>213</v>
      </c>
      <c r="Q907" s="195" t="s">
        <v>214</v>
      </c>
      <c r="R907" s="195" t="s">
        <v>215</v>
      </c>
      <c r="S907" s="195" t="s">
        <v>216</v>
      </c>
      <c r="T907" s="195" t="s">
        <v>217</v>
      </c>
      <c r="U907" s="195" t="s">
        <v>218</v>
      </c>
      <c r="V907" s="195" t="s">
        <v>219</v>
      </c>
      <c r="W907" s="113" t="s">
        <v>220</v>
      </c>
      <c r="X907" s="195" t="s">
        <v>221</v>
      </c>
      <c r="Y907" s="25"/>
      <c r="Z907" s="25"/>
      <c r="AA907" s="25"/>
      <c r="AB907" s="25"/>
      <c r="AC907" s="25"/>
      <c r="AD907" s="25"/>
      <c r="BA907" s="225"/>
    </row>
    <row r="908" spans="1:53" ht="16.5" thickTop="1" thickBot="1" x14ac:dyDescent="0.3">
      <c r="A908" s="88"/>
      <c r="B908" s="312" t="s">
        <v>222</v>
      </c>
      <c r="C908" s="313"/>
      <c r="D908" s="314" t="s">
        <v>223</v>
      </c>
      <c r="E908" s="305"/>
      <c r="F908" s="88"/>
      <c r="G908" s="315" t="s">
        <v>224</v>
      </c>
      <c r="H908" s="316"/>
      <c r="I908" s="28">
        <f>SUM(E919:E943)</f>
        <v>24</v>
      </c>
      <c r="J908" s="317" t="s">
        <v>225</v>
      </c>
      <c r="K908" s="318"/>
      <c r="L908" s="305"/>
      <c r="M908" s="195">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5" t="s">
        <v>226</v>
      </c>
      <c r="AA908" s="296"/>
      <c r="AB908" s="297"/>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5"/>
    </row>
    <row r="909" spans="1:53" ht="16.5" customHeight="1" thickTop="1" thickBot="1" x14ac:dyDescent="0.3">
      <c r="A909" s="88"/>
      <c r="B909" s="29" t="s">
        <v>228</v>
      </c>
      <c r="C909" s="30">
        <v>0</v>
      </c>
      <c r="D909" s="31" t="s">
        <v>229</v>
      </c>
      <c r="E909" s="66" t="str">
        <f>TEXT(IF('Cable Calculator'!DJ7="","",'Cable Calculator'!DJ7),)</f>
        <v/>
      </c>
      <c r="F909" s="88"/>
      <c r="G909" s="304" t="s">
        <v>230</v>
      </c>
      <c r="H909" s="305"/>
      <c r="I909" s="33">
        <f>E910-I908</f>
        <v>0</v>
      </c>
      <c r="J909" s="289" t="s">
        <v>231</v>
      </c>
      <c r="K909" s="290"/>
      <c r="L909" s="34">
        <f>I913</f>
        <v>841</v>
      </c>
      <c r="M909" s="195">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8" t="s">
        <v>232</v>
      </c>
      <c r="AA909" s="300" t="s">
        <v>233</v>
      </c>
      <c r="AB909" s="301"/>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6"/>
    </row>
    <row r="910" spans="1:53" ht="16.5" thickTop="1" thickBot="1" x14ac:dyDescent="0.3">
      <c r="A910" s="88"/>
      <c r="B910" s="36" t="s">
        <v>235</v>
      </c>
      <c r="C910" s="37">
        <v>0</v>
      </c>
      <c r="D910" s="38" t="s">
        <v>236</v>
      </c>
      <c r="E910" s="32">
        <v>24</v>
      </c>
      <c r="F910" s="88"/>
      <c r="G910" s="291" t="s">
        <v>237</v>
      </c>
      <c r="H910" s="292"/>
      <c r="I910" s="35">
        <f>IF(E910=0,0,12-(MOD(I908,12)))</f>
        <v>12</v>
      </c>
      <c r="J910" s="289" t="s">
        <v>238</v>
      </c>
      <c r="K910" s="290"/>
      <c r="L910" s="39">
        <f>I914-I908</f>
        <v>840</v>
      </c>
      <c r="M910" s="195">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9"/>
      <c r="AA910" s="302"/>
      <c r="AB910" s="303"/>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6"/>
    </row>
    <row r="911" spans="1:53" ht="16.5" customHeight="1" thickTop="1" thickBot="1" x14ac:dyDescent="0.3">
      <c r="A911" s="88"/>
      <c r="B911" s="40" t="s">
        <v>240</v>
      </c>
      <c r="C911" s="30">
        <v>0</v>
      </c>
      <c r="D911" s="41" t="s">
        <v>241</v>
      </c>
      <c r="E911" s="42">
        <v>0</v>
      </c>
      <c r="F911" s="88"/>
      <c r="G911" s="321" t="s">
        <v>242</v>
      </c>
      <c r="H911" s="43" t="s">
        <v>243</v>
      </c>
      <c r="I911" s="35">
        <f>IF(E911&lt;&gt;0,1,0)</f>
        <v>0</v>
      </c>
      <c r="J911" s="291" t="s">
        <v>244</v>
      </c>
      <c r="K911" s="292"/>
      <c r="L911" s="44">
        <f>'Cable Calculator'!DJ3</f>
        <v>325</v>
      </c>
      <c r="M911" s="195">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6"/>
    </row>
    <row r="912" spans="1:53" ht="16.5" thickTop="1" thickBot="1" x14ac:dyDescent="0.3">
      <c r="A912" s="88"/>
      <c r="B912" s="29" t="s">
        <v>246</v>
      </c>
      <c r="C912" s="37">
        <v>0</v>
      </c>
      <c r="D912" s="41" t="s">
        <v>247</v>
      </c>
      <c r="E912" s="42">
        <v>841</v>
      </c>
      <c r="F912" s="88"/>
      <c r="G912" s="322"/>
      <c r="H912" s="47" t="s">
        <v>248</v>
      </c>
      <c r="I912" s="35">
        <f>IF(E911&lt;&gt;0,E911,0)</f>
        <v>0</v>
      </c>
      <c r="J912" s="193"/>
      <c r="K912" s="194"/>
      <c r="L912" s="48"/>
      <c r="M912" s="195">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6"/>
    </row>
    <row r="913" spans="1:53" ht="16.5" customHeight="1" thickTop="1" thickBot="1" x14ac:dyDescent="0.3">
      <c r="A913" s="88"/>
      <c r="B913" s="36" t="s">
        <v>249</v>
      </c>
      <c r="C913" s="30">
        <v>0</v>
      </c>
      <c r="D913" s="49" t="s">
        <v>250</v>
      </c>
      <c r="E913" s="50">
        <f>E910/12</f>
        <v>2</v>
      </c>
      <c r="F913" s="88"/>
      <c r="G913" s="321" t="s">
        <v>251</v>
      </c>
      <c r="H913" s="51" t="s">
        <v>252</v>
      </c>
      <c r="I913" s="112">
        <f>E912</f>
        <v>841</v>
      </c>
      <c r="J913" s="323" t="s">
        <v>253</v>
      </c>
      <c r="K913" s="324"/>
      <c r="L913" s="325"/>
      <c r="M913" s="52" t="s">
        <v>254</v>
      </c>
      <c r="N913" s="106"/>
      <c r="O913" s="106"/>
      <c r="P913" s="191"/>
      <c r="Q913" s="191"/>
      <c r="R913" s="191"/>
      <c r="S913" s="191"/>
      <c r="T913" s="191"/>
      <c r="U913" s="191"/>
      <c r="V913" s="191"/>
      <c r="W913" s="53">
        <f>SUM(P913:U913)</f>
        <v>0</v>
      </c>
      <c r="X913" s="54"/>
      <c r="Y913" s="25"/>
      <c r="Z913" s="45">
        <v>3</v>
      </c>
      <c r="AA913" s="46">
        <v>25</v>
      </c>
      <c r="AB913" s="46">
        <v>36</v>
      </c>
      <c r="AC913" s="25"/>
      <c r="AD913" s="25"/>
      <c r="BA913" s="226"/>
    </row>
    <row r="914" spans="1:53" ht="16.5" thickTop="1" thickBot="1" x14ac:dyDescent="0.3">
      <c r="A914" s="88"/>
      <c r="B914" s="36" t="s">
        <v>255</v>
      </c>
      <c r="C914" s="30">
        <v>0</v>
      </c>
      <c r="D914" s="31" t="s">
        <v>256</v>
      </c>
      <c r="E914" s="101" t="str">
        <f>IF('Cable Calculator'!DJ5="","",'Cable Calculator'!DJ5)</f>
        <v>N</v>
      </c>
      <c r="F914" s="88"/>
      <c r="G914" s="322"/>
      <c r="H914" s="47" t="s">
        <v>257</v>
      </c>
      <c r="I914" s="35">
        <f>IF(E912="","0",IF(AND(E909="EUC",E910=432), I913+(203-E911),IF(E912=0,0,(E912+(E910-E911)-1))))</f>
        <v>864</v>
      </c>
      <c r="J914" s="286" t="str">
        <f>IFERROR(IF(OR(E909="EUC",E909="SS"),"---",IF(OR(P908,S908),"NO 2F Tethers for RPX!",IF(OR(P910,S910),"NO 6F Tethers for RPX!","---"))),"---")</f>
        <v>---</v>
      </c>
      <c r="K914" s="287"/>
      <c r="L914" s="288"/>
      <c r="M914" s="286" t="str">
        <f>IF(E911&gt;60,"Dead Count &gt;60: Consider Downsize","---")</f>
        <v>---</v>
      </c>
      <c r="N914" s="287"/>
      <c r="O914" s="287"/>
      <c r="P914" s="287"/>
      <c r="Q914" s="287"/>
      <c r="R914" s="287"/>
      <c r="S914" s="287"/>
      <c r="T914" s="287"/>
      <c r="U914" s="288"/>
      <c r="V914" s="100"/>
      <c r="W914" s="54">
        <f>SUM(P914:U914)</f>
        <v>0</v>
      </c>
      <c r="X914" s="54"/>
      <c r="Y914" s="25"/>
      <c r="Z914" s="45">
        <v>4</v>
      </c>
      <c r="AA914" s="46">
        <v>37</v>
      </c>
      <c r="AB914" s="46">
        <v>48</v>
      </c>
      <c r="AC914" s="25"/>
      <c r="AD914" s="25"/>
      <c r="BA914" s="226"/>
    </row>
    <row r="915" spans="1:53" ht="16.5" thickTop="1" thickBot="1" x14ac:dyDescent="0.3">
      <c r="A915" s="88"/>
      <c r="B915" s="55" t="s">
        <v>258</v>
      </c>
      <c r="C915" s="56">
        <f>SUM(C909:C914)+I908</f>
        <v>24</v>
      </c>
      <c r="D915" s="31" t="s">
        <v>259</v>
      </c>
      <c r="E915" s="101" t="str">
        <f>IF(AS909="Y","DBL",IF(AS910="Y","TRPL",IF(AS911="Y","QUAD","")))</f>
        <v/>
      </c>
      <c r="F915" s="88"/>
      <c r="G915" s="191"/>
      <c r="H915" s="57"/>
      <c r="I915" s="191"/>
      <c r="J915" s="286"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7"/>
      <c r="L915" s="288"/>
      <c r="M915" s="286" t="str">
        <f>IF(AND(OR(E909="SS",E909="RPX",E909="EUC",E909="RPX-T"),(OR(C919="",C919="Field SPL"))),"Cannot have FlexNap cables without tethers","---")</f>
        <v>---</v>
      </c>
      <c r="N915" s="287"/>
      <c r="O915" s="287"/>
      <c r="P915" s="287"/>
      <c r="Q915" s="287"/>
      <c r="R915" s="287"/>
      <c r="S915" s="287"/>
      <c r="T915" s="287"/>
      <c r="U915" s="288"/>
      <c r="V915" s="25"/>
      <c r="W915" s="58"/>
      <c r="X915" s="58"/>
      <c r="Y915" s="25"/>
      <c r="Z915" s="45">
        <v>5</v>
      </c>
      <c r="AA915" s="46">
        <v>49</v>
      </c>
      <c r="AB915" s="46">
        <v>60</v>
      </c>
      <c r="AC915" s="25"/>
      <c r="AD915" s="25"/>
      <c r="BA915" s="226"/>
    </row>
    <row r="916" spans="1:53" ht="16.5" thickTop="1" thickBot="1" x14ac:dyDescent="0.3">
      <c r="A916" s="88"/>
      <c r="B916" s="59"/>
      <c r="C916" s="60"/>
      <c r="D916" s="61"/>
      <c r="E916" s="62"/>
      <c r="F916" s="88"/>
      <c r="G916" s="63"/>
      <c r="H916" s="64"/>
      <c r="I916" s="63"/>
      <c r="J916" s="286" t="str">
        <f>IF(AND(OR(E909="RPX", E909="RPX-T", E909="SS"),E910=216),"NO 216 For RPX, RPX-T, OR SS CABLE","---")</f>
        <v>---</v>
      </c>
      <c r="K916" s="287"/>
      <c r="L916" s="288"/>
      <c r="M916" s="286" t="str" cm="1">
        <f t="array" ref="M916">IF(AND(E909="",OR(C919:C943="FST",C919:C943="REV T",C919:C943="DBL REV",C919:C943="TPL REV", C919:C943="QD REV")),"Non-FlexNap cables cannot have tethers","---")</f>
        <v>---</v>
      </c>
      <c r="N916" s="287"/>
      <c r="O916" s="287"/>
      <c r="P916" s="287"/>
      <c r="Q916" s="287"/>
      <c r="R916" s="287"/>
      <c r="S916" s="287"/>
      <c r="T916" s="287"/>
      <c r="U916" s="288"/>
      <c r="V916" s="25"/>
      <c r="W916" s="58"/>
      <c r="X916" s="58"/>
      <c r="Y916" s="25"/>
      <c r="Z916" s="45">
        <v>6</v>
      </c>
      <c r="AA916" s="65">
        <v>61</v>
      </c>
      <c r="AB916" s="65">
        <v>72</v>
      </c>
      <c r="AC916" s="25"/>
      <c r="AD916" s="25"/>
      <c r="BA916" s="225"/>
    </row>
    <row r="917" spans="1:53" ht="15.75" customHeight="1" thickBot="1" x14ac:dyDescent="0.3">
      <c r="A917" s="88"/>
      <c r="B917" s="321" t="s">
        <v>260</v>
      </c>
      <c r="C917" s="293" t="s">
        <v>261</v>
      </c>
      <c r="D917" s="293" t="s">
        <v>262</v>
      </c>
      <c r="E917" s="306" t="s">
        <v>263</v>
      </c>
      <c r="F917" s="293" t="s">
        <v>264</v>
      </c>
      <c r="G917" s="308" t="s">
        <v>265</v>
      </c>
      <c r="H917" s="308" t="s">
        <v>266</v>
      </c>
      <c r="I917" s="308" t="s">
        <v>267</v>
      </c>
      <c r="J917" s="310" t="s">
        <v>268</v>
      </c>
      <c r="K917" s="293" t="s">
        <v>269</v>
      </c>
      <c r="L917" s="280" t="s">
        <v>270</v>
      </c>
      <c r="M917" s="282" t="s">
        <v>271</v>
      </c>
      <c r="N917" s="282"/>
      <c r="O917" s="282"/>
      <c r="P917" s="282"/>
      <c r="Q917" s="282"/>
      <c r="R917" s="282"/>
      <c r="S917" s="282"/>
      <c r="T917" s="282"/>
      <c r="U917" s="283"/>
      <c r="V917" s="107"/>
      <c r="W917" s="72"/>
      <c r="X917" s="72"/>
      <c r="Y917" s="72"/>
      <c r="Z917" s="45">
        <v>7</v>
      </c>
      <c r="AA917" s="65">
        <v>73</v>
      </c>
      <c r="AB917" s="65">
        <v>84</v>
      </c>
      <c r="AC917" s="25"/>
      <c r="AD917" s="25"/>
      <c r="BA917" s="227"/>
    </row>
    <row r="918" spans="1:53" ht="15.75" thickBot="1" x14ac:dyDescent="0.3">
      <c r="A918" s="88"/>
      <c r="B918" s="322"/>
      <c r="C918" s="294"/>
      <c r="D918" s="294"/>
      <c r="E918" s="307"/>
      <c r="F918" s="294"/>
      <c r="G918" s="309"/>
      <c r="H918" s="309"/>
      <c r="I918" s="309"/>
      <c r="J918" s="311"/>
      <c r="K918" s="294"/>
      <c r="L918" s="281"/>
      <c r="M918" s="284"/>
      <c r="N918" s="284"/>
      <c r="O918" s="284"/>
      <c r="P918" s="284"/>
      <c r="Q918" s="284"/>
      <c r="R918" s="284"/>
      <c r="S918" s="284"/>
      <c r="T918" s="284"/>
      <c r="U918" s="285"/>
      <c r="V918" s="107"/>
      <c r="W918" s="72"/>
      <c r="X918" s="72"/>
      <c r="Y918" s="72"/>
      <c r="Z918" s="45">
        <v>8</v>
      </c>
      <c r="AA918" s="46">
        <v>85</v>
      </c>
      <c r="AB918" s="46">
        <v>96</v>
      </c>
      <c r="AC918" s="25"/>
      <c r="AD918" s="25"/>
      <c r="AI918" s="109" t="s">
        <v>272</v>
      </c>
      <c r="AJ918" s="109" t="s">
        <v>273</v>
      </c>
      <c r="AK918" s="109" t="s">
        <v>274</v>
      </c>
      <c r="AL918" s="109" t="s">
        <v>275</v>
      </c>
      <c r="BA918" s="227"/>
    </row>
    <row r="919" spans="1:53" ht="15.75" thickBot="1" x14ac:dyDescent="0.3">
      <c r="A919" s="88"/>
      <c r="B919" s="66" t="s">
        <v>276</v>
      </c>
      <c r="C919" s="67" t="s">
        <v>502</v>
      </c>
      <c r="D919" s="102"/>
      <c r="E919" s="32">
        <v>24</v>
      </c>
      <c r="F919" s="32"/>
      <c r="G919" s="68" t="s">
        <v>277</v>
      </c>
      <c r="H919" s="69">
        <f>IF(I919=0,0,I919-(E919-1))</f>
        <v>841</v>
      </c>
      <c r="I919" s="70">
        <f>IF(E919=0,0,I914)</f>
        <v>864</v>
      </c>
      <c r="J919" s="71" t="s">
        <v>278</v>
      </c>
      <c r="K919" s="32"/>
      <c r="L919" s="232"/>
      <c r="M919" s="278"/>
      <c r="N919" s="278"/>
      <c r="O919" s="278"/>
      <c r="P919" s="278"/>
      <c r="Q919" s="278"/>
      <c r="R919" s="278"/>
      <c r="S919" s="278"/>
      <c r="T919" s="278"/>
      <c r="U919" s="279"/>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841-864</v>
      </c>
      <c r="AF919" s="109" t="str">
        <f t="shared" ref="AF919:AF943" si="377">IF(C919="Field SPL","N","Y")</f>
        <v>N</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8">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2"/>
      <c r="M920" s="278"/>
      <c r="N920" s="278"/>
      <c r="O920" s="278"/>
      <c r="P920" s="278"/>
      <c r="Q920" s="278"/>
      <c r="R920" s="278"/>
      <c r="S920" s="278"/>
      <c r="T920" s="278"/>
      <c r="U920" s="279"/>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8">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2"/>
      <c r="M921" s="278"/>
      <c r="N921" s="278"/>
      <c r="O921" s="278"/>
      <c r="P921" s="278"/>
      <c r="Q921" s="278"/>
      <c r="R921" s="278"/>
      <c r="S921" s="278"/>
      <c r="T921" s="278"/>
      <c r="U921" s="279"/>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8">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2"/>
      <c r="M922" s="278"/>
      <c r="N922" s="278"/>
      <c r="O922" s="278"/>
      <c r="P922" s="278"/>
      <c r="Q922" s="278"/>
      <c r="R922" s="278"/>
      <c r="S922" s="278"/>
      <c r="T922" s="278"/>
      <c r="U922" s="279"/>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8">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2"/>
      <c r="M923" s="278"/>
      <c r="N923" s="278"/>
      <c r="O923" s="278"/>
      <c r="P923" s="278"/>
      <c r="Q923" s="278"/>
      <c r="R923" s="278"/>
      <c r="S923" s="278"/>
      <c r="T923" s="278"/>
      <c r="U923" s="279"/>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8">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2"/>
      <c r="M924" s="278"/>
      <c r="N924" s="278"/>
      <c r="O924" s="278"/>
      <c r="P924" s="278"/>
      <c r="Q924" s="278"/>
      <c r="R924" s="278"/>
      <c r="S924" s="278"/>
      <c r="T924" s="278"/>
      <c r="U924" s="279"/>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8">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2"/>
      <c r="M925" s="278"/>
      <c r="N925" s="278"/>
      <c r="O925" s="278"/>
      <c r="P925" s="278"/>
      <c r="Q925" s="278"/>
      <c r="R925" s="278"/>
      <c r="S925" s="278"/>
      <c r="T925" s="278"/>
      <c r="U925" s="279"/>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8">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2"/>
      <c r="M926" s="278"/>
      <c r="N926" s="278"/>
      <c r="O926" s="278"/>
      <c r="P926" s="278"/>
      <c r="Q926" s="278"/>
      <c r="R926" s="278"/>
      <c r="S926" s="278"/>
      <c r="T926" s="278"/>
      <c r="U926" s="279"/>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8">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2"/>
      <c r="M927" s="278"/>
      <c r="N927" s="278"/>
      <c r="O927" s="278"/>
      <c r="P927" s="278"/>
      <c r="Q927" s="278"/>
      <c r="R927" s="278"/>
      <c r="S927" s="278"/>
      <c r="T927" s="278"/>
      <c r="U927" s="279"/>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8">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2"/>
      <c r="M928" s="278"/>
      <c r="N928" s="278"/>
      <c r="O928" s="278"/>
      <c r="P928" s="278"/>
      <c r="Q928" s="278"/>
      <c r="R928" s="278"/>
      <c r="S928" s="278"/>
      <c r="T928" s="278"/>
      <c r="U928" s="279"/>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8">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2"/>
      <c r="M929" s="278"/>
      <c r="N929" s="278"/>
      <c r="O929" s="278"/>
      <c r="P929" s="278"/>
      <c r="Q929" s="278"/>
      <c r="R929" s="278"/>
      <c r="S929" s="278"/>
      <c r="T929" s="278"/>
      <c r="U929" s="279"/>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8">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2"/>
      <c r="M930" s="278"/>
      <c r="N930" s="278"/>
      <c r="O930" s="278"/>
      <c r="P930" s="278"/>
      <c r="Q930" s="278"/>
      <c r="R930" s="278"/>
      <c r="S930" s="278"/>
      <c r="T930" s="278"/>
      <c r="U930" s="279"/>
      <c r="V930" s="103"/>
      <c r="W930" s="84">
        <f>Y930+1</f>
        <v>25</v>
      </c>
      <c r="X930" s="84"/>
      <c r="Y930" s="78">
        <f>SUM(E919:E930)</f>
        <v>24</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8">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2"/>
      <c r="M931" s="278"/>
      <c r="N931" s="278"/>
      <c r="O931" s="278"/>
      <c r="P931" s="278"/>
      <c r="Q931" s="278"/>
      <c r="R931" s="278"/>
      <c r="S931" s="278"/>
      <c r="T931" s="278"/>
      <c r="U931" s="279"/>
      <c r="V931" s="103"/>
      <c r="W931" s="84">
        <f>Y931+1</f>
        <v>25</v>
      </c>
      <c r="X931" s="84"/>
      <c r="Y931" s="78">
        <f>SUM(E919:E931)</f>
        <v>24</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8">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2"/>
      <c r="M932" s="278"/>
      <c r="N932" s="278"/>
      <c r="O932" s="278"/>
      <c r="P932" s="278"/>
      <c r="Q932" s="278"/>
      <c r="R932" s="278"/>
      <c r="S932" s="278"/>
      <c r="T932" s="278"/>
      <c r="U932" s="279"/>
      <c r="V932" s="103"/>
      <c r="W932" s="84">
        <f>Y932+1</f>
        <v>25</v>
      </c>
      <c r="X932" s="84"/>
      <c r="Y932" s="78">
        <f>SUM(E919:E932)</f>
        <v>24</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8">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2"/>
      <c r="M933" s="278"/>
      <c r="N933" s="278"/>
      <c r="O933" s="278"/>
      <c r="P933" s="278"/>
      <c r="Q933" s="278"/>
      <c r="R933" s="278"/>
      <c r="S933" s="278"/>
      <c r="T933" s="278"/>
      <c r="U933" s="279"/>
      <c r="V933" s="103"/>
      <c r="W933" s="84">
        <f>Y933+1</f>
        <v>25</v>
      </c>
      <c r="X933" s="84"/>
      <c r="Y933" s="78">
        <f>SUM(E919:E933)</f>
        <v>24</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8">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2"/>
      <c r="M934" s="278"/>
      <c r="N934" s="278"/>
      <c r="O934" s="278"/>
      <c r="P934" s="278"/>
      <c r="Q934" s="278"/>
      <c r="R934" s="278"/>
      <c r="S934" s="278"/>
      <c r="T934" s="278"/>
      <c r="U934" s="279"/>
      <c r="V934" s="103"/>
      <c r="W934" s="84">
        <f t="shared" ref="W934:W942" si="390">Y934+1</f>
        <v>25</v>
      </c>
      <c r="X934" s="84"/>
      <c r="Y934" s="78">
        <f>SUM(E919:E934)</f>
        <v>24</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8">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2"/>
      <c r="M935" s="278"/>
      <c r="N935" s="278"/>
      <c r="O935" s="278"/>
      <c r="P935" s="278"/>
      <c r="Q935" s="278"/>
      <c r="R935" s="278"/>
      <c r="S935" s="278"/>
      <c r="T935" s="278"/>
      <c r="U935" s="279"/>
      <c r="V935" s="103"/>
      <c r="W935" s="84">
        <f t="shared" si="390"/>
        <v>25</v>
      </c>
      <c r="X935" s="84"/>
      <c r="Y935" s="78">
        <f>SUM(E919:E935)</f>
        <v>24</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8">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2"/>
      <c r="M936" s="278"/>
      <c r="N936" s="278"/>
      <c r="O936" s="278"/>
      <c r="P936" s="278"/>
      <c r="Q936" s="278"/>
      <c r="R936" s="278"/>
      <c r="S936" s="278"/>
      <c r="T936" s="278"/>
      <c r="U936" s="279"/>
      <c r="V936" s="103"/>
      <c r="W936" s="84">
        <f t="shared" si="390"/>
        <v>25</v>
      </c>
      <c r="X936" s="84"/>
      <c r="Y936" s="78">
        <f>SUM(E919:E936)</f>
        <v>24</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8">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2"/>
      <c r="M937" s="278"/>
      <c r="N937" s="278"/>
      <c r="O937" s="278"/>
      <c r="P937" s="278"/>
      <c r="Q937" s="278"/>
      <c r="R937" s="278"/>
      <c r="S937" s="278"/>
      <c r="T937" s="278"/>
      <c r="U937" s="279"/>
      <c r="V937" s="103"/>
      <c r="W937" s="84">
        <f t="shared" si="390"/>
        <v>25</v>
      </c>
      <c r="X937" s="84"/>
      <c r="Y937" s="78">
        <f>SUM(E919:E937)</f>
        <v>24</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8">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2"/>
      <c r="M938" s="278"/>
      <c r="N938" s="278"/>
      <c r="O938" s="278"/>
      <c r="P938" s="278"/>
      <c r="Q938" s="278"/>
      <c r="R938" s="278"/>
      <c r="S938" s="278"/>
      <c r="T938" s="278"/>
      <c r="U938" s="279"/>
      <c r="V938" s="103"/>
      <c r="W938" s="84">
        <f t="shared" si="390"/>
        <v>25</v>
      </c>
      <c r="X938" s="84"/>
      <c r="Y938" s="78">
        <f>SUM(E919:E938)</f>
        <v>24</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8">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2"/>
      <c r="M939" s="278"/>
      <c r="N939" s="278"/>
      <c r="O939" s="278"/>
      <c r="P939" s="278"/>
      <c r="Q939" s="278"/>
      <c r="R939" s="278"/>
      <c r="S939" s="278"/>
      <c r="T939" s="278"/>
      <c r="U939" s="279"/>
      <c r="V939" s="103"/>
      <c r="W939" s="84">
        <f t="shared" si="390"/>
        <v>25</v>
      </c>
      <c r="X939" s="84"/>
      <c r="Y939" s="78">
        <f>SUM(E919:E939)</f>
        <v>24</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8">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2"/>
      <c r="M940" s="278"/>
      <c r="N940" s="278"/>
      <c r="O940" s="278"/>
      <c r="P940" s="278"/>
      <c r="Q940" s="278"/>
      <c r="R940" s="278"/>
      <c r="S940" s="278"/>
      <c r="T940" s="278"/>
      <c r="U940" s="279"/>
      <c r="V940" s="103"/>
      <c r="W940" s="84">
        <f t="shared" si="390"/>
        <v>25</v>
      </c>
      <c r="X940" s="84"/>
      <c r="Y940" s="78">
        <f>SUM(E919:E940)</f>
        <v>24</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8">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2"/>
      <c r="M941" s="278"/>
      <c r="N941" s="278"/>
      <c r="O941" s="278"/>
      <c r="P941" s="278"/>
      <c r="Q941" s="278"/>
      <c r="R941" s="278"/>
      <c r="S941" s="278"/>
      <c r="T941" s="278"/>
      <c r="U941" s="279"/>
      <c r="V941" s="103"/>
      <c r="W941" s="84">
        <f t="shared" si="390"/>
        <v>25</v>
      </c>
      <c r="X941" s="84"/>
      <c r="Y941" s="78">
        <f>SUM(E919:E941)</f>
        <v>24</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8">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2"/>
      <c r="M942" s="278"/>
      <c r="N942" s="278"/>
      <c r="O942" s="278"/>
      <c r="P942" s="278"/>
      <c r="Q942" s="278"/>
      <c r="R942" s="278"/>
      <c r="S942" s="278"/>
      <c r="T942" s="278"/>
      <c r="U942" s="279"/>
      <c r="V942" s="103"/>
      <c r="W942" s="84">
        <f t="shared" si="390"/>
        <v>25</v>
      </c>
      <c r="X942" s="84"/>
      <c r="Y942" s="78">
        <f>SUM(E919:E942)</f>
        <v>24</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8">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3"/>
      <c r="M943" s="278"/>
      <c r="N943" s="278"/>
      <c r="O943" s="278"/>
      <c r="P943" s="278"/>
      <c r="Q943" s="278"/>
      <c r="R943" s="278"/>
      <c r="S943" s="278"/>
      <c r="T943" s="278"/>
      <c r="U943" s="279"/>
      <c r="V943" s="103"/>
      <c r="W943" s="72"/>
      <c r="X943" s="72"/>
      <c r="Y943" s="78">
        <f>SUM(E919:E943)</f>
        <v>24</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7"/>
    </row>
    <row r="944" spans="1:53" ht="16.5" thickBot="1" x14ac:dyDescent="0.3">
      <c r="A944" s="88"/>
      <c r="B944" s="189" t="s">
        <v>349</v>
      </c>
      <c r="C944" s="190"/>
      <c r="D944" s="79"/>
      <c r="E944" s="80"/>
      <c r="F944" s="80"/>
      <c r="G944" s="81"/>
      <c r="H944" s="191"/>
      <c r="I944" s="191"/>
      <c r="J944" s="191"/>
      <c r="K944" s="82"/>
      <c r="L944" s="189" t="s">
        <v>306</v>
      </c>
      <c r="M944" s="192"/>
      <c r="N944" s="192"/>
      <c r="O944" s="192"/>
      <c r="P944" s="192"/>
      <c r="Q944" s="192"/>
      <c r="R944" s="192"/>
      <c r="S944" s="192"/>
      <c r="T944" s="192"/>
      <c r="U944" s="190"/>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7"/>
    </row>
    <row r="945" spans="1:53" ht="16.5" thickBot="1" x14ac:dyDescent="0.3">
      <c r="A945" s="88"/>
      <c r="B945" s="189" t="s">
        <v>307</v>
      </c>
      <c r="C945" s="190"/>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5"/>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5" t="s">
        <v>210</v>
      </c>
      <c r="N948" s="195" t="s">
        <v>211</v>
      </c>
      <c r="O948" s="195" t="s">
        <v>212</v>
      </c>
      <c r="P948" s="195" t="s">
        <v>213</v>
      </c>
      <c r="Q948" s="195" t="s">
        <v>214</v>
      </c>
      <c r="R948" s="195" t="s">
        <v>215</v>
      </c>
      <c r="S948" s="195" t="s">
        <v>216</v>
      </c>
      <c r="T948" s="195" t="s">
        <v>217</v>
      </c>
      <c r="U948" s="195" t="s">
        <v>218</v>
      </c>
      <c r="V948" s="195" t="s">
        <v>219</v>
      </c>
      <c r="W948" s="113" t="s">
        <v>220</v>
      </c>
      <c r="X948" s="195" t="s">
        <v>221</v>
      </c>
      <c r="Y948" s="25"/>
      <c r="Z948" s="25"/>
      <c r="AA948" s="25"/>
      <c r="AB948" s="25"/>
      <c r="AC948" s="25"/>
      <c r="AD948" s="25"/>
      <c r="BA948" s="225"/>
    </row>
    <row r="949" spans="1:53" ht="16.5" thickTop="1" thickBot="1" x14ac:dyDescent="0.3">
      <c r="A949" s="88"/>
      <c r="B949" s="312" t="s">
        <v>222</v>
      </c>
      <c r="C949" s="313"/>
      <c r="D949" s="314" t="s">
        <v>223</v>
      </c>
      <c r="E949" s="305"/>
      <c r="F949" s="88"/>
      <c r="G949" s="315" t="s">
        <v>224</v>
      </c>
      <c r="H949" s="316"/>
      <c r="I949" s="28">
        <f>SUM(E960:E984)</f>
        <v>0</v>
      </c>
      <c r="J949" s="317" t="s">
        <v>225</v>
      </c>
      <c r="K949" s="318"/>
      <c r="L949" s="305"/>
      <c r="M949" s="195">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5" t="s">
        <v>226</v>
      </c>
      <c r="AA949" s="296"/>
      <c r="AB949" s="297"/>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5"/>
    </row>
    <row r="950" spans="1:53" ht="16.5" customHeight="1" thickTop="1" thickBot="1" x14ac:dyDescent="0.3">
      <c r="A950" s="88"/>
      <c r="B950" s="29" t="s">
        <v>228</v>
      </c>
      <c r="C950" s="30">
        <v>0</v>
      </c>
      <c r="D950" s="31" t="s">
        <v>229</v>
      </c>
      <c r="E950" s="66" t="str">
        <f>TEXT(IF('Cable Calculator'!DO7="","",'Cable Calculator'!DO7),)</f>
        <v/>
      </c>
      <c r="F950" s="88"/>
      <c r="G950" s="304" t="s">
        <v>230</v>
      </c>
      <c r="H950" s="305"/>
      <c r="I950" s="33">
        <f>E951-I949</f>
        <v>0</v>
      </c>
      <c r="J950" s="289" t="s">
        <v>231</v>
      </c>
      <c r="K950" s="290"/>
      <c r="L950" s="34">
        <f>I954</f>
        <v>0</v>
      </c>
      <c r="M950" s="195">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298" t="s">
        <v>232</v>
      </c>
      <c r="AA950" s="300" t="s">
        <v>233</v>
      </c>
      <c r="AB950" s="301"/>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6"/>
    </row>
    <row r="951" spans="1:53" ht="16.5" thickTop="1" thickBot="1" x14ac:dyDescent="0.3">
      <c r="A951" s="88"/>
      <c r="B951" s="36" t="s">
        <v>235</v>
      </c>
      <c r="C951" s="37">
        <v>0</v>
      </c>
      <c r="D951" s="38" t="s">
        <v>236</v>
      </c>
      <c r="E951" s="32"/>
      <c r="F951" s="88"/>
      <c r="G951" s="291" t="s">
        <v>237</v>
      </c>
      <c r="H951" s="292"/>
      <c r="I951" s="35">
        <f>IF(E951=0,0,12-(MOD(I949,12)))</f>
        <v>0</v>
      </c>
      <c r="J951" s="289" t="s">
        <v>238</v>
      </c>
      <c r="K951" s="290"/>
      <c r="L951" s="39">
        <f>I955-I949</f>
        <v>0</v>
      </c>
      <c r="M951" s="195">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9"/>
      <c r="AA951" s="302"/>
      <c r="AB951" s="303"/>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6"/>
    </row>
    <row r="952" spans="1:53" ht="16.5" customHeight="1" thickTop="1" thickBot="1" x14ac:dyDescent="0.3">
      <c r="A952" s="88"/>
      <c r="B952" s="40" t="s">
        <v>240</v>
      </c>
      <c r="C952" s="30">
        <v>0</v>
      </c>
      <c r="D952" s="41" t="s">
        <v>241</v>
      </c>
      <c r="E952" s="42"/>
      <c r="F952" s="88"/>
      <c r="G952" s="321" t="s">
        <v>242</v>
      </c>
      <c r="H952" s="43" t="s">
        <v>243</v>
      </c>
      <c r="I952" s="35">
        <f>IF(E952&lt;&gt;0,1,0)</f>
        <v>0</v>
      </c>
      <c r="J952" s="291" t="s">
        <v>244</v>
      </c>
      <c r="K952" s="292"/>
      <c r="L952" s="44" t="str">
        <f>'Cable Calculator'!DO3</f>
        <v/>
      </c>
      <c r="M952" s="195">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6"/>
    </row>
    <row r="953" spans="1:53" ht="16.5" thickTop="1" thickBot="1" x14ac:dyDescent="0.3">
      <c r="A953" s="88"/>
      <c r="B953" s="29" t="s">
        <v>246</v>
      </c>
      <c r="C953" s="37">
        <v>0</v>
      </c>
      <c r="D953" s="41" t="s">
        <v>247</v>
      </c>
      <c r="E953" s="42"/>
      <c r="F953" s="88"/>
      <c r="G953" s="322"/>
      <c r="H953" s="47" t="s">
        <v>248</v>
      </c>
      <c r="I953" s="35">
        <f>IF(E952&lt;&gt;0,E952,0)</f>
        <v>0</v>
      </c>
      <c r="J953" s="193"/>
      <c r="K953" s="194"/>
      <c r="L953" s="48"/>
      <c r="M953" s="195">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6"/>
    </row>
    <row r="954" spans="1:53" ht="16.5" customHeight="1" thickTop="1" thickBot="1" x14ac:dyDescent="0.3">
      <c r="A954" s="88"/>
      <c r="B954" s="36" t="s">
        <v>249</v>
      </c>
      <c r="C954" s="30">
        <v>0</v>
      </c>
      <c r="D954" s="49" t="s">
        <v>250</v>
      </c>
      <c r="E954" s="50">
        <f>E951/12</f>
        <v>0</v>
      </c>
      <c r="F954" s="88"/>
      <c r="G954" s="321" t="s">
        <v>251</v>
      </c>
      <c r="H954" s="51" t="s">
        <v>252</v>
      </c>
      <c r="I954" s="112">
        <f>E953</f>
        <v>0</v>
      </c>
      <c r="J954" s="323" t="s">
        <v>253</v>
      </c>
      <c r="K954" s="324"/>
      <c r="L954" s="325"/>
      <c r="M954" s="52" t="s">
        <v>254</v>
      </c>
      <c r="N954" s="106"/>
      <c r="O954" s="106"/>
      <c r="P954" s="191"/>
      <c r="Q954" s="191"/>
      <c r="R954" s="191"/>
      <c r="S954" s="191"/>
      <c r="T954" s="191"/>
      <c r="U954" s="191"/>
      <c r="V954" s="191"/>
      <c r="W954" s="53">
        <f>SUM(P954:U954)</f>
        <v>0</v>
      </c>
      <c r="X954" s="54"/>
      <c r="Y954" s="25"/>
      <c r="Z954" s="45">
        <v>3</v>
      </c>
      <c r="AA954" s="46">
        <v>25</v>
      </c>
      <c r="AB954" s="46">
        <v>36</v>
      </c>
      <c r="AC954" s="25"/>
      <c r="AD954" s="25"/>
      <c r="BA954" s="226"/>
    </row>
    <row r="955" spans="1:53" ht="16.5" thickTop="1" thickBot="1" x14ac:dyDescent="0.3">
      <c r="A955" s="88"/>
      <c r="B955" s="36" t="s">
        <v>255</v>
      </c>
      <c r="C955" s="30">
        <v>0</v>
      </c>
      <c r="D955" s="31" t="s">
        <v>256</v>
      </c>
      <c r="E955" s="101" t="str">
        <f>IF('Cable Calculator'!DO5="","",'Cable Calculator'!DO5)</f>
        <v/>
      </c>
      <c r="F955" s="88"/>
      <c r="G955" s="322"/>
      <c r="H955" s="47" t="s">
        <v>257</v>
      </c>
      <c r="I955" s="35" t="str">
        <f>IF(E953="","0",IF(AND(E950="EUC",E951=432), I954+(203-E952),IF(E953=0,0,(E953+(E951-E952)-1))))</f>
        <v>0</v>
      </c>
      <c r="J955" s="286" t="str">
        <f>IFERROR(IF(OR(E950="EUC",E950="SS"),"---",IF(OR(P949,S949),"NO 2F Tethers for RPX!",IF(OR(P951,S951),"NO 6F Tethers for RPX!","---"))),"---")</f>
        <v>---</v>
      </c>
      <c r="K955" s="287"/>
      <c r="L955" s="288"/>
      <c r="M955" s="286" t="str">
        <f>IF(E952&gt;60,"Dead Count &gt;60: Consider Downsize","---")</f>
        <v>---</v>
      </c>
      <c r="N955" s="287"/>
      <c r="O955" s="287"/>
      <c r="P955" s="287"/>
      <c r="Q955" s="287"/>
      <c r="R955" s="287"/>
      <c r="S955" s="287"/>
      <c r="T955" s="287"/>
      <c r="U955" s="288"/>
      <c r="V955" s="100"/>
      <c r="W955" s="54">
        <f>SUM(P955:U955)</f>
        <v>0</v>
      </c>
      <c r="X955" s="54"/>
      <c r="Y955" s="25"/>
      <c r="Z955" s="45">
        <v>4</v>
      </c>
      <c r="AA955" s="46">
        <v>37</v>
      </c>
      <c r="AB955" s="46">
        <v>48</v>
      </c>
      <c r="AC955" s="25"/>
      <c r="AD955" s="25"/>
      <c r="BA955" s="226"/>
    </row>
    <row r="956" spans="1:53" ht="16.5" thickTop="1" thickBot="1" x14ac:dyDescent="0.3">
      <c r="A956" s="88"/>
      <c r="B956" s="55" t="s">
        <v>258</v>
      </c>
      <c r="C956" s="56">
        <f>SUM(C950:C955)+I949</f>
        <v>0</v>
      </c>
      <c r="D956" s="31" t="s">
        <v>259</v>
      </c>
      <c r="E956" s="101" t="str">
        <f>IF(AS950="Y","DBL",IF(AS951="Y","TRPL",IF(AS952="Y","QUAD","")))</f>
        <v/>
      </c>
      <c r="F956" s="88"/>
      <c r="G956" s="191"/>
      <c r="H956" s="57"/>
      <c r="I956" s="191"/>
      <c r="J956" s="286"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7"/>
      <c r="L956" s="288"/>
      <c r="M956" s="286" t="str">
        <f>IF(AND(OR(E950="SS",E950="RPX",E950="EUC",E950="RPX-T"),(OR(C960="",C960="Field SPL"))),"Cannot have FlexNap cables without tethers","---")</f>
        <v>---</v>
      </c>
      <c r="N956" s="287"/>
      <c r="O956" s="287"/>
      <c r="P956" s="287"/>
      <c r="Q956" s="287"/>
      <c r="R956" s="287"/>
      <c r="S956" s="287"/>
      <c r="T956" s="287"/>
      <c r="U956" s="288"/>
      <c r="V956" s="25"/>
      <c r="W956" s="58"/>
      <c r="X956" s="58"/>
      <c r="Y956" s="25"/>
      <c r="Z956" s="45">
        <v>5</v>
      </c>
      <c r="AA956" s="46">
        <v>49</v>
      </c>
      <c r="AB956" s="46">
        <v>60</v>
      </c>
      <c r="AC956" s="25"/>
      <c r="AD956" s="25"/>
      <c r="BA956" s="226"/>
    </row>
    <row r="957" spans="1:53" ht="16.5" thickTop="1" thickBot="1" x14ac:dyDescent="0.3">
      <c r="A957" s="88"/>
      <c r="B957" s="59"/>
      <c r="C957" s="60"/>
      <c r="D957" s="61"/>
      <c r="E957" s="62"/>
      <c r="F957" s="88"/>
      <c r="G957" s="63"/>
      <c r="H957" s="64"/>
      <c r="I957" s="63"/>
      <c r="J957" s="286" t="str">
        <f>IF(AND(OR(E950="RPX", E950="RPX-T", E950="SS"),E951=216),"NO 216 For RPX, RPX-T, OR SS CABLE","---")</f>
        <v>---</v>
      </c>
      <c r="K957" s="287"/>
      <c r="L957" s="288"/>
      <c r="M957" s="286" t="str" cm="1">
        <f t="array" ref="M957">IF(AND(E950="",OR(C960:C984="FST",C960:C984="REV T",C960:C984="DBL REV",C960:C984="TPL REV", C960:C984="QD REV")),"Non-FlexNap cables cannot have tethers","---")</f>
        <v>---</v>
      </c>
      <c r="N957" s="287"/>
      <c r="O957" s="287"/>
      <c r="P957" s="287"/>
      <c r="Q957" s="287"/>
      <c r="R957" s="287"/>
      <c r="S957" s="287"/>
      <c r="T957" s="287"/>
      <c r="U957" s="288"/>
      <c r="V957" s="25"/>
      <c r="W957" s="58"/>
      <c r="X957" s="58"/>
      <c r="Y957" s="25"/>
      <c r="Z957" s="45">
        <v>6</v>
      </c>
      <c r="AA957" s="65">
        <v>61</v>
      </c>
      <c r="AB957" s="65">
        <v>72</v>
      </c>
      <c r="AC957" s="25"/>
      <c r="AD957" s="25"/>
      <c r="BA957" s="225"/>
    </row>
    <row r="958" spans="1:53" ht="15.75" customHeight="1" thickBot="1" x14ac:dyDescent="0.3">
      <c r="A958" s="88"/>
      <c r="B958" s="321" t="s">
        <v>260</v>
      </c>
      <c r="C958" s="293" t="s">
        <v>261</v>
      </c>
      <c r="D958" s="293" t="s">
        <v>262</v>
      </c>
      <c r="E958" s="306" t="s">
        <v>263</v>
      </c>
      <c r="F958" s="293" t="s">
        <v>264</v>
      </c>
      <c r="G958" s="308" t="s">
        <v>265</v>
      </c>
      <c r="H958" s="308" t="s">
        <v>266</v>
      </c>
      <c r="I958" s="308" t="s">
        <v>267</v>
      </c>
      <c r="J958" s="310" t="s">
        <v>268</v>
      </c>
      <c r="K958" s="293" t="s">
        <v>269</v>
      </c>
      <c r="L958" s="280" t="s">
        <v>270</v>
      </c>
      <c r="M958" s="282" t="s">
        <v>271</v>
      </c>
      <c r="N958" s="282"/>
      <c r="O958" s="282"/>
      <c r="P958" s="282"/>
      <c r="Q958" s="282"/>
      <c r="R958" s="282"/>
      <c r="S958" s="282"/>
      <c r="T958" s="282"/>
      <c r="U958" s="283"/>
      <c r="V958" s="107"/>
      <c r="W958" s="72"/>
      <c r="X958" s="72"/>
      <c r="Y958" s="72"/>
      <c r="Z958" s="45">
        <v>7</v>
      </c>
      <c r="AA958" s="65">
        <v>73</v>
      </c>
      <c r="AB958" s="65">
        <v>84</v>
      </c>
      <c r="AC958" s="25"/>
      <c r="AD958" s="25"/>
      <c r="BA958" s="227"/>
    </row>
    <row r="959" spans="1:53" ht="15.75" thickBot="1" x14ac:dyDescent="0.3">
      <c r="A959" s="88"/>
      <c r="B959" s="322"/>
      <c r="C959" s="294"/>
      <c r="D959" s="294"/>
      <c r="E959" s="307"/>
      <c r="F959" s="294"/>
      <c r="G959" s="309"/>
      <c r="H959" s="309"/>
      <c r="I959" s="309"/>
      <c r="J959" s="311"/>
      <c r="K959" s="294"/>
      <c r="L959" s="281"/>
      <c r="M959" s="284"/>
      <c r="N959" s="284"/>
      <c r="O959" s="284"/>
      <c r="P959" s="284"/>
      <c r="Q959" s="284"/>
      <c r="R959" s="284"/>
      <c r="S959" s="284"/>
      <c r="T959" s="284"/>
      <c r="U959" s="285"/>
      <c r="V959" s="107"/>
      <c r="W959" s="72"/>
      <c r="X959" s="72"/>
      <c r="Y959" s="72"/>
      <c r="Z959" s="45">
        <v>8</v>
      </c>
      <c r="AA959" s="46">
        <v>85</v>
      </c>
      <c r="AB959" s="46">
        <v>96</v>
      </c>
      <c r="AC959" s="25"/>
      <c r="AD959" s="25"/>
      <c r="AI959" s="109" t="s">
        <v>272</v>
      </c>
      <c r="AJ959" s="109" t="s">
        <v>273</v>
      </c>
      <c r="AK959" s="109" t="s">
        <v>274</v>
      </c>
      <c r="AL959" s="109" t="s">
        <v>275</v>
      </c>
      <c r="BA959" s="227"/>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2"/>
      <c r="M960" s="278"/>
      <c r="N960" s="278"/>
      <c r="O960" s="278"/>
      <c r="P960" s="278"/>
      <c r="Q960" s="278"/>
      <c r="R960" s="278"/>
      <c r="S960" s="278"/>
      <c r="T960" s="278"/>
      <c r="U960" s="279"/>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8">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2"/>
      <c r="M961" s="278"/>
      <c r="N961" s="278"/>
      <c r="O961" s="278"/>
      <c r="P961" s="278"/>
      <c r="Q961" s="278"/>
      <c r="R961" s="278"/>
      <c r="S961" s="278"/>
      <c r="T961" s="278"/>
      <c r="U961" s="279"/>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8">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2"/>
      <c r="M962" s="278"/>
      <c r="N962" s="278"/>
      <c r="O962" s="278"/>
      <c r="P962" s="278"/>
      <c r="Q962" s="278"/>
      <c r="R962" s="278"/>
      <c r="S962" s="278"/>
      <c r="T962" s="278"/>
      <c r="U962" s="279"/>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8">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2"/>
      <c r="M963" s="278"/>
      <c r="N963" s="278"/>
      <c r="O963" s="278"/>
      <c r="P963" s="278"/>
      <c r="Q963" s="278"/>
      <c r="R963" s="278"/>
      <c r="S963" s="278"/>
      <c r="T963" s="278"/>
      <c r="U963" s="279"/>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8">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2"/>
      <c r="M964" s="278"/>
      <c r="N964" s="278"/>
      <c r="O964" s="278"/>
      <c r="P964" s="278"/>
      <c r="Q964" s="278"/>
      <c r="R964" s="278"/>
      <c r="S964" s="278"/>
      <c r="T964" s="278"/>
      <c r="U964" s="279"/>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8">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2"/>
      <c r="M965" s="278"/>
      <c r="N965" s="278"/>
      <c r="O965" s="278"/>
      <c r="P965" s="278"/>
      <c r="Q965" s="278"/>
      <c r="R965" s="278"/>
      <c r="S965" s="278"/>
      <c r="T965" s="278"/>
      <c r="U965" s="279"/>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8">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2"/>
      <c r="M966" s="278"/>
      <c r="N966" s="278"/>
      <c r="O966" s="278"/>
      <c r="P966" s="278"/>
      <c r="Q966" s="278"/>
      <c r="R966" s="278"/>
      <c r="S966" s="278"/>
      <c r="T966" s="278"/>
      <c r="U966" s="279"/>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8">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2"/>
      <c r="M967" s="278"/>
      <c r="N967" s="278"/>
      <c r="O967" s="278"/>
      <c r="P967" s="278"/>
      <c r="Q967" s="278"/>
      <c r="R967" s="278"/>
      <c r="S967" s="278"/>
      <c r="T967" s="278"/>
      <c r="U967" s="279"/>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8">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2"/>
      <c r="M968" s="278"/>
      <c r="N968" s="278"/>
      <c r="O968" s="278"/>
      <c r="P968" s="278"/>
      <c r="Q968" s="278"/>
      <c r="R968" s="278"/>
      <c r="S968" s="278"/>
      <c r="T968" s="278"/>
      <c r="U968" s="279"/>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8">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2"/>
      <c r="M969" s="278"/>
      <c r="N969" s="278"/>
      <c r="O969" s="278"/>
      <c r="P969" s="278"/>
      <c r="Q969" s="278"/>
      <c r="R969" s="278"/>
      <c r="S969" s="278"/>
      <c r="T969" s="278"/>
      <c r="U969" s="279"/>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8">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2"/>
      <c r="M970" s="278"/>
      <c r="N970" s="278"/>
      <c r="O970" s="278"/>
      <c r="P970" s="278"/>
      <c r="Q970" s="278"/>
      <c r="R970" s="278"/>
      <c r="S970" s="278"/>
      <c r="T970" s="278"/>
      <c r="U970" s="279"/>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8">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2"/>
      <c r="M971" s="278"/>
      <c r="N971" s="278"/>
      <c r="O971" s="278"/>
      <c r="P971" s="278"/>
      <c r="Q971" s="278"/>
      <c r="R971" s="278"/>
      <c r="S971" s="278"/>
      <c r="T971" s="278"/>
      <c r="U971" s="279"/>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8">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2"/>
      <c r="M972" s="278"/>
      <c r="N972" s="278"/>
      <c r="O972" s="278"/>
      <c r="P972" s="278"/>
      <c r="Q972" s="278"/>
      <c r="R972" s="278"/>
      <c r="S972" s="278"/>
      <c r="T972" s="278"/>
      <c r="U972" s="279"/>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8">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2"/>
      <c r="M973" s="278"/>
      <c r="N973" s="278"/>
      <c r="O973" s="278"/>
      <c r="P973" s="278"/>
      <c r="Q973" s="278"/>
      <c r="R973" s="278"/>
      <c r="S973" s="278"/>
      <c r="T973" s="278"/>
      <c r="U973" s="279"/>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8">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2"/>
      <c r="M974" s="278"/>
      <c r="N974" s="278"/>
      <c r="O974" s="278"/>
      <c r="P974" s="278"/>
      <c r="Q974" s="278"/>
      <c r="R974" s="278"/>
      <c r="S974" s="278"/>
      <c r="T974" s="278"/>
      <c r="U974" s="279"/>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8">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2"/>
      <c r="M975" s="278"/>
      <c r="N975" s="278"/>
      <c r="O975" s="278"/>
      <c r="P975" s="278"/>
      <c r="Q975" s="278"/>
      <c r="R975" s="278"/>
      <c r="S975" s="278"/>
      <c r="T975" s="278"/>
      <c r="U975" s="279"/>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8">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2"/>
      <c r="M976" s="278"/>
      <c r="N976" s="278"/>
      <c r="O976" s="278"/>
      <c r="P976" s="278"/>
      <c r="Q976" s="278"/>
      <c r="R976" s="278"/>
      <c r="S976" s="278"/>
      <c r="T976" s="278"/>
      <c r="U976" s="279"/>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8">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2"/>
      <c r="M977" s="278"/>
      <c r="N977" s="278"/>
      <c r="O977" s="278"/>
      <c r="P977" s="278"/>
      <c r="Q977" s="278"/>
      <c r="R977" s="278"/>
      <c r="S977" s="278"/>
      <c r="T977" s="278"/>
      <c r="U977" s="279"/>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8">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2"/>
      <c r="M978" s="278"/>
      <c r="N978" s="278"/>
      <c r="O978" s="278"/>
      <c r="P978" s="278"/>
      <c r="Q978" s="278"/>
      <c r="R978" s="278"/>
      <c r="S978" s="278"/>
      <c r="T978" s="278"/>
      <c r="U978" s="279"/>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8">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2"/>
      <c r="M979" s="278"/>
      <c r="N979" s="278"/>
      <c r="O979" s="278"/>
      <c r="P979" s="278"/>
      <c r="Q979" s="278"/>
      <c r="R979" s="278"/>
      <c r="S979" s="278"/>
      <c r="T979" s="278"/>
      <c r="U979" s="279"/>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8">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2"/>
      <c r="M980" s="278"/>
      <c r="N980" s="278"/>
      <c r="O980" s="278"/>
      <c r="P980" s="278"/>
      <c r="Q980" s="278"/>
      <c r="R980" s="278"/>
      <c r="S980" s="278"/>
      <c r="T980" s="278"/>
      <c r="U980" s="279"/>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8">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2"/>
      <c r="M981" s="278"/>
      <c r="N981" s="278"/>
      <c r="O981" s="278"/>
      <c r="P981" s="278"/>
      <c r="Q981" s="278"/>
      <c r="R981" s="278"/>
      <c r="S981" s="278"/>
      <c r="T981" s="278"/>
      <c r="U981" s="279"/>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8">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2"/>
      <c r="M982" s="278"/>
      <c r="N982" s="278"/>
      <c r="O982" s="278"/>
      <c r="P982" s="278"/>
      <c r="Q982" s="278"/>
      <c r="R982" s="278"/>
      <c r="S982" s="278"/>
      <c r="T982" s="278"/>
      <c r="U982" s="279"/>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8">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2"/>
      <c r="M983" s="278"/>
      <c r="N983" s="278"/>
      <c r="O983" s="278"/>
      <c r="P983" s="278"/>
      <c r="Q983" s="278"/>
      <c r="R983" s="278"/>
      <c r="S983" s="278"/>
      <c r="T983" s="278"/>
      <c r="U983" s="279"/>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8">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3"/>
      <c r="M984" s="278"/>
      <c r="N984" s="278"/>
      <c r="O984" s="278"/>
      <c r="P984" s="278"/>
      <c r="Q984" s="278"/>
      <c r="R984" s="278"/>
      <c r="S984" s="278"/>
      <c r="T984" s="278"/>
      <c r="U984" s="279"/>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7"/>
    </row>
    <row r="985" spans="1:53" ht="16.5" thickBot="1" x14ac:dyDescent="0.3">
      <c r="A985" s="88"/>
      <c r="B985" s="319" t="s">
        <v>351</v>
      </c>
      <c r="C985" s="320"/>
      <c r="D985" s="79"/>
      <c r="E985" s="80"/>
      <c r="F985" s="80"/>
      <c r="G985" s="81"/>
      <c r="H985" s="191"/>
      <c r="I985" s="191"/>
      <c r="J985" s="191"/>
      <c r="K985" s="82"/>
      <c r="L985" s="319" t="s">
        <v>306</v>
      </c>
      <c r="M985" s="330"/>
      <c r="N985" s="330"/>
      <c r="O985" s="330"/>
      <c r="P985" s="330"/>
      <c r="Q985" s="330"/>
      <c r="R985" s="330"/>
      <c r="S985" s="330"/>
      <c r="T985" s="330"/>
      <c r="U985" s="320"/>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7"/>
    </row>
    <row r="986" spans="1:53" ht="16.5" thickBot="1" x14ac:dyDescent="0.3">
      <c r="A986" s="88"/>
      <c r="B986" s="319" t="s">
        <v>307</v>
      </c>
      <c r="C986" s="320"/>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5"/>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5" t="s">
        <v>210</v>
      </c>
      <c r="N989" s="195" t="s">
        <v>211</v>
      </c>
      <c r="O989" s="195" t="s">
        <v>212</v>
      </c>
      <c r="P989" s="195" t="s">
        <v>213</v>
      </c>
      <c r="Q989" s="195" t="s">
        <v>214</v>
      </c>
      <c r="R989" s="195" t="s">
        <v>215</v>
      </c>
      <c r="S989" s="195" t="s">
        <v>216</v>
      </c>
      <c r="T989" s="195" t="s">
        <v>217</v>
      </c>
      <c r="U989" s="195" t="s">
        <v>218</v>
      </c>
      <c r="V989" s="195" t="s">
        <v>219</v>
      </c>
      <c r="W989" s="113" t="s">
        <v>220</v>
      </c>
      <c r="X989" s="195" t="s">
        <v>221</v>
      </c>
      <c r="Y989" s="25"/>
      <c r="Z989" s="25"/>
      <c r="AA989" s="25"/>
      <c r="AB989" s="25"/>
      <c r="AC989" s="25"/>
      <c r="AD989" s="25"/>
      <c r="BA989" s="225"/>
    </row>
    <row r="990" spans="1:53" ht="16.5" thickTop="1" thickBot="1" x14ac:dyDescent="0.3">
      <c r="A990" s="88"/>
      <c r="B990" s="312" t="s">
        <v>222</v>
      </c>
      <c r="C990" s="313"/>
      <c r="D990" s="314" t="s">
        <v>223</v>
      </c>
      <c r="E990" s="305"/>
      <c r="F990" s="88"/>
      <c r="G990" s="315" t="s">
        <v>224</v>
      </c>
      <c r="H990" s="316"/>
      <c r="I990" s="28">
        <f>SUM(E1001:E1025)</f>
        <v>0</v>
      </c>
      <c r="J990" s="317" t="s">
        <v>225</v>
      </c>
      <c r="K990" s="318"/>
      <c r="L990" s="305"/>
      <c r="M990" s="195">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5" t="s">
        <v>226</v>
      </c>
      <c r="AA990" s="296"/>
      <c r="AB990" s="297"/>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5"/>
    </row>
    <row r="991" spans="1:53" ht="16.5" customHeight="1" thickTop="1" thickBot="1" x14ac:dyDescent="0.3">
      <c r="A991" s="88"/>
      <c r="B991" s="29" t="s">
        <v>228</v>
      </c>
      <c r="C991" s="30">
        <v>0</v>
      </c>
      <c r="D991" s="31" t="s">
        <v>229</v>
      </c>
      <c r="E991" s="66" t="str">
        <f>TEXT(IF('Cable Calculator'!DT7="","",'Cable Calculator'!DT7),)</f>
        <v/>
      </c>
      <c r="F991" s="88"/>
      <c r="G991" s="304" t="s">
        <v>230</v>
      </c>
      <c r="H991" s="305"/>
      <c r="I991" s="33">
        <f>E992-I990</f>
        <v>0</v>
      </c>
      <c r="J991" s="289" t="s">
        <v>231</v>
      </c>
      <c r="K991" s="290"/>
      <c r="L991" s="34">
        <f>I995</f>
        <v>0</v>
      </c>
      <c r="M991" s="195">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298" t="s">
        <v>232</v>
      </c>
      <c r="AA991" s="300" t="s">
        <v>233</v>
      </c>
      <c r="AB991" s="301"/>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6"/>
    </row>
    <row r="992" spans="1:53" ht="16.5" thickTop="1" thickBot="1" x14ac:dyDescent="0.3">
      <c r="A992" s="88"/>
      <c r="B992" s="36" t="s">
        <v>235</v>
      </c>
      <c r="C992" s="37">
        <v>0</v>
      </c>
      <c r="D992" s="38" t="s">
        <v>236</v>
      </c>
      <c r="E992" s="32"/>
      <c r="F992" s="88"/>
      <c r="G992" s="291" t="s">
        <v>237</v>
      </c>
      <c r="H992" s="292"/>
      <c r="I992" s="35">
        <f>IF(E992=0,0,12-(MOD(I990,12)))</f>
        <v>0</v>
      </c>
      <c r="J992" s="289" t="s">
        <v>238</v>
      </c>
      <c r="K992" s="290"/>
      <c r="L992" s="39">
        <f>I996-I990</f>
        <v>0</v>
      </c>
      <c r="M992" s="195">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9"/>
      <c r="AA992" s="302"/>
      <c r="AB992" s="303"/>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6"/>
    </row>
    <row r="993" spans="1:53" ht="16.5" customHeight="1" thickTop="1" thickBot="1" x14ac:dyDescent="0.3">
      <c r="A993" s="88"/>
      <c r="B993" s="40" t="s">
        <v>240</v>
      </c>
      <c r="C993" s="30">
        <v>0</v>
      </c>
      <c r="D993" s="41" t="s">
        <v>241</v>
      </c>
      <c r="E993" s="42"/>
      <c r="F993" s="88"/>
      <c r="G993" s="321" t="s">
        <v>242</v>
      </c>
      <c r="H993" s="43" t="s">
        <v>243</v>
      </c>
      <c r="I993" s="35">
        <f>IF(E993&lt;&gt;0,1,0)</f>
        <v>0</v>
      </c>
      <c r="J993" s="291" t="s">
        <v>244</v>
      </c>
      <c r="K993" s="292"/>
      <c r="L993" s="44" t="str">
        <f>'Cable Calculator'!DT3</f>
        <v/>
      </c>
      <c r="M993" s="195">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6"/>
    </row>
    <row r="994" spans="1:53" ht="16.5" thickTop="1" thickBot="1" x14ac:dyDescent="0.3">
      <c r="A994" s="88"/>
      <c r="B994" s="29" t="s">
        <v>246</v>
      </c>
      <c r="C994" s="37">
        <v>0</v>
      </c>
      <c r="D994" s="41" t="s">
        <v>247</v>
      </c>
      <c r="E994" s="42"/>
      <c r="F994" s="88"/>
      <c r="G994" s="322"/>
      <c r="H994" s="47" t="s">
        <v>248</v>
      </c>
      <c r="I994" s="35">
        <f>IF(E993&lt;&gt;0,E993,0)</f>
        <v>0</v>
      </c>
      <c r="J994" s="193"/>
      <c r="K994" s="194"/>
      <c r="L994" s="48"/>
      <c r="M994" s="195">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6"/>
    </row>
    <row r="995" spans="1:53" ht="16.5" customHeight="1" thickTop="1" thickBot="1" x14ac:dyDescent="0.3">
      <c r="A995" s="88"/>
      <c r="B995" s="36" t="s">
        <v>249</v>
      </c>
      <c r="C995" s="30">
        <v>0</v>
      </c>
      <c r="D995" s="49" t="s">
        <v>250</v>
      </c>
      <c r="E995" s="50">
        <f>E992/12</f>
        <v>0</v>
      </c>
      <c r="F995" s="88"/>
      <c r="G995" s="321" t="s">
        <v>251</v>
      </c>
      <c r="H995" s="51" t="s">
        <v>252</v>
      </c>
      <c r="I995" s="112">
        <f>E994</f>
        <v>0</v>
      </c>
      <c r="J995" s="323" t="s">
        <v>253</v>
      </c>
      <c r="K995" s="324"/>
      <c r="L995" s="325"/>
      <c r="M995" s="52" t="s">
        <v>254</v>
      </c>
      <c r="N995" s="106"/>
      <c r="O995" s="106"/>
      <c r="P995" s="191"/>
      <c r="Q995" s="191"/>
      <c r="R995" s="191"/>
      <c r="S995" s="191"/>
      <c r="T995" s="191"/>
      <c r="U995" s="191"/>
      <c r="V995" s="191"/>
      <c r="W995" s="53">
        <f>SUM(P995:U995)</f>
        <v>0</v>
      </c>
      <c r="X995" s="54"/>
      <c r="Y995" s="25"/>
      <c r="Z995" s="45">
        <v>3</v>
      </c>
      <c r="AA995" s="46">
        <v>25</v>
      </c>
      <c r="AB995" s="46">
        <v>36</v>
      </c>
      <c r="AC995" s="25"/>
      <c r="AD995" s="25"/>
      <c r="BA995" s="226"/>
    </row>
    <row r="996" spans="1:53" ht="16.5" thickTop="1" thickBot="1" x14ac:dyDescent="0.3">
      <c r="A996" s="88"/>
      <c r="B996" s="36" t="s">
        <v>255</v>
      </c>
      <c r="C996" s="30">
        <v>0</v>
      </c>
      <c r="D996" s="31" t="s">
        <v>256</v>
      </c>
      <c r="E996" s="101" t="str">
        <f>IF('Cable Calculator'!DT5="","",'Cable Calculator'!DT5)</f>
        <v/>
      </c>
      <c r="F996" s="88"/>
      <c r="G996" s="322"/>
      <c r="H996" s="47" t="s">
        <v>257</v>
      </c>
      <c r="I996" s="35" t="str">
        <f>IF(E994="","0",IF(AND(E991="EUC",E992=432), I995+(203-E993),IF(E994=0,0,(E994+(E992-E993)-1))))</f>
        <v>0</v>
      </c>
      <c r="J996" s="286" t="str">
        <f>IFERROR(IF(OR(E991="EUC",E991="SS"),"---",IF(OR(P990,S990),"NO 2F Tethers for RPX!",IF(OR(P992,S992),"NO 6F Tethers for RPX!","---"))),"---")</f>
        <v>---</v>
      </c>
      <c r="K996" s="287"/>
      <c r="L996" s="288"/>
      <c r="M996" s="286" t="str">
        <f>IF(E993&gt;60,"Dead Count &gt;60: Consider Downsize","---")</f>
        <v>---</v>
      </c>
      <c r="N996" s="287"/>
      <c r="O996" s="287"/>
      <c r="P996" s="287"/>
      <c r="Q996" s="287"/>
      <c r="R996" s="287"/>
      <c r="S996" s="287"/>
      <c r="T996" s="287"/>
      <c r="U996" s="288"/>
      <c r="V996" s="100"/>
      <c r="W996" s="54">
        <f>SUM(P996:U996)</f>
        <v>0</v>
      </c>
      <c r="X996" s="54"/>
      <c r="Y996" s="25"/>
      <c r="Z996" s="45">
        <v>4</v>
      </c>
      <c r="AA996" s="46">
        <v>37</v>
      </c>
      <c r="AB996" s="46">
        <v>48</v>
      </c>
      <c r="AC996" s="25"/>
      <c r="AD996" s="25"/>
      <c r="BA996" s="226"/>
    </row>
    <row r="997" spans="1:53" ht="16.5" thickTop="1" thickBot="1" x14ac:dyDescent="0.3">
      <c r="A997" s="88"/>
      <c r="B997" s="55" t="s">
        <v>258</v>
      </c>
      <c r="C997" s="56">
        <f>SUM(C991:C996)+I990</f>
        <v>0</v>
      </c>
      <c r="D997" s="31" t="s">
        <v>259</v>
      </c>
      <c r="E997" s="101" t="str">
        <f>IF(AS991="Y","DBL",IF(AS992="Y","TRPL",IF(AS993="Y","QUAD","")))</f>
        <v/>
      </c>
      <c r="F997" s="88"/>
      <c r="G997" s="191"/>
      <c r="H997" s="57"/>
      <c r="I997" s="191"/>
      <c r="J997" s="286"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7"/>
      <c r="L997" s="288"/>
      <c r="M997" s="286" t="str">
        <f>IF(AND(OR(E991="SS",E991="RPX",E991="EUC",E991="RPX-T"),(OR(C1001="",C1001="Field SPL"))),"Cannot have FlexNap cables without tethers","---")</f>
        <v>---</v>
      </c>
      <c r="N997" s="287"/>
      <c r="O997" s="287"/>
      <c r="P997" s="287"/>
      <c r="Q997" s="287"/>
      <c r="R997" s="287"/>
      <c r="S997" s="287"/>
      <c r="T997" s="287"/>
      <c r="U997" s="288"/>
      <c r="V997" s="25"/>
      <c r="W997" s="58"/>
      <c r="X997" s="58"/>
      <c r="Y997" s="25"/>
      <c r="Z997" s="45">
        <v>5</v>
      </c>
      <c r="AA997" s="46">
        <v>49</v>
      </c>
      <c r="AB997" s="46">
        <v>60</v>
      </c>
      <c r="AC997" s="25"/>
      <c r="AD997" s="25"/>
      <c r="BA997" s="226"/>
    </row>
    <row r="998" spans="1:53" ht="16.5" thickTop="1" thickBot="1" x14ac:dyDescent="0.3">
      <c r="A998" s="88"/>
      <c r="B998" s="59"/>
      <c r="C998" s="60"/>
      <c r="D998" s="61"/>
      <c r="E998" s="62"/>
      <c r="F998" s="88"/>
      <c r="G998" s="63"/>
      <c r="H998" s="64"/>
      <c r="I998" s="63"/>
      <c r="J998" s="286" t="str">
        <f>IF(AND(OR(E991="RPX", E991="RPX-T", E991="SS"),E992=216),"NO 216 For RPX, RPX-T, OR SS CABLE","---")</f>
        <v>---</v>
      </c>
      <c r="K998" s="287"/>
      <c r="L998" s="288"/>
      <c r="M998" s="286" t="str" cm="1">
        <f t="array" ref="M998">IF(AND(E991="",OR(C1001:C1025="FST",C1001:C1025="REV T",C1001:C1025="DBL REV",C1001:C1025="TPL REV", C1001:C1025="QD REV")),"Non-FlexNap cables cannot have tethers","---")</f>
        <v>---</v>
      </c>
      <c r="N998" s="287"/>
      <c r="O998" s="287"/>
      <c r="P998" s="287"/>
      <c r="Q998" s="287"/>
      <c r="R998" s="287"/>
      <c r="S998" s="287"/>
      <c r="T998" s="287"/>
      <c r="U998" s="288"/>
      <c r="V998" s="25"/>
      <c r="W998" s="58"/>
      <c r="X998" s="58"/>
      <c r="Y998" s="25"/>
      <c r="Z998" s="45">
        <v>6</v>
      </c>
      <c r="AA998" s="65">
        <v>61</v>
      </c>
      <c r="AB998" s="65">
        <v>72</v>
      </c>
      <c r="AC998" s="25"/>
      <c r="AD998" s="25"/>
      <c r="BA998" s="225"/>
    </row>
    <row r="999" spans="1:53" ht="15.75" customHeight="1" thickBot="1" x14ac:dyDescent="0.3">
      <c r="A999" s="88"/>
      <c r="B999" s="321" t="s">
        <v>260</v>
      </c>
      <c r="C999" s="293" t="s">
        <v>261</v>
      </c>
      <c r="D999" s="293" t="s">
        <v>262</v>
      </c>
      <c r="E999" s="306" t="s">
        <v>263</v>
      </c>
      <c r="F999" s="293" t="s">
        <v>264</v>
      </c>
      <c r="G999" s="308" t="s">
        <v>265</v>
      </c>
      <c r="H999" s="308" t="s">
        <v>266</v>
      </c>
      <c r="I999" s="308" t="s">
        <v>267</v>
      </c>
      <c r="J999" s="310" t="s">
        <v>268</v>
      </c>
      <c r="K999" s="293" t="s">
        <v>269</v>
      </c>
      <c r="L999" s="280" t="s">
        <v>270</v>
      </c>
      <c r="M999" s="282" t="s">
        <v>271</v>
      </c>
      <c r="N999" s="282"/>
      <c r="O999" s="282"/>
      <c r="P999" s="282"/>
      <c r="Q999" s="282"/>
      <c r="R999" s="282"/>
      <c r="S999" s="282"/>
      <c r="T999" s="282"/>
      <c r="U999" s="283"/>
      <c r="V999" s="107"/>
      <c r="W999" s="72"/>
      <c r="X999" s="72"/>
      <c r="Y999" s="72"/>
      <c r="Z999" s="45">
        <v>7</v>
      </c>
      <c r="AA999" s="65">
        <v>73</v>
      </c>
      <c r="AB999" s="65">
        <v>84</v>
      </c>
      <c r="AC999" s="25"/>
      <c r="AD999" s="25"/>
      <c r="BA999" s="227"/>
    </row>
    <row r="1000" spans="1:53" ht="15.75" thickBot="1" x14ac:dyDescent="0.3">
      <c r="A1000" s="88"/>
      <c r="B1000" s="322"/>
      <c r="C1000" s="294"/>
      <c r="D1000" s="294"/>
      <c r="E1000" s="307"/>
      <c r="F1000" s="294"/>
      <c r="G1000" s="309"/>
      <c r="H1000" s="309"/>
      <c r="I1000" s="309"/>
      <c r="J1000" s="311"/>
      <c r="K1000" s="294"/>
      <c r="L1000" s="281"/>
      <c r="M1000" s="284"/>
      <c r="N1000" s="284"/>
      <c r="O1000" s="284"/>
      <c r="P1000" s="284"/>
      <c r="Q1000" s="284"/>
      <c r="R1000" s="284"/>
      <c r="S1000" s="284"/>
      <c r="T1000" s="284"/>
      <c r="U1000" s="285"/>
      <c r="V1000" s="107"/>
      <c r="W1000" s="72"/>
      <c r="X1000" s="72"/>
      <c r="Y1000" s="72"/>
      <c r="Z1000" s="45">
        <v>8</v>
      </c>
      <c r="AA1000" s="46">
        <v>85</v>
      </c>
      <c r="AB1000" s="46">
        <v>96</v>
      </c>
      <c r="AC1000" s="25"/>
      <c r="AD1000" s="25"/>
      <c r="AI1000" s="109" t="s">
        <v>272</v>
      </c>
      <c r="AJ1000" s="109" t="s">
        <v>273</v>
      </c>
      <c r="AK1000" s="109" t="s">
        <v>274</v>
      </c>
      <c r="AL1000" s="109" t="s">
        <v>275</v>
      </c>
      <c r="BA1000" s="227"/>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2"/>
      <c r="M1001" s="278"/>
      <c r="N1001" s="278"/>
      <c r="O1001" s="278"/>
      <c r="P1001" s="278"/>
      <c r="Q1001" s="278"/>
      <c r="R1001" s="278"/>
      <c r="S1001" s="278"/>
      <c r="T1001" s="278"/>
      <c r="U1001" s="279"/>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8">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2"/>
      <c r="M1002" s="278"/>
      <c r="N1002" s="278"/>
      <c r="O1002" s="278"/>
      <c r="P1002" s="278"/>
      <c r="Q1002" s="278"/>
      <c r="R1002" s="278"/>
      <c r="S1002" s="278"/>
      <c r="T1002" s="278"/>
      <c r="U1002" s="279"/>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8">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2"/>
      <c r="M1003" s="278"/>
      <c r="N1003" s="278"/>
      <c r="O1003" s="278"/>
      <c r="P1003" s="278"/>
      <c r="Q1003" s="278"/>
      <c r="R1003" s="278"/>
      <c r="S1003" s="278"/>
      <c r="T1003" s="278"/>
      <c r="U1003" s="279"/>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8">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2"/>
      <c r="M1004" s="278"/>
      <c r="N1004" s="278"/>
      <c r="O1004" s="278"/>
      <c r="P1004" s="278"/>
      <c r="Q1004" s="278"/>
      <c r="R1004" s="278"/>
      <c r="S1004" s="278"/>
      <c r="T1004" s="278"/>
      <c r="U1004" s="279"/>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8">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2"/>
      <c r="M1005" s="278"/>
      <c r="N1005" s="278"/>
      <c r="O1005" s="278"/>
      <c r="P1005" s="278"/>
      <c r="Q1005" s="278"/>
      <c r="R1005" s="278"/>
      <c r="S1005" s="278"/>
      <c r="T1005" s="278"/>
      <c r="U1005" s="279"/>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8">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2"/>
      <c r="M1006" s="278"/>
      <c r="N1006" s="278"/>
      <c r="O1006" s="278"/>
      <c r="P1006" s="278"/>
      <c r="Q1006" s="278"/>
      <c r="R1006" s="278"/>
      <c r="S1006" s="278"/>
      <c r="T1006" s="278"/>
      <c r="U1006" s="279"/>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8">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2"/>
      <c r="M1007" s="278"/>
      <c r="N1007" s="278"/>
      <c r="O1007" s="278"/>
      <c r="P1007" s="278"/>
      <c r="Q1007" s="278"/>
      <c r="R1007" s="278"/>
      <c r="S1007" s="278"/>
      <c r="T1007" s="278"/>
      <c r="U1007" s="279"/>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8">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2"/>
      <c r="M1008" s="278"/>
      <c r="N1008" s="278"/>
      <c r="O1008" s="278"/>
      <c r="P1008" s="278"/>
      <c r="Q1008" s="278"/>
      <c r="R1008" s="278"/>
      <c r="S1008" s="278"/>
      <c r="T1008" s="278"/>
      <c r="U1008" s="279"/>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8">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2"/>
      <c r="M1009" s="278"/>
      <c r="N1009" s="278"/>
      <c r="O1009" s="278"/>
      <c r="P1009" s="278"/>
      <c r="Q1009" s="278"/>
      <c r="R1009" s="278"/>
      <c r="S1009" s="278"/>
      <c r="T1009" s="278"/>
      <c r="U1009" s="279"/>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8">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2"/>
      <c r="M1010" s="278"/>
      <c r="N1010" s="278"/>
      <c r="O1010" s="278"/>
      <c r="P1010" s="278"/>
      <c r="Q1010" s="278"/>
      <c r="R1010" s="278"/>
      <c r="S1010" s="278"/>
      <c r="T1010" s="278"/>
      <c r="U1010" s="279"/>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8">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2"/>
      <c r="M1011" s="278"/>
      <c r="N1011" s="278"/>
      <c r="O1011" s="278"/>
      <c r="P1011" s="278"/>
      <c r="Q1011" s="278"/>
      <c r="R1011" s="278"/>
      <c r="S1011" s="278"/>
      <c r="T1011" s="278"/>
      <c r="U1011" s="279"/>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8">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2"/>
      <c r="M1012" s="278"/>
      <c r="N1012" s="278"/>
      <c r="O1012" s="278"/>
      <c r="P1012" s="278"/>
      <c r="Q1012" s="278"/>
      <c r="R1012" s="278"/>
      <c r="S1012" s="278"/>
      <c r="T1012" s="278"/>
      <c r="U1012" s="279"/>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8">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2"/>
      <c r="M1013" s="278"/>
      <c r="N1013" s="278"/>
      <c r="O1013" s="278"/>
      <c r="P1013" s="278"/>
      <c r="Q1013" s="278"/>
      <c r="R1013" s="278"/>
      <c r="S1013" s="278"/>
      <c r="T1013" s="278"/>
      <c r="U1013" s="279"/>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8">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2"/>
      <c r="M1014" s="278"/>
      <c r="N1014" s="278"/>
      <c r="O1014" s="278"/>
      <c r="P1014" s="278"/>
      <c r="Q1014" s="278"/>
      <c r="R1014" s="278"/>
      <c r="S1014" s="278"/>
      <c r="T1014" s="278"/>
      <c r="U1014" s="279"/>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8">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2"/>
      <c r="M1015" s="278"/>
      <c r="N1015" s="278"/>
      <c r="O1015" s="278"/>
      <c r="P1015" s="278"/>
      <c r="Q1015" s="278"/>
      <c r="R1015" s="278"/>
      <c r="S1015" s="278"/>
      <c r="T1015" s="278"/>
      <c r="U1015" s="279"/>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8">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2"/>
      <c r="M1016" s="278"/>
      <c r="N1016" s="278"/>
      <c r="O1016" s="278"/>
      <c r="P1016" s="278"/>
      <c r="Q1016" s="278"/>
      <c r="R1016" s="278"/>
      <c r="S1016" s="278"/>
      <c r="T1016" s="278"/>
      <c r="U1016" s="279"/>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8">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2"/>
      <c r="M1017" s="278"/>
      <c r="N1017" s="278"/>
      <c r="O1017" s="278"/>
      <c r="P1017" s="278"/>
      <c r="Q1017" s="278"/>
      <c r="R1017" s="278"/>
      <c r="S1017" s="278"/>
      <c r="T1017" s="278"/>
      <c r="U1017" s="279"/>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8">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2"/>
      <c r="M1018" s="278"/>
      <c r="N1018" s="278"/>
      <c r="O1018" s="278"/>
      <c r="P1018" s="278"/>
      <c r="Q1018" s="278"/>
      <c r="R1018" s="278"/>
      <c r="S1018" s="278"/>
      <c r="T1018" s="278"/>
      <c r="U1018" s="279"/>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8">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2"/>
      <c r="M1019" s="278"/>
      <c r="N1019" s="278"/>
      <c r="O1019" s="278"/>
      <c r="P1019" s="278"/>
      <c r="Q1019" s="278"/>
      <c r="R1019" s="278"/>
      <c r="S1019" s="278"/>
      <c r="T1019" s="278"/>
      <c r="U1019" s="279"/>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8">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2"/>
      <c r="M1020" s="278"/>
      <c r="N1020" s="278"/>
      <c r="O1020" s="278"/>
      <c r="P1020" s="278"/>
      <c r="Q1020" s="278"/>
      <c r="R1020" s="278"/>
      <c r="S1020" s="278"/>
      <c r="T1020" s="278"/>
      <c r="U1020" s="279"/>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8">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2"/>
      <c r="M1021" s="278"/>
      <c r="N1021" s="278"/>
      <c r="O1021" s="278"/>
      <c r="P1021" s="278"/>
      <c r="Q1021" s="278"/>
      <c r="R1021" s="278"/>
      <c r="S1021" s="278"/>
      <c r="T1021" s="278"/>
      <c r="U1021" s="279"/>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8">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2"/>
      <c r="M1022" s="278"/>
      <c r="N1022" s="278"/>
      <c r="O1022" s="278"/>
      <c r="P1022" s="278"/>
      <c r="Q1022" s="278"/>
      <c r="R1022" s="278"/>
      <c r="S1022" s="278"/>
      <c r="T1022" s="278"/>
      <c r="U1022" s="279"/>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8">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2"/>
      <c r="M1023" s="278"/>
      <c r="N1023" s="278"/>
      <c r="O1023" s="278"/>
      <c r="P1023" s="278"/>
      <c r="Q1023" s="278"/>
      <c r="R1023" s="278"/>
      <c r="S1023" s="278"/>
      <c r="T1023" s="278"/>
      <c r="U1023" s="279"/>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8">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2"/>
      <c r="M1024" s="278"/>
      <c r="N1024" s="278"/>
      <c r="O1024" s="278"/>
      <c r="P1024" s="278"/>
      <c r="Q1024" s="278"/>
      <c r="R1024" s="278"/>
      <c r="S1024" s="278"/>
      <c r="T1024" s="278"/>
      <c r="U1024" s="279"/>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8">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3"/>
      <c r="M1025" s="278"/>
      <c r="N1025" s="278"/>
      <c r="O1025" s="278"/>
      <c r="P1025" s="278"/>
      <c r="Q1025" s="278"/>
      <c r="R1025" s="278"/>
      <c r="S1025" s="278"/>
      <c r="T1025" s="278"/>
      <c r="U1025" s="279"/>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7"/>
    </row>
    <row r="1026" spans="1:53" ht="16.5" thickBot="1" x14ac:dyDescent="0.3">
      <c r="A1026" s="88"/>
      <c r="B1026" s="319" t="s">
        <v>353</v>
      </c>
      <c r="C1026" s="320"/>
      <c r="D1026" s="79"/>
      <c r="E1026" s="80"/>
      <c r="F1026" s="80"/>
      <c r="G1026" s="81"/>
      <c r="H1026" s="191"/>
      <c r="I1026" s="191"/>
      <c r="J1026" s="191"/>
      <c r="K1026" s="82"/>
      <c r="L1026" s="319" t="s">
        <v>306</v>
      </c>
      <c r="M1026" s="330"/>
      <c r="N1026" s="330"/>
      <c r="O1026" s="330"/>
      <c r="P1026" s="330"/>
      <c r="Q1026" s="330"/>
      <c r="R1026" s="330"/>
      <c r="S1026" s="330"/>
      <c r="T1026" s="330"/>
      <c r="U1026" s="320"/>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7"/>
    </row>
    <row r="1027" spans="1:53" ht="16.5" thickBot="1" x14ac:dyDescent="0.3">
      <c r="A1027" s="88"/>
      <c r="B1027" s="319" t="s">
        <v>307</v>
      </c>
      <c r="C1027" s="320"/>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5"/>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5" t="s">
        <v>210</v>
      </c>
      <c r="N1030" s="195" t="s">
        <v>211</v>
      </c>
      <c r="O1030" s="195" t="s">
        <v>212</v>
      </c>
      <c r="P1030" s="195" t="s">
        <v>213</v>
      </c>
      <c r="Q1030" s="195" t="s">
        <v>214</v>
      </c>
      <c r="R1030" s="195" t="s">
        <v>215</v>
      </c>
      <c r="S1030" s="195" t="s">
        <v>216</v>
      </c>
      <c r="T1030" s="195" t="s">
        <v>217</v>
      </c>
      <c r="U1030" s="195" t="s">
        <v>218</v>
      </c>
      <c r="V1030" s="195" t="s">
        <v>219</v>
      </c>
      <c r="W1030" s="113" t="s">
        <v>220</v>
      </c>
      <c r="X1030" s="195" t="s">
        <v>221</v>
      </c>
      <c r="Y1030" s="25"/>
      <c r="Z1030" s="25"/>
      <c r="AA1030" s="25"/>
      <c r="AB1030" s="25"/>
      <c r="AC1030" s="25"/>
      <c r="AD1030" s="25"/>
      <c r="BA1030" s="225"/>
    </row>
    <row r="1031" spans="1:53" ht="16.5" thickTop="1" thickBot="1" x14ac:dyDescent="0.3">
      <c r="A1031" s="88"/>
      <c r="B1031" s="312" t="s">
        <v>222</v>
      </c>
      <c r="C1031" s="313"/>
      <c r="D1031" s="314" t="s">
        <v>223</v>
      </c>
      <c r="E1031" s="305"/>
      <c r="F1031" s="88"/>
      <c r="G1031" s="315" t="s">
        <v>224</v>
      </c>
      <c r="H1031" s="316"/>
      <c r="I1031" s="28">
        <f>SUM(E1042:E1066)</f>
        <v>0</v>
      </c>
      <c r="J1031" s="317" t="s">
        <v>225</v>
      </c>
      <c r="K1031" s="318"/>
      <c r="L1031" s="305"/>
      <c r="M1031" s="195">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5" t="s">
        <v>226</v>
      </c>
      <c r="AA1031" s="296"/>
      <c r="AB1031" s="297"/>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5"/>
    </row>
    <row r="1032" spans="1:53" ht="16.5" customHeight="1" thickTop="1" thickBot="1" x14ac:dyDescent="0.3">
      <c r="A1032" s="88"/>
      <c r="B1032" s="29" t="s">
        <v>228</v>
      </c>
      <c r="C1032" s="30">
        <v>0</v>
      </c>
      <c r="D1032" s="31" t="s">
        <v>229</v>
      </c>
      <c r="E1032" s="66" t="str">
        <f>TEXT(IF('Cable Calculator'!DY7="","",'Cable Calculator'!DY7),)</f>
        <v/>
      </c>
      <c r="F1032" s="88"/>
      <c r="G1032" s="304" t="s">
        <v>230</v>
      </c>
      <c r="H1032" s="305"/>
      <c r="I1032" s="33">
        <f>E1033-I1031</f>
        <v>0</v>
      </c>
      <c r="J1032" s="289" t="s">
        <v>231</v>
      </c>
      <c r="K1032" s="290"/>
      <c r="L1032" s="34">
        <f>I1036</f>
        <v>0</v>
      </c>
      <c r="M1032" s="195">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298" t="s">
        <v>232</v>
      </c>
      <c r="AA1032" s="300" t="s">
        <v>233</v>
      </c>
      <c r="AB1032" s="301"/>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6"/>
    </row>
    <row r="1033" spans="1:53" ht="16.5" thickTop="1" thickBot="1" x14ac:dyDescent="0.3">
      <c r="A1033" s="88"/>
      <c r="B1033" s="36" t="s">
        <v>235</v>
      </c>
      <c r="C1033" s="37">
        <v>0</v>
      </c>
      <c r="D1033" s="38" t="s">
        <v>236</v>
      </c>
      <c r="E1033" s="32"/>
      <c r="F1033" s="88"/>
      <c r="G1033" s="291" t="s">
        <v>237</v>
      </c>
      <c r="H1033" s="292"/>
      <c r="I1033" s="35">
        <f>IF(E1033=0,0,12-(MOD(I1031,12)))</f>
        <v>0</v>
      </c>
      <c r="J1033" s="289" t="s">
        <v>238</v>
      </c>
      <c r="K1033" s="290"/>
      <c r="L1033" s="39">
        <f>I1037-I1031</f>
        <v>0</v>
      </c>
      <c r="M1033" s="195">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9"/>
      <c r="AA1033" s="302"/>
      <c r="AB1033" s="303"/>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6"/>
    </row>
    <row r="1034" spans="1:53" ht="16.5" customHeight="1" thickTop="1" thickBot="1" x14ac:dyDescent="0.3">
      <c r="A1034" s="88"/>
      <c r="B1034" s="40" t="s">
        <v>240</v>
      </c>
      <c r="C1034" s="30">
        <v>0</v>
      </c>
      <c r="D1034" s="41" t="s">
        <v>241</v>
      </c>
      <c r="E1034" s="42"/>
      <c r="F1034" s="88"/>
      <c r="G1034" s="321" t="s">
        <v>242</v>
      </c>
      <c r="H1034" s="43" t="s">
        <v>243</v>
      </c>
      <c r="I1034" s="35">
        <f>IF(E1034&lt;&gt;0,1,0)</f>
        <v>0</v>
      </c>
      <c r="J1034" s="291" t="s">
        <v>244</v>
      </c>
      <c r="K1034" s="292"/>
      <c r="L1034" s="44" t="str">
        <f>'Cable Calculator'!DY3</f>
        <v/>
      </c>
      <c r="M1034" s="195">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6"/>
    </row>
    <row r="1035" spans="1:53" ht="16.5" thickTop="1" thickBot="1" x14ac:dyDescent="0.3">
      <c r="A1035" s="88"/>
      <c r="B1035" s="29" t="s">
        <v>246</v>
      </c>
      <c r="C1035" s="37">
        <v>0</v>
      </c>
      <c r="D1035" s="41" t="s">
        <v>247</v>
      </c>
      <c r="E1035" s="42"/>
      <c r="F1035" s="88"/>
      <c r="G1035" s="322"/>
      <c r="H1035" s="47" t="s">
        <v>248</v>
      </c>
      <c r="I1035" s="35">
        <f>IF(E1034&lt;&gt;0,E1034,0)</f>
        <v>0</v>
      </c>
      <c r="J1035" s="193"/>
      <c r="K1035" s="194"/>
      <c r="L1035" s="48"/>
      <c r="M1035" s="195">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6"/>
    </row>
    <row r="1036" spans="1:53" ht="16.5" customHeight="1" thickTop="1" thickBot="1" x14ac:dyDescent="0.3">
      <c r="A1036" s="88"/>
      <c r="B1036" s="36" t="s">
        <v>249</v>
      </c>
      <c r="C1036" s="30">
        <v>0</v>
      </c>
      <c r="D1036" s="49" t="s">
        <v>250</v>
      </c>
      <c r="E1036" s="50">
        <f>E1033/12</f>
        <v>0</v>
      </c>
      <c r="F1036" s="88"/>
      <c r="G1036" s="321" t="s">
        <v>251</v>
      </c>
      <c r="H1036" s="51" t="s">
        <v>252</v>
      </c>
      <c r="I1036" s="112">
        <f>E1035</f>
        <v>0</v>
      </c>
      <c r="J1036" s="323" t="s">
        <v>253</v>
      </c>
      <c r="K1036" s="324"/>
      <c r="L1036" s="325"/>
      <c r="M1036" s="52" t="s">
        <v>254</v>
      </c>
      <c r="N1036" s="106"/>
      <c r="O1036" s="106"/>
      <c r="P1036" s="191"/>
      <c r="Q1036" s="191"/>
      <c r="R1036" s="191"/>
      <c r="S1036" s="191"/>
      <c r="T1036" s="191"/>
      <c r="U1036" s="191"/>
      <c r="V1036" s="191"/>
      <c r="W1036" s="53">
        <f>SUM(P1036:U1036)</f>
        <v>0</v>
      </c>
      <c r="X1036" s="54"/>
      <c r="Y1036" s="25"/>
      <c r="Z1036" s="45">
        <v>3</v>
      </c>
      <c r="AA1036" s="46">
        <v>25</v>
      </c>
      <c r="AB1036" s="46">
        <v>36</v>
      </c>
      <c r="AC1036" s="25"/>
      <c r="AD1036" s="25"/>
      <c r="BA1036" s="226"/>
    </row>
    <row r="1037" spans="1:53" ht="16.5" thickTop="1" thickBot="1" x14ac:dyDescent="0.3">
      <c r="A1037" s="88"/>
      <c r="B1037" s="36" t="s">
        <v>255</v>
      </c>
      <c r="C1037" s="30">
        <v>0</v>
      </c>
      <c r="D1037" s="31" t="s">
        <v>256</v>
      </c>
      <c r="E1037" s="101" t="str">
        <f>IF('Cable Calculator'!DY5="","",'Cable Calculator'!DY5)</f>
        <v/>
      </c>
      <c r="F1037" s="88"/>
      <c r="G1037" s="322"/>
      <c r="H1037" s="47" t="s">
        <v>257</v>
      </c>
      <c r="I1037" s="35" t="str">
        <f>IF(E1035="","0",IF(AND(E1032="EUC",E1033=432), I1036+(203-E1034),IF(E1035=0,0,(E1035+(E1033-E1034)-1))))</f>
        <v>0</v>
      </c>
      <c r="J1037" s="286" t="str">
        <f>IFERROR(IF(OR(E1032="EUC",E1032="SS"),"---",IF(OR(P1031,S1031),"NO 2F Tethers for RPX!",IF(OR(P1033,S1033),"NO 6F Tethers for RPX!","---"))),"---")</f>
        <v>---</v>
      </c>
      <c r="K1037" s="287"/>
      <c r="L1037" s="288"/>
      <c r="M1037" s="286" t="str">
        <f>IF(E1034&gt;60,"Dead Count &gt;60: Consider Downsize","---")</f>
        <v>---</v>
      </c>
      <c r="N1037" s="287"/>
      <c r="O1037" s="287"/>
      <c r="P1037" s="287"/>
      <c r="Q1037" s="287"/>
      <c r="R1037" s="287"/>
      <c r="S1037" s="287"/>
      <c r="T1037" s="287"/>
      <c r="U1037" s="288"/>
      <c r="V1037" s="100"/>
      <c r="W1037" s="54">
        <f>SUM(P1037:U1037)</f>
        <v>0</v>
      </c>
      <c r="X1037" s="54"/>
      <c r="Y1037" s="25"/>
      <c r="Z1037" s="45">
        <v>4</v>
      </c>
      <c r="AA1037" s="46">
        <v>37</v>
      </c>
      <c r="AB1037" s="46">
        <v>48</v>
      </c>
      <c r="AC1037" s="25"/>
      <c r="AD1037" s="25"/>
      <c r="BA1037" s="226"/>
    </row>
    <row r="1038" spans="1:53" ht="16.5" thickTop="1" thickBot="1" x14ac:dyDescent="0.3">
      <c r="A1038" s="88"/>
      <c r="B1038" s="55" t="s">
        <v>258</v>
      </c>
      <c r="C1038" s="56">
        <f>SUM(C1032:C1037)+I1031</f>
        <v>0</v>
      </c>
      <c r="D1038" s="31" t="s">
        <v>259</v>
      </c>
      <c r="E1038" s="101" t="str">
        <f>IF(AS1032="Y","DBL",IF(AS1033="Y","TRPL",IF(AS1034="Y","QUAD","")))</f>
        <v/>
      </c>
      <c r="F1038" s="88"/>
      <c r="G1038" s="191"/>
      <c r="H1038" s="57"/>
      <c r="I1038" s="191"/>
      <c r="J1038" s="286"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7"/>
      <c r="L1038" s="288"/>
      <c r="M1038" s="286" t="str">
        <f>IF(AND(OR(E1032="SS",E1032="RPX",E1032="EUC",E1032="RPX-T"),(OR(C1042="",C1042="Field SPL"))),"Cannot have FlexNap cables without tethers","---")</f>
        <v>---</v>
      </c>
      <c r="N1038" s="287"/>
      <c r="O1038" s="287"/>
      <c r="P1038" s="287"/>
      <c r="Q1038" s="287"/>
      <c r="R1038" s="287"/>
      <c r="S1038" s="287"/>
      <c r="T1038" s="287"/>
      <c r="U1038" s="288"/>
      <c r="V1038" s="25"/>
      <c r="W1038" s="58"/>
      <c r="X1038" s="58"/>
      <c r="Y1038" s="25"/>
      <c r="Z1038" s="45">
        <v>5</v>
      </c>
      <c r="AA1038" s="46">
        <v>49</v>
      </c>
      <c r="AB1038" s="46">
        <v>60</v>
      </c>
      <c r="AC1038" s="25"/>
      <c r="AD1038" s="25"/>
      <c r="BA1038" s="226"/>
    </row>
    <row r="1039" spans="1:53" ht="16.5" thickTop="1" thickBot="1" x14ac:dyDescent="0.3">
      <c r="A1039" s="88"/>
      <c r="B1039" s="59"/>
      <c r="C1039" s="60"/>
      <c r="D1039" s="61"/>
      <c r="E1039" s="62"/>
      <c r="F1039" s="88"/>
      <c r="G1039" s="63"/>
      <c r="H1039" s="64"/>
      <c r="I1039" s="63"/>
      <c r="J1039" s="286" t="str">
        <f>IF(AND(OR(E1032="RPX", E1032="RPX-T", E1032="SS"),E1033=216),"NO 216 For RPX, RPX-T, OR SS CABLE","---")</f>
        <v>---</v>
      </c>
      <c r="K1039" s="287"/>
      <c r="L1039" s="288"/>
      <c r="M1039" s="286" t="str" cm="1">
        <f t="array" ref="M1039">IF(AND(E1032="",OR(C1042:C1066="FST",C1042:C1066="REV T",C1042:C1066="DBL REV",C1042:C1066="TPL REV", C1042:C1066="QD REV")),"Non-FlexNap cables cannot have tethers","---")</f>
        <v>---</v>
      </c>
      <c r="N1039" s="287"/>
      <c r="O1039" s="287"/>
      <c r="P1039" s="287"/>
      <c r="Q1039" s="287"/>
      <c r="R1039" s="287"/>
      <c r="S1039" s="287"/>
      <c r="T1039" s="287"/>
      <c r="U1039" s="288"/>
      <c r="V1039" s="25"/>
      <c r="W1039" s="58"/>
      <c r="X1039" s="58"/>
      <c r="Y1039" s="25"/>
      <c r="Z1039" s="45">
        <v>6</v>
      </c>
      <c r="AA1039" s="65">
        <v>61</v>
      </c>
      <c r="AB1039" s="65">
        <v>72</v>
      </c>
      <c r="AC1039" s="25"/>
      <c r="AD1039" s="25"/>
      <c r="BA1039" s="225"/>
    </row>
    <row r="1040" spans="1:53" ht="15.75" customHeight="1" thickBot="1" x14ac:dyDescent="0.3">
      <c r="A1040" s="88"/>
      <c r="B1040" s="321" t="s">
        <v>260</v>
      </c>
      <c r="C1040" s="293" t="s">
        <v>261</v>
      </c>
      <c r="D1040" s="293" t="s">
        <v>262</v>
      </c>
      <c r="E1040" s="306" t="s">
        <v>263</v>
      </c>
      <c r="F1040" s="293" t="s">
        <v>264</v>
      </c>
      <c r="G1040" s="308" t="s">
        <v>265</v>
      </c>
      <c r="H1040" s="308" t="s">
        <v>266</v>
      </c>
      <c r="I1040" s="308" t="s">
        <v>267</v>
      </c>
      <c r="J1040" s="310" t="s">
        <v>268</v>
      </c>
      <c r="K1040" s="293" t="s">
        <v>269</v>
      </c>
      <c r="L1040" s="280" t="s">
        <v>270</v>
      </c>
      <c r="M1040" s="282" t="s">
        <v>271</v>
      </c>
      <c r="N1040" s="282"/>
      <c r="O1040" s="282"/>
      <c r="P1040" s="282"/>
      <c r="Q1040" s="282"/>
      <c r="R1040" s="282"/>
      <c r="S1040" s="282"/>
      <c r="T1040" s="282"/>
      <c r="U1040" s="283"/>
      <c r="V1040" s="107"/>
      <c r="W1040" s="72"/>
      <c r="X1040" s="72"/>
      <c r="Y1040" s="72"/>
      <c r="Z1040" s="45">
        <v>7</v>
      </c>
      <c r="AA1040" s="65">
        <v>73</v>
      </c>
      <c r="AB1040" s="65">
        <v>84</v>
      </c>
      <c r="AC1040" s="25"/>
      <c r="AD1040" s="25"/>
      <c r="BA1040" s="227"/>
    </row>
    <row r="1041" spans="1:53" ht="15.75" thickBot="1" x14ac:dyDescent="0.3">
      <c r="A1041" s="88"/>
      <c r="B1041" s="322"/>
      <c r="C1041" s="294"/>
      <c r="D1041" s="294"/>
      <c r="E1041" s="307"/>
      <c r="F1041" s="294"/>
      <c r="G1041" s="309"/>
      <c r="H1041" s="309"/>
      <c r="I1041" s="309"/>
      <c r="J1041" s="311"/>
      <c r="K1041" s="294"/>
      <c r="L1041" s="281"/>
      <c r="M1041" s="284"/>
      <c r="N1041" s="284"/>
      <c r="O1041" s="284"/>
      <c r="P1041" s="284"/>
      <c r="Q1041" s="284"/>
      <c r="R1041" s="284"/>
      <c r="S1041" s="284"/>
      <c r="T1041" s="284"/>
      <c r="U1041" s="285"/>
      <c r="V1041" s="107"/>
      <c r="W1041" s="72"/>
      <c r="X1041" s="72"/>
      <c r="Y1041" s="72"/>
      <c r="Z1041" s="45">
        <v>8</v>
      </c>
      <c r="AA1041" s="46">
        <v>85</v>
      </c>
      <c r="AB1041" s="46">
        <v>96</v>
      </c>
      <c r="AC1041" s="25"/>
      <c r="AD1041" s="25"/>
      <c r="AI1041" s="109" t="s">
        <v>272</v>
      </c>
      <c r="AJ1041" s="109" t="s">
        <v>273</v>
      </c>
      <c r="AK1041" s="109" t="s">
        <v>274</v>
      </c>
      <c r="AL1041" s="109" t="s">
        <v>275</v>
      </c>
      <c r="BA1041" s="227"/>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2"/>
      <c r="M1042" s="278"/>
      <c r="N1042" s="278"/>
      <c r="O1042" s="278"/>
      <c r="P1042" s="278"/>
      <c r="Q1042" s="278"/>
      <c r="R1042" s="278"/>
      <c r="S1042" s="278"/>
      <c r="T1042" s="278"/>
      <c r="U1042" s="279"/>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8">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2"/>
      <c r="M1043" s="278"/>
      <c r="N1043" s="278"/>
      <c r="O1043" s="278"/>
      <c r="P1043" s="278"/>
      <c r="Q1043" s="278"/>
      <c r="R1043" s="278"/>
      <c r="S1043" s="278"/>
      <c r="T1043" s="278"/>
      <c r="U1043" s="279"/>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8">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2"/>
      <c r="M1044" s="278"/>
      <c r="N1044" s="278"/>
      <c r="O1044" s="278"/>
      <c r="P1044" s="278"/>
      <c r="Q1044" s="278"/>
      <c r="R1044" s="278"/>
      <c r="S1044" s="278"/>
      <c r="T1044" s="278"/>
      <c r="U1044" s="279"/>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8">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2"/>
      <c r="M1045" s="278"/>
      <c r="N1045" s="278"/>
      <c r="O1045" s="278"/>
      <c r="P1045" s="278"/>
      <c r="Q1045" s="278"/>
      <c r="R1045" s="278"/>
      <c r="S1045" s="278"/>
      <c r="T1045" s="278"/>
      <c r="U1045" s="279"/>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8">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2"/>
      <c r="M1046" s="278"/>
      <c r="N1046" s="278"/>
      <c r="O1046" s="278"/>
      <c r="P1046" s="278"/>
      <c r="Q1046" s="278"/>
      <c r="R1046" s="278"/>
      <c r="S1046" s="278"/>
      <c r="T1046" s="278"/>
      <c r="U1046" s="279"/>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8">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2"/>
      <c r="M1047" s="278"/>
      <c r="N1047" s="278"/>
      <c r="O1047" s="278"/>
      <c r="P1047" s="278"/>
      <c r="Q1047" s="278"/>
      <c r="R1047" s="278"/>
      <c r="S1047" s="278"/>
      <c r="T1047" s="278"/>
      <c r="U1047" s="279"/>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8">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2"/>
      <c r="M1048" s="278"/>
      <c r="N1048" s="278"/>
      <c r="O1048" s="278"/>
      <c r="P1048" s="278"/>
      <c r="Q1048" s="278"/>
      <c r="R1048" s="278"/>
      <c r="S1048" s="278"/>
      <c r="T1048" s="278"/>
      <c r="U1048" s="279"/>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8">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2"/>
      <c r="M1049" s="278"/>
      <c r="N1049" s="278"/>
      <c r="O1049" s="278"/>
      <c r="P1049" s="278"/>
      <c r="Q1049" s="278"/>
      <c r="R1049" s="278"/>
      <c r="S1049" s="278"/>
      <c r="T1049" s="278"/>
      <c r="U1049" s="279"/>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8">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2"/>
      <c r="M1050" s="278"/>
      <c r="N1050" s="278"/>
      <c r="O1050" s="278"/>
      <c r="P1050" s="278"/>
      <c r="Q1050" s="278"/>
      <c r="R1050" s="278"/>
      <c r="S1050" s="278"/>
      <c r="T1050" s="278"/>
      <c r="U1050" s="279"/>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8">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2"/>
      <c r="M1051" s="278"/>
      <c r="N1051" s="278"/>
      <c r="O1051" s="278"/>
      <c r="P1051" s="278"/>
      <c r="Q1051" s="278"/>
      <c r="R1051" s="278"/>
      <c r="S1051" s="278"/>
      <c r="T1051" s="278"/>
      <c r="U1051" s="279"/>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8">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2"/>
      <c r="M1052" s="278"/>
      <c r="N1052" s="278"/>
      <c r="O1052" s="278"/>
      <c r="P1052" s="278"/>
      <c r="Q1052" s="278"/>
      <c r="R1052" s="278"/>
      <c r="S1052" s="278"/>
      <c r="T1052" s="278"/>
      <c r="U1052" s="279"/>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8">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2"/>
      <c r="M1053" s="278"/>
      <c r="N1053" s="278"/>
      <c r="O1053" s="278"/>
      <c r="P1053" s="278"/>
      <c r="Q1053" s="278"/>
      <c r="R1053" s="278"/>
      <c r="S1053" s="278"/>
      <c r="T1053" s="278"/>
      <c r="U1053" s="279"/>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8">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2"/>
      <c r="M1054" s="278"/>
      <c r="N1054" s="278"/>
      <c r="O1054" s="278"/>
      <c r="P1054" s="278"/>
      <c r="Q1054" s="278"/>
      <c r="R1054" s="278"/>
      <c r="S1054" s="278"/>
      <c r="T1054" s="278"/>
      <c r="U1054" s="279"/>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8">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2"/>
      <c r="M1055" s="278"/>
      <c r="N1055" s="278"/>
      <c r="O1055" s="278"/>
      <c r="P1055" s="278"/>
      <c r="Q1055" s="278"/>
      <c r="R1055" s="278"/>
      <c r="S1055" s="278"/>
      <c r="T1055" s="278"/>
      <c r="U1055" s="279"/>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8">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2"/>
      <c r="M1056" s="278"/>
      <c r="N1056" s="278"/>
      <c r="O1056" s="278"/>
      <c r="P1056" s="278"/>
      <c r="Q1056" s="278"/>
      <c r="R1056" s="278"/>
      <c r="S1056" s="278"/>
      <c r="T1056" s="278"/>
      <c r="U1056" s="279"/>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8">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2"/>
      <c r="M1057" s="278"/>
      <c r="N1057" s="278"/>
      <c r="O1057" s="278"/>
      <c r="P1057" s="278"/>
      <c r="Q1057" s="278"/>
      <c r="R1057" s="278"/>
      <c r="S1057" s="278"/>
      <c r="T1057" s="278"/>
      <c r="U1057" s="279"/>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8">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2"/>
      <c r="M1058" s="278"/>
      <c r="N1058" s="278"/>
      <c r="O1058" s="278"/>
      <c r="P1058" s="278"/>
      <c r="Q1058" s="278"/>
      <c r="R1058" s="278"/>
      <c r="S1058" s="278"/>
      <c r="T1058" s="278"/>
      <c r="U1058" s="279"/>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8">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2"/>
      <c r="M1059" s="278"/>
      <c r="N1059" s="278"/>
      <c r="O1059" s="278"/>
      <c r="P1059" s="278"/>
      <c r="Q1059" s="278"/>
      <c r="R1059" s="278"/>
      <c r="S1059" s="278"/>
      <c r="T1059" s="278"/>
      <c r="U1059" s="279"/>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8">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2"/>
      <c r="M1060" s="278"/>
      <c r="N1060" s="278"/>
      <c r="O1060" s="278"/>
      <c r="P1060" s="278"/>
      <c r="Q1060" s="278"/>
      <c r="R1060" s="278"/>
      <c r="S1060" s="278"/>
      <c r="T1060" s="278"/>
      <c r="U1060" s="279"/>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8">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2"/>
      <c r="M1061" s="278"/>
      <c r="N1061" s="278"/>
      <c r="O1061" s="278"/>
      <c r="P1061" s="278"/>
      <c r="Q1061" s="278"/>
      <c r="R1061" s="278"/>
      <c r="S1061" s="278"/>
      <c r="T1061" s="278"/>
      <c r="U1061" s="279"/>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8">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2"/>
      <c r="M1062" s="278"/>
      <c r="N1062" s="278"/>
      <c r="O1062" s="278"/>
      <c r="P1062" s="278"/>
      <c r="Q1062" s="278"/>
      <c r="R1062" s="278"/>
      <c r="S1062" s="278"/>
      <c r="T1062" s="278"/>
      <c r="U1062" s="279"/>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8">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2"/>
      <c r="M1063" s="278"/>
      <c r="N1063" s="278"/>
      <c r="O1063" s="278"/>
      <c r="P1063" s="278"/>
      <c r="Q1063" s="278"/>
      <c r="R1063" s="278"/>
      <c r="S1063" s="278"/>
      <c r="T1063" s="278"/>
      <c r="U1063" s="279"/>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8">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2"/>
      <c r="M1064" s="278"/>
      <c r="N1064" s="278"/>
      <c r="O1064" s="278"/>
      <c r="P1064" s="278"/>
      <c r="Q1064" s="278"/>
      <c r="R1064" s="278"/>
      <c r="S1064" s="278"/>
      <c r="T1064" s="278"/>
      <c r="U1064" s="279"/>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8">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2"/>
      <c r="M1065" s="278"/>
      <c r="N1065" s="278"/>
      <c r="O1065" s="278"/>
      <c r="P1065" s="278"/>
      <c r="Q1065" s="278"/>
      <c r="R1065" s="278"/>
      <c r="S1065" s="278"/>
      <c r="T1065" s="278"/>
      <c r="U1065" s="279"/>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8">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3"/>
      <c r="M1066" s="278"/>
      <c r="N1066" s="278"/>
      <c r="O1066" s="278"/>
      <c r="P1066" s="278"/>
      <c r="Q1066" s="278"/>
      <c r="R1066" s="278"/>
      <c r="S1066" s="278"/>
      <c r="T1066" s="278"/>
      <c r="U1066" s="279"/>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7"/>
    </row>
    <row r="1067" spans="1:53" ht="16.5" thickBot="1" x14ac:dyDescent="0.3">
      <c r="A1067" s="88"/>
      <c r="B1067" s="319" t="s">
        <v>355</v>
      </c>
      <c r="C1067" s="320"/>
      <c r="D1067" s="79"/>
      <c r="E1067" s="80"/>
      <c r="F1067" s="80"/>
      <c r="G1067" s="81"/>
      <c r="H1067" s="191"/>
      <c r="I1067" s="191"/>
      <c r="J1067" s="191"/>
      <c r="K1067" s="82"/>
      <c r="L1067" s="319" t="s">
        <v>306</v>
      </c>
      <c r="M1067" s="330"/>
      <c r="N1067" s="330"/>
      <c r="O1067" s="330"/>
      <c r="P1067" s="330"/>
      <c r="Q1067" s="330"/>
      <c r="R1067" s="330"/>
      <c r="S1067" s="330"/>
      <c r="T1067" s="330"/>
      <c r="U1067" s="320"/>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7"/>
    </row>
    <row r="1068" spans="1:53" ht="16.5" thickBot="1" x14ac:dyDescent="0.3">
      <c r="A1068" s="88"/>
      <c r="B1068" s="319" t="s">
        <v>307</v>
      </c>
      <c r="C1068" s="320"/>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5"/>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5" t="s">
        <v>210</v>
      </c>
      <c r="N1071" s="195" t="s">
        <v>211</v>
      </c>
      <c r="O1071" s="195" t="s">
        <v>212</v>
      </c>
      <c r="P1071" s="195" t="s">
        <v>213</v>
      </c>
      <c r="Q1071" s="195" t="s">
        <v>214</v>
      </c>
      <c r="R1071" s="195" t="s">
        <v>215</v>
      </c>
      <c r="S1071" s="195" t="s">
        <v>216</v>
      </c>
      <c r="T1071" s="195" t="s">
        <v>217</v>
      </c>
      <c r="U1071" s="195" t="s">
        <v>218</v>
      </c>
      <c r="V1071" s="195" t="s">
        <v>219</v>
      </c>
      <c r="W1071" s="113" t="s">
        <v>220</v>
      </c>
      <c r="X1071" s="195" t="s">
        <v>221</v>
      </c>
      <c r="Y1071" s="25"/>
      <c r="Z1071" s="25"/>
      <c r="AA1071" s="25"/>
      <c r="AB1071" s="25"/>
      <c r="AC1071" s="25"/>
      <c r="AD1071" s="25"/>
      <c r="BA1071" s="225"/>
    </row>
    <row r="1072" spans="1:53" ht="16.5" thickTop="1" thickBot="1" x14ac:dyDescent="0.3">
      <c r="A1072" s="88"/>
      <c r="B1072" s="312" t="s">
        <v>222</v>
      </c>
      <c r="C1072" s="313"/>
      <c r="D1072" s="314" t="s">
        <v>223</v>
      </c>
      <c r="E1072" s="305"/>
      <c r="F1072" s="88"/>
      <c r="G1072" s="315" t="s">
        <v>224</v>
      </c>
      <c r="H1072" s="316"/>
      <c r="I1072" s="28">
        <f>SUM(E1083:E1107)</f>
        <v>0</v>
      </c>
      <c r="J1072" s="317" t="s">
        <v>225</v>
      </c>
      <c r="K1072" s="318"/>
      <c r="L1072" s="305"/>
      <c r="M1072" s="195">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5" t="s">
        <v>226</v>
      </c>
      <c r="AA1072" s="296"/>
      <c r="AB1072" s="297"/>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5"/>
    </row>
    <row r="1073" spans="1:53" ht="16.5" customHeight="1" thickTop="1" thickBot="1" x14ac:dyDescent="0.3">
      <c r="A1073" s="88"/>
      <c r="B1073" s="29" t="s">
        <v>228</v>
      </c>
      <c r="C1073" s="30">
        <v>0</v>
      </c>
      <c r="D1073" s="31" t="s">
        <v>229</v>
      </c>
      <c r="E1073" s="66" t="str">
        <f>TEXT(IF('Cable Calculator'!ED7="","",'Cable Calculator'!ED7),)</f>
        <v/>
      </c>
      <c r="F1073" s="88"/>
      <c r="G1073" s="304" t="s">
        <v>230</v>
      </c>
      <c r="H1073" s="305"/>
      <c r="I1073" s="33">
        <f>E1074-I1072</f>
        <v>0</v>
      </c>
      <c r="J1073" s="289" t="s">
        <v>231</v>
      </c>
      <c r="K1073" s="290"/>
      <c r="L1073" s="34">
        <f>I1077</f>
        <v>0</v>
      </c>
      <c r="M1073" s="195">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298" t="s">
        <v>232</v>
      </c>
      <c r="AA1073" s="300" t="s">
        <v>233</v>
      </c>
      <c r="AB1073" s="301"/>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6"/>
    </row>
    <row r="1074" spans="1:53" ht="16.5" thickTop="1" thickBot="1" x14ac:dyDescent="0.3">
      <c r="A1074" s="88"/>
      <c r="B1074" s="36" t="s">
        <v>235</v>
      </c>
      <c r="C1074" s="37">
        <v>0</v>
      </c>
      <c r="D1074" s="38" t="s">
        <v>236</v>
      </c>
      <c r="E1074" s="32"/>
      <c r="F1074" s="88"/>
      <c r="G1074" s="291" t="s">
        <v>237</v>
      </c>
      <c r="H1074" s="292"/>
      <c r="I1074" s="35">
        <f>IF(E1074=0,0,12-(MOD(I1072,12)))</f>
        <v>0</v>
      </c>
      <c r="J1074" s="289" t="s">
        <v>238</v>
      </c>
      <c r="K1074" s="290"/>
      <c r="L1074" s="39">
        <f>I1078-I1072</f>
        <v>0</v>
      </c>
      <c r="M1074" s="195">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9"/>
      <c r="AA1074" s="302"/>
      <c r="AB1074" s="303"/>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6"/>
    </row>
    <row r="1075" spans="1:53" ht="16.5" customHeight="1" thickTop="1" thickBot="1" x14ac:dyDescent="0.3">
      <c r="A1075" s="88"/>
      <c r="B1075" s="40" t="s">
        <v>240</v>
      </c>
      <c r="C1075" s="30">
        <v>0</v>
      </c>
      <c r="D1075" s="41" t="s">
        <v>241</v>
      </c>
      <c r="E1075" s="42"/>
      <c r="F1075" s="88"/>
      <c r="G1075" s="321" t="s">
        <v>242</v>
      </c>
      <c r="H1075" s="43" t="s">
        <v>243</v>
      </c>
      <c r="I1075" s="35">
        <f>IF(E1075&lt;&gt;0,1,0)</f>
        <v>0</v>
      </c>
      <c r="J1075" s="291" t="s">
        <v>244</v>
      </c>
      <c r="K1075" s="292"/>
      <c r="L1075" s="44" t="str">
        <f>'Cable Calculator'!ED3</f>
        <v/>
      </c>
      <c r="M1075" s="195">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6"/>
    </row>
    <row r="1076" spans="1:53" ht="16.5" thickTop="1" thickBot="1" x14ac:dyDescent="0.3">
      <c r="A1076" s="88"/>
      <c r="B1076" s="29" t="s">
        <v>246</v>
      </c>
      <c r="C1076" s="37">
        <v>0</v>
      </c>
      <c r="D1076" s="41" t="s">
        <v>247</v>
      </c>
      <c r="E1076" s="42"/>
      <c r="F1076" s="88"/>
      <c r="G1076" s="322"/>
      <c r="H1076" s="47" t="s">
        <v>248</v>
      </c>
      <c r="I1076" s="35">
        <f>IF(E1075&lt;&gt;0,E1075,0)</f>
        <v>0</v>
      </c>
      <c r="J1076" s="193"/>
      <c r="K1076" s="194"/>
      <c r="L1076" s="48"/>
      <c r="M1076" s="195">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6"/>
    </row>
    <row r="1077" spans="1:53" ht="16.5" customHeight="1" thickTop="1" thickBot="1" x14ac:dyDescent="0.3">
      <c r="A1077" s="88"/>
      <c r="B1077" s="36" t="s">
        <v>249</v>
      </c>
      <c r="C1077" s="30">
        <v>0</v>
      </c>
      <c r="D1077" s="49" t="s">
        <v>250</v>
      </c>
      <c r="E1077" s="50">
        <f>E1074/12</f>
        <v>0</v>
      </c>
      <c r="F1077" s="88"/>
      <c r="G1077" s="321" t="s">
        <v>251</v>
      </c>
      <c r="H1077" s="51" t="s">
        <v>252</v>
      </c>
      <c r="I1077" s="112">
        <f>E1076</f>
        <v>0</v>
      </c>
      <c r="J1077" s="323" t="s">
        <v>253</v>
      </c>
      <c r="K1077" s="324"/>
      <c r="L1077" s="325"/>
      <c r="M1077" s="52" t="s">
        <v>254</v>
      </c>
      <c r="N1077" s="106"/>
      <c r="O1077" s="106"/>
      <c r="P1077" s="191"/>
      <c r="Q1077" s="191"/>
      <c r="R1077" s="191"/>
      <c r="S1077" s="191"/>
      <c r="T1077" s="191"/>
      <c r="U1077" s="191"/>
      <c r="V1077" s="191"/>
      <c r="W1077" s="53">
        <f>SUM(P1077:U1077)</f>
        <v>0</v>
      </c>
      <c r="X1077" s="54"/>
      <c r="Y1077" s="25"/>
      <c r="Z1077" s="45">
        <v>3</v>
      </c>
      <c r="AA1077" s="46">
        <v>25</v>
      </c>
      <c r="AB1077" s="46">
        <v>36</v>
      </c>
      <c r="AC1077" s="25"/>
      <c r="AD1077" s="25"/>
      <c r="BA1077" s="226"/>
    </row>
    <row r="1078" spans="1:53" ht="16.5" thickTop="1" thickBot="1" x14ac:dyDescent="0.3">
      <c r="A1078" s="88"/>
      <c r="B1078" s="36" t="s">
        <v>255</v>
      </c>
      <c r="C1078" s="30">
        <v>0</v>
      </c>
      <c r="D1078" s="31" t="s">
        <v>256</v>
      </c>
      <c r="E1078" s="101" t="str">
        <f>IF('Cable Calculator'!ED5="","",'Cable Calculator'!ED5)</f>
        <v/>
      </c>
      <c r="F1078" s="88"/>
      <c r="G1078" s="322"/>
      <c r="H1078" s="47" t="s">
        <v>257</v>
      </c>
      <c r="I1078" s="35" t="str">
        <f>IF(E1076="","0",IF(AND(E1073="EUC",E1074=432), I1077+(203-E1075),IF(E1076=0,0,(E1076+(E1074-E1075)-1))))</f>
        <v>0</v>
      </c>
      <c r="J1078" s="286" t="str">
        <f>IFERROR(IF(OR(E1073="EUC",E1073="SS"),"---",IF(OR(P1072,S1072),"NO 2F Tethers for RPX!",IF(OR(P1074,S1074),"NO 6F Tethers for RPX!","---"))),"---")</f>
        <v>---</v>
      </c>
      <c r="K1078" s="287"/>
      <c r="L1078" s="288"/>
      <c r="M1078" s="286" t="str">
        <f>IF(E1075&gt;60,"Dead Count &gt;60: Consider Downsize","---")</f>
        <v>---</v>
      </c>
      <c r="N1078" s="287"/>
      <c r="O1078" s="287"/>
      <c r="P1078" s="287"/>
      <c r="Q1078" s="287"/>
      <c r="R1078" s="287"/>
      <c r="S1078" s="287"/>
      <c r="T1078" s="287"/>
      <c r="U1078" s="288"/>
      <c r="V1078" s="100"/>
      <c r="W1078" s="54">
        <f>SUM(P1078:U1078)</f>
        <v>0</v>
      </c>
      <c r="X1078" s="54"/>
      <c r="Y1078" s="25"/>
      <c r="Z1078" s="45">
        <v>4</v>
      </c>
      <c r="AA1078" s="46">
        <v>37</v>
      </c>
      <c r="AB1078" s="46">
        <v>48</v>
      </c>
      <c r="AC1078" s="25"/>
      <c r="AD1078" s="25"/>
      <c r="BA1078" s="226"/>
    </row>
    <row r="1079" spans="1:53" ht="16.5" thickTop="1" thickBot="1" x14ac:dyDescent="0.3">
      <c r="A1079" s="88"/>
      <c r="B1079" s="55" t="s">
        <v>258</v>
      </c>
      <c r="C1079" s="56">
        <f>SUM(C1073:C1078)+I1072</f>
        <v>0</v>
      </c>
      <c r="D1079" s="31" t="s">
        <v>259</v>
      </c>
      <c r="E1079" s="101" t="str">
        <f>IF(AS1073="Y","DBL",IF(AS1074="Y","TRPL",IF(AS1075="Y","QUAD","")))</f>
        <v/>
      </c>
      <c r="F1079" s="88"/>
      <c r="G1079" s="191"/>
      <c r="H1079" s="57"/>
      <c r="I1079" s="191"/>
      <c r="J1079" s="286"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7"/>
      <c r="L1079" s="288"/>
      <c r="M1079" s="286" t="str">
        <f>IF(AND(OR(E1073="SS",E1073="RPX",E1073="EUC",E1073="RPX-T"),(OR(C1083="",C1083="Field SPL"))),"Cannot have FlexNap cables without tethers","---")</f>
        <v>---</v>
      </c>
      <c r="N1079" s="287"/>
      <c r="O1079" s="287"/>
      <c r="P1079" s="287"/>
      <c r="Q1079" s="287"/>
      <c r="R1079" s="287"/>
      <c r="S1079" s="287"/>
      <c r="T1079" s="287"/>
      <c r="U1079" s="288"/>
      <c r="V1079" s="25"/>
      <c r="W1079" s="58"/>
      <c r="X1079" s="58"/>
      <c r="Y1079" s="25"/>
      <c r="Z1079" s="45">
        <v>5</v>
      </c>
      <c r="AA1079" s="46">
        <v>49</v>
      </c>
      <c r="AB1079" s="46">
        <v>60</v>
      </c>
      <c r="AC1079" s="25"/>
      <c r="AD1079" s="25"/>
      <c r="BA1079" s="226"/>
    </row>
    <row r="1080" spans="1:53" ht="16.5" thickTop="1" thickBot="1" x14ac:dyDescent="0.3">
      <c r="A1080" s="88"/>
      <c r="B1080" s="59"/>
      <c r="C1080" s="60"/>
      <c r="D1080" s="61"/>
      <c r="E1080" s="62"/>
      <c r="F1080" s="88"/>
      <c r="G1080" s="63"/>
      <c r="H1080" s="64"/>
      <c r="I1080" s="63"/>
      <c r="J1080" s="286" t="str">
        <f>IF(AND(OR(E1073="RPX", E1073="RPX-T", E1073="SS"),E1074=216),"NO 216 For RPX, RPX-T, OR SS CABLE","---")</f>
        <v>---</v>
      </c>
      <c r="K1080" s="287"/>
      <c r="L1080" s="288"/>
      <c r="M1080" s="286" t="str" cm="1">
        <f t="array" ref="M1080">IF(AND(E1073="",OR(C1083:C1107="FST",C1083:C1107="REV T",C1083:C1107="DBL REV",C1083:C1107="TPL REV", C1083:C1107="QD REV")),"Non-FlexNap cables cannot have tethers","---")</f>
        <v>---</v>
      </c>
      <c r="N1080" s="287"/>
      <c r="O1080" s="287"/>
      <c r="P1080" s="287"/>
      <c r="Q1080" s="287"/>
      <c r="R1080" s="287"/>
      <c r="S1080" s="287"/>
      <c r="T1080" s="287"/>
      <c r="U1080" s="288"/>
      <c r="V1080" s="25"/>
      <c r="W1080" s="58"/>
      <c r="X1080" s="58"/>
      <c r="Y1080" s="25"/>
      <c r="Z1080" s="45">
        <v>6</v>
      </c>
      <c r="AA1080" s="65">
        <v>61</v>
      </c>
      <c r="AB1080" s="65">
        <v>72</v>
      </c>
      <c r="AC1080" s="25"/>
      <c r="AD1080" s="25"/>
      <c r="BA1080" s="225"/>
    </row>
    <row r="1081" spans="1:53" ht="15.75" customHeight="1" thickBot="1" x14ac:dyDescent="0.3">
      <c r="A1081" s="88"/>
      <c r="B1081" s="321" t="s">
        <v>260</v>
      </c>
      <c r="C1081" s="293" t="s">
        <v>261</v>
      </c>
      <c r="D1081" s="293" t="s">
        <v>262</v>
      </c>
      <c r="E1081" s="306" t="s">
        <v>263</v>
      </c>
      <c r="F1081" s="293" t="s">
        <v>264</v>
      </c>
      <c r="G1081" s="308" t="s">
        <v>265</v>
      </c>
      <c r="H1081" s="308" t="s">
        <v>266</v>
      </c>
      <c r="I1081" s="308" t="s">
        <v>267</v>
      </c>
      <c r="J1081" s="310" t="s">
        <v>268</v>
      </c>
      <c r="K1081" s="293" t="s">
        <v>269</v>
      </c>
      <c r="L1081" s="280" t="s">
        <v>270</v>
      </c>
      <c r="M1081" s="282" t="s">
        <v>271</v>
      </c>
      <c r="N1081" s="282"/>
      <c r="O1081" s="282"/>
      <c r="P1081" s="282"/>
      <c r="Q1081" s="282"/>
      <c r="R1081" s="282"/>
      <c r="S1081" s="282"/>
      <c r="T1081" s="282"/>
      <c r="U1081" s="283"/>
      <c r="V1081" s="107"/>
      <c r="W1081" s="72"/>
      <c r="X1081" s="72"/>
      <c r="Y1081" s="72"/>
      <c r="Z1081" s="45">
        <v>7</v>
      </c>
      <c r="AA1081" s="65">
        <v>73</v>
      </c>
      <c r="AB1081" s="65">
        <v>84</v>
      </c>
      <c r="AC1081" s="25"/>
      <c r="AD1081" s="25"/>
      <c r="BA1081" s="227"/>
    </row>
    <row r="1082" spans="1:53" ht="15.75" thickBot="1" x14ac:dyDescent="0.3">
      <c r="A1082" s="88"/>
      <c r="B1082" s="322"/>
      <c r="C1082" s="294"/>
      <c r="D1082" s="294"/>
      <c r="E1082" s="307"/>
      <c r="F1082" s="294"/>
      <c r="G1082" s="309"/>
      <c r="H1082" s="309"/>
      <c r="I1082" s="309"/>
      <c r="J1082" s="311"/>
      <c r="K1082" s="294"/>
      <c r="L1082" s="281"/>
      <c r="M1082" s="284"/>
      <c r="N1082" s="284"/>
      <c r="O1082" s="284"/>
      <c r="P1082" s="284"/>
      <c r="Q1082" s="284"/>
      <c r="R1082" s="284"/>
      <c r="S1082" s="284"/>
      <c r="T1082" s="284"/>
      <c r="U1082" s="285"/>
      <c r="V1082" s="107"/>
      <c r="W1082" s="72"/>
      <c r="X1082" s="72"/>
      <c r="Y1082" s="72"/>
      <c r="Z1082" s="45">
        <v>8</v>
      </c>
      <c r="AA1082" s="46">
        <v>85</v>
      </c>
      <c r="AB1082" s="46">
        <v>96</v>
      </c>
      <c r="AC1082" s="25"/>
      <c r="AD1082" s="25"/>
      <c r="AI1082" s="109" t="s">
        <v>272</v>
      </c>
      <c r="AJ1082" s="109" t="s">
        <v>273</v>
      </c>
      <c r="AK1082" s="109" t="s">
        <v>274</v>
      </c>
      <c r="AL1082" s="109" t="s">
        <v>275</v>
      </c>
      <c r="BA1082" s="227"/>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2"/>
      <c r="M1083" s="278"/>
      <c r="N1083" s="278"/>
      <c r="O1083" s="278"/>
      <c r="P1083" s="278"/>
      <c r="Q1083" s="278"/>
      <c r="R1083" s="278"/>
      <c r="S1083" s="278"/>
      <c r="T1083" s="278"/>
      <c r="U1083" s="279"/>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8">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2"/>
      <c r="M1084" s="278"/>
      <c r="N1084" s="278"/>
      <c r="O1084" s="278"/>
      <c r="P1084" s="278"/>
      <c r="Q1084" s="278"/>
      <c r="R1084" s="278"/>
      <c r="S1084" s="278"/>
      <c r="T1084" s="278"/>
      <c r="U1084" s="279"/>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8">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2"/>
      <c r="M1085" s="278"/>
      <c r="N1085" s="278"/>
      <c r="O1085" s="278"/>
      <c r="P1085" s="278"/>
      <c r="Q1085" s="278"/>
      <c r="R1085" s="278"/>
      <c r="S1085" s="278"/>
      <c r="T1085" s="278"/>
      <c r="U1085" s="279"/>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8">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2"/>
      <c r="M1086" s="278"/>
      <c r="N1086" s="278"/>
      <c r="O1086" s="278"/>
      <c r="P1086" s="278"/>
      <c r="Q1086" s="278"/>
      <c r="R1086" s="278"/>
      <c r="S1086" s="278"/>
      <c r="T1086" s="278"/>
      <c r="U1086" s="279"/>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8">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2"/>
      <c r="M1087" s="278"/>
      <c r="N1087" s="278"/>
      <c r="O1087" s="278"/>
      <c r="P1087" s="278"/>
      <c r="Q1087" s="278"/>
      <c r="R1087" s="278"/>
      <c r="S1087" s="278"/>
      <c r="T1087" s="278"/>
      <c r="U1087" s="279"/>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8">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2"/>
      <c r="M1088" s="278"/>
      <c r="N1088" s="278"/>
      <c r="O1088" s="278"/>
      <c r="P1088" s="278"/>
      <c r="Q1088" s="278"/>
      <c r="R1088" s="278"/>
      <c r="S1088" s="278"/>
      <c r="T1088" s="278"/>
      <c r="U1088" s="279"/>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8">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2"/>
      <c r="M1089" s="278"/>
      <c r="N1089" s="278"/>
      <c r="O1089" s="278"/>
      <c r="P1089" s="278"/>
      <c r="Q1089" s="278"/>
      <c r="R1089" s="278"/>
      <c r="S1089" s="278"/>
      <c r="T1089" s="278"/>
      <c r="U1089" s="279"/>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8">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2"/>
      <c r="M1090" s="278"/>
      <c r="N1090" s="278"/>
      <c r="O1090" s="278"/>
      <c r="P1090" s="278"/>
      <c r="Q1090" s="278"/>
      <c r="R1090" s="278"/>
      <c r="S1090" s="278"/>
      <c r="T1090" s="278"/>
      <c r="U1090" s="279"/>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8">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2"/>
      <c r="M1091" s="278"/>
      <c r="N1091" s="278"/>
      <c r="O1091" s="278"/>
      <c r="P1091" s="278"/>
      <c r="Q1091" s="278"/>
      <c r="R1091" s="278"/>
      <c r="S1091" s="278"/>
      <c r="T1091" s="278"/>
      <c r="U1091" s="279"/>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8">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2"/>
      <c r="M1092" s="278"/>
      <c r="N1092" s="278"/>
      <c r="O1092" s="278"/>
      <c r="P1092" s="278"/>
      <c r="Q1092" s="278"/>
      <c r="R1092" s="278"/>
      <c r="S1092" s="278"/>
      <c r="T1092" s="278"/>
      <c r="U1092" s="279"/>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8">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2"/>
      <c r="M1093" s="278"/>
      <c r="N1093" s="278"/>
      <c r="O1093" s="278"/>
      <c r="P1093" s="278"/>
      <c r="Q1093" s="278"/>
      <c r="R1093" s="278"/>
      <c r="S1093" s="278"/>
      <c r="T1093" s="278"/>
      <c r="U1093" s="279"/>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8">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2"/>
      <c r="M1094" s="278"/>
      <c r="N1094" s="278"/>
      <c r="O1094" s="278"/>
      <c r="P1094" s="278"/>
      <c r="Q1094" s="278"/>
      <c r="R1094" s="278"/>
      <c r="S1094" s="278"/>
      <c r="T1094" s="278"/>
      <c r="U1094" s="279"/>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8">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2"/>
      <c r="M1095" s="278"/>
      <c r="N1095" s="278"/>
      <c r="O1095" s="278"/>
      <c r="P1095" s="278"/>
      <c r="Q1095" s="278"/>
      <c r="R1095" s="278"/>
      <c r="S1095" s="278"/>
      <c r="T1095" s="278"/>
      <c r="U1095" s="279"/>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8">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2"/>
      <c r="M1096" s="278"/>
      <c r="N1096" s="278"/>
      <c r="O1096" s="278"/>
      <c r="P1096" s="278"/>
      <c r="Q1096" s="278"/>
      <c r="R1096" s="278"/>
      <c r="S1096" s="278"/>
      <c r="T1096" s="278"/>
      <c r="U1096" s="279"/>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8">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2"/>
      <c r="M1097" s="278"/>
      <c r="N1097" s="278"/>
      <c r="O1097" s="278"/>
      <c r="P1097" s="278"/>
      <c r="Q1097" s="278"/>
      <c r="R1097" s="278"/>
      <c r="S1097" s="278"/>
      <c r="T1097" s="278"/>
      <c r="U1097" s="279"/>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8">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2"/>
      <c r="M1098" s="278"/>
      <c r="N1098" s="278"/>
      <c r="O1098" s="278"/>
      <c r="P1098" s="278"/>
      <c r="Q1098" s="278"/>
      <c r="R1098" s="278"/>
      <c r="S1098" s="278"/>
      <c r="T1098" s="278"/>
      <c r="U1098" s="279"/>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8">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2"/>
      <c r="M1099" s="278"/>
      <c r="N1099" s="278"/>
      <c r="O1099" s="278"/>
      <c r="P1099" s="278"/>
      <c r="Q1099" s="278"/>
      <c r="R1099" s="278"/>
      <c r="S1099" s="278"/>
      <c r="T1099" s="278"/>
      <c r="U1099" s="279"/>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8">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2"/>
      <c r="M1100" s="278"/>
      <c r="N1100" s="278"/>
      <c r="O1100" s="278"/>
      <c r="P1100" s="278"/>
      <c r="Q1100" s="278"/>
      <c r="R1100" s="278"/>
      <c r="S1100" s="278"/>
      <c r="T1100" s="278"/>
      <c r="U1100" s="279"/>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8">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2"/>
      <c r="M1101" s="278"/>
      <c r="N1101" s="278"/>
      <c r="O1101" s="278"/>
      <c r="P1101" s="278"/>
      <c r="Q1101" s="278"/>
      <c r="R1101" s="278"/>
      <c r="S1101" s="278"/>
      <c r="T1101" s="278"/>
      <c r="U1101" s="279"/>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8">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2"/>
      <c r="M1102" s="278"/>
      <c r="N1102" s="278"/>
      <c r="O1102" s="278"/>
      <c r="P1102" s="278"/>
      <c r="Q1102" s="278"/>
      <c r="R1102" s="278"/>
      <c r="S1102" s="278"/>
      <c r="T1102" s="278"/>
      <c r="U1102" s="279"/>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8">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2"/>
      <c r="M1103" s="278"/>
      <c r="N1103" s="278"/>
      <c r="O1103" s="278"/>
      <c r="P1103" s="278"/>
      <c r="Q1103" s="278"/>
      <c r="R1103" s="278"/>
      <c r="S1103" s="278"/>
      <c r="T1103" s="278"/>
      <c r="U1103" s="279"/>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8">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2"/>
      <c r="M1104" s="278"/>
      <c r="N1104" s="278"/>
      <c r="O1104" s="278"/>
      <c r="P1104" s="278"/>
      <c r="Q1104" s="278"/>
      <c r="R1104" s="278"/>
      <c r="S1104" s="278"/>
      <c r="T1104" s="278"/>
      <c r="U1104" s="279"/>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8">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2"/>
      <c r="M1105" s="278"/>
      <c r="N1105" s="278"/>
      <c r="O1105" s="278"/>
      <c r="P1105" s="278"/>
      <c r="Q1105" s="278"/>
      <c r="R1105" s="278"/>
      <c r="S1105" s="278"/>
      <c r="T1105" s="278"/>
      <c r="U1105" s="279"/>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8">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2"/>
      <c r="M1106" s="278"/>
      <c r="N1106" s="278"/>
      <c r="O1106" s="278"/>
      <c r="P1106" s="278"/>
      <c r="Q1106" s="278"/>
      <c r="R1106" s="278"/>
      <c r="S1106" s="278"/>
      <c r="T1106" s="278"/>
      <c r="U1106" s="279"/>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8">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3"/>
      <c r="M1107" s="278"/>
      <c r="N1107" s="278"/>
      <c r="O1107" s="278"/>
      <c r="P1107" s="278"/>
      <c r="Q1107" s="278"/>
      <c r="R1107" s="278"/>
      <c r="S1107" s="278"/>
      <c r="T1107" s="278"/>
      <c r="U1107" s="279"/>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7"/>
    </row>
    <row r="1108" spans="1:53" ht="16.5" thickBot="1" x14ac:dyDescent="0.3">
      <c r="A1108" s="88"/>
      <c r="B1108" s="319" t="s">
        <v>357</v>
      </c>
      <c r="C1108" s="320"/>
      <c r="D1108" s="79"/>
      <c r="E1108" s="80"/>
      <c r="F1108" s="80"/>
      <c r="G1108" s="81"/>
      <c r="H1108" s="191"/>
      <c r="I1108" s="191"/>
      <c r="J1108" s="191"/>
      <c r="K1108" s="82"/>
      <c r="L1108" s="319" t="s">
        <v>306</v>
      </c>
      <c r="M1108" s="330"/>
      <c r="N1108" s="330"/>
      <c r="O1108" s="330"/>
      <c r="P1108" s="330"/>
      <c r="Q1108" s="330"/>
      <c r="R1108" s="330"/>
      <c r="S1108" s="330"/>
      <c r="T1108" s="330"/>
      <c r="U1108" s="320"/>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7"/>
    </row>
    <row r="1109" spans="1:53" ht="16.5" thickBot="1" x14ac:dyDescent="0.3">
      <c r="A1109" s="88"/>
      <c r="B1109" s="319" t="s">
        <v>307</v>
      </c>
      <c r="C1109" s="320"/>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5"/>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5" t="s">
        <v>210</v>
      </c>
      <c r="N1112" s="195" t="s">
        <v>211</v>
      </c>
      <c r="O1112" s="195" t="s">
        <v>212</v>
      </c>
      <c r="P1112" s="195" t="s">
        <v>213</v>
      </c>
      <c r="Q1112" s="195" t="s">
        <v>214</v>
      </c>
      <c r="R1112" s="195" t="s">
        <v>215</v>
      </c>
      <c r="S1112" s="195" t="s">
        <v>216</v>
      </c>
      <c r="T1112" s="195" t="s">
        <v>217</v>
      </c>
      <c r="U1112" s="195" t="s">
        <v>218</v>
      </c>
      <c r="V1112" s="195" t="s">
        <v>219</v>
      </c>
      <c r="W1112" s="113" t="s">
        <v>220</v>
      </c>
      <c r="X1112" s="195" t="s">
        <v>221</v>
      </c>
      <c r="Y1112" s="25"/>
      <c r="Z1112" s="25"/>
      <c r="AA1112" s="25"/>
      <c r="AB1112" s="25"/>
      <c r="AC1112" s="25"/>
      <c r="AD1112" s="25"/>
      <c r="BA1112" s="225"/>
    </row>
    <row r="1113" spans="1:53" ht="16.5" thickTop="1" thickBot="1" x14ac:dyDescent="0.3">
      <c r="A1113" s="88"/>
      <c r="B1113" s="312" t="s">
        <v>222</v>
      </c>
      <c r="C1113" s="313"/>
      <c r="D1113" s="314" t="s">
        <v>223</v>
      </c>
      <c r="E1113" s="305"/>
      <c r="F1113" s="88"/>
      <c r="G1113" s="315" t="s">
        <v>224</v>
      </c>
      <c r="H1113" s="316"/>
      <c r="I1113" s="28">
        <f>SUM(E1124:E1148)</f>
        <v>0</v>
      </c>
      <c r="J1113" s="317" t="s">
        <v>225</v>
      </c>
      <c r="K1113" s="318"/>
      <c r="L1113" s="305"/>
      <c r="M1113" s="195">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5" t="s">
        <v>226</v>
      </c>
      <c r="AA1113" s="296"/>
      <c r="AB1113" s="297"/>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5"/>
    </row>
    <row r="1114" spans="1:53" ht="16.5" customHeight="1" thickTop="1" thickBot="1" x14ac:dyDescent="0.3">
      <c r="A1114" s="88"/>
      <c r="B1114" s="29" t="s">
        <v>228</v>
      </c>
      <c r="C1114" s="30">
        <v>0</v>
      </c>
      <c r="D1114" s="31" t="s">
        <v>229</v>
      </c>
      <c r="E1114" s="66" t="str">
        <f>TEXT(IF('Cable Calculator'!EI7="","",'Cable Calculator'!EI7),)</f>
        <v/>
      </c>
      <c r="F1114" s="88"/>
      <c r="G1114" s="304" t="s">
        <v>230</v>
      </c>
      <c r="H1114" s="305"/>
      <c r="I1114" s="33">
        <f>E1115-I1113</f>
        <v>0</v>
      </c>
      <c r="J1114" s="289" t="s">
        <v>231</v>
      </c>
      <c r="K1114" s="290"/>
      <c r="L1114" s="34">
        <f>I1118</f>
        <v>0</v>
      </c>
      <c r="M1114" s="195">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298" t="s">
        <v>232</v>
      </c>
      <c r="AA1114" s="300" t="s">
        <v>233</v>
      </c>
      <c r="AB1114" s="301"/>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6"/>
    </row>
    <row r="1115" spans="1:53" ht="16.5" thickTop="1" thickBot="1" x14ac:dyDescent="0.3">
      <c r="A1115" s="88"/>
      <c r="B1115" s="36" t="s">
        <v>235</v>
      </c>
      <c r="C1115" s="37">
        <v>0</v>
      </c>
      <c r="D1115" s="38" t="s">
        <v>236</v>
      </c>
      <c r="E1115" s="32"/>
      <c r="F1115" s="88"/>
      <c r="G1115" s="291" t="s">
        <v>237</v>
      </c>
      <c r="H1115" s="292"/>
      <c r="I1115" s="35">
        <f>IF(E1115=0,0,12-(MOD(I1113,12)))</f>
        <v>0</v>
      </c>
      <c r="J1115" s="289" t="s">
        <v>238</v>
      </c>
      <c r="K1115" s="290"/>
      <c r="L1115" s="39">
        <f>I1119-I1113</f>
        <v>0</v>
      </c>
      <c r="M1115" s="195">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9"/>
      <c r="AA1115" s="302"/>
      <c r="AB1115" s="303"/>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6"/>
    </row>
    <row r="1116" spans="1:53" ht="16.5" customHeight="1" thickTop="1" thickBot="1" x14ac:dyDescent="0.3">
      <c r="A1116" s="88"/>
      <c r="B1116" s="40" t="s">
        <v>240</v>
      </c>
      <c r="C1116" s="30">
        <v>0</v>
      </c>
      <c r="D1116" s="41" t="s">
        <v>241</v>
      </c>
      <c r="E1116" s="42"/>
      <c r="F1116" s="88"/>
      <c r="G1116" s="321" t="s">
        <v>242</v>
      </c>
      <c r="H1116" s="43" t="s">
        <v>243</v>
      </c>
      <c r="I1116" s="35">
        <f>IF(E1116&lt;&gt;0,1,0)</f>
        <v>0</v>
      </c>
      <c r="J1116" s="291" t="s">
        <v>244</v>
      </c>
      <c r="K1116" s="292"/>
      <c r="L1116" s="44" t="str">
        <f>'Cable Calculator'!EI3</f>
        <v/>
      </c>
      <c r="M1116" s="195">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6"/>
    </row>
    <row r="1117" spans="1:53" ht="16.5" thickTop="1" thickBot="1" x14ac:dyDescent="0.3">
      <c r="A1117" s="88"/>
      <c r="B1117" s="29" t="s">
        <v>246</v>
      </c>
      <c r="C1117" s="37">
        <v>0</v>
      </c>
      <c r="D1117" s="41" t="s">
        <v>247</v>
      </c>
      <c r="E1117" s="42"/>
      <c r="F1117" s="88"/>
      <c r="G1117" s="322"/>
      <c r="H1117" s="47" t="s">
        <v>248</v>
      </c>
      <c r="I1117" s="35">
        <f>IF(E1116&lt;&gt;0,E1116,0)</f>
        <v>0</v>
      </c>
      <c r="J1117" s="193"/>
      <c r="K1117" s="194"/>
      <c r="L1117" s="48"/>
      <c r="M1117" s="195">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6"/>
    </row>
    <row r="1118" spans="1:53" ht="16.5" customHeight="1" thickTop="1" thickBot="1" x14ac:dyDescent="0.3">
      <c r="A1118" s="88"/>
      <c r="B1118" s="36" t="s">
        <v>249</v>
      </c>
      <c r="C1118" s="30">
        <v>0</v>
      </c>
      <c r="D1118" s="49" t="s">
        <v>250</v>
      </c>
      <c r="E1118" s="50">
        <f>E1115/12</f>
        <v>0</v>
      </c>
      <c r="F1118" s="88"/>
      <c r="G1118" s="321" t="s">
        <v>251</v>
      </c>
      <c r="H1118" s="51" t="s">
        <v>252</v>
      </c>
      <c r="I1118" s="112">
        <f>E1117</f>
        <v>0</v>
      </c>
      <c r="J1118" s="323" t="s">
        <v>253</v>
      </c>
      <c r="K1118" s="324"/>
      <c r="L1118" s="325"/>
      <c r="M1118" s="52" t="s">
        <v>254</v>
      </c>
      <c r="N1118" s="106"/>
      <c r="O1118" s="106"/>
      <c r="P1118" s="191"/>
      <c r="Q1118" s="191"/>
      <c r="R1118" s="191"/>
      <c r="S1118" s="191"/>
      <c r="T1118" s="191"/>
      <c r="U1118" s="191"/>
      <c r="V1118" s="191"/>
      <c r="W1118" s="53">
        <f>SUM(P1118:U1118)</f>
        <v>0</v>
      </c>
      <c r="X1118" s="54"/>
      <c r="Y1118" s="25"/>
      <c r="Z1118" s="45">
        <v>3</v>
      </c>
      <c r="AA1118" s="46">
        <v>25</v>
      </c>
      <c r="AB1118" s="46">
        <v>36</v>
      </c>
      <c r="AC1118" s="25"/>
      <c r="AD1118" s="25"/>
      <c r="BA1118" s="226"/>
    </row>
    <row r="1119" spans="1:53" ht="16.5" thickTop="1" thickBot="1" x14ac:dyDescent="0.3">
      <c r="A1119" s="88"/>
      <c r="B1119" s="36" t="s">
        <v>255</v>
      </c>
      <c r="C1119" s="30">
        <v>0</v>
      </c>
      <c r="D1119" s="31" t="s">
        <v>256</v>
      </c>
      <c r="E1119" s="101" t="str">
        <f>IF('Cable Calculator'!EI5="","",'Cable Calculator'!EI5)</f>
        <v/>
      </c>
      <c r="F1119" s="88"/>
      <c r="G1119" s="322"/>
      <c r="H1119" s="47" t="s">
        <v>257</v>
      </c>
      <c r="I1119" s="35" t="str">
        <f>IF(E1117="","0",IF(AND(E1114="EUC",E1115=432), I1118+(203-E1116),IF(E1117=0,0,(E1117+(E1115-E1116)-1))))</f>
        <v>0</v>
      </c>
      <c r="J1119" s="286" t="str">
        <f>IFERROR(IF(OR(E1114="EUC",E1114="SS"),"---",IF(OR(P1113,S1113),"NO 2F Tethers for RPX!",IF(OR(P1115,S1115),"NO 6F Tethers for RPX!","---"))),"---")</f>
        <v>---</v>
      </c>
      <c r="K1119" s="287"/>
      <c r="L1119" s="288"/>
      <c r="M1119" s="286" t="str">
        <f>IF(E1116&gt;60,"Dead Count &gt;60: Consider Downsize","---")</f>
        <v>---</v>
      </c>
      <c r="N1119" s="287"/>
      <c r="O1119" s="287"/>
      <c r="P1119" s="287"/>
      <c r="Q1119" s="287"/>
      <c r="R1119" s="287"/>
      <c r="S1119" s="287"/>
      <c r="T1119" s="287"/>
      <c r="U1119" s="288"/>
      <c r="V1119" s="100"/>
      <c r="W1119" s="54">
        <f>SUM(P1119:U1119)</f>
        <v>0</v>
      </c>
      <c r="X1119" s="54"/>
      <c r="Y1119" s="25"/>
      <c r="Z1119" s="45">
        <v>4</v>
      </c>
      <c r="AA1119" s="46">
        <v>37</v>
      </c>
      <c r="AB1119" s="46">
        <v>48</v>
      </c>
      <c r="AC1119" s="25"/>
      <c r="AD1119" s="25"/>
      <c r="BA1119" s="226"/>
    </row>
    <row r="1120" spans="1:53" ht="16.5" thickTop="1" thickBot="1" x14ac:dyDescent="0.3">
      <c r="A1120" s="88"/>
      <c r="B1120" s="55" t="s">
        <v>258</v>
      </c>
      <c r="C1120" s="56">
        <f>SUM(C1114:C1119)+I1113</f>
        <v>0</v>
      </c>
      <c r="D1120" s="31" t="s">
        <v>259</v>
      </c>
      <c r="E1120" s="101" t="str">
        <f>IF(AS1114="Y","DBL",IF(AS1115="Y","TRPL",IF(AS1116="Y","QUAD","")))</f>
        <v/>
      </c>
      <c r="F1120" s="88"/>
      <c r="G1120" s="191"/>
      <c r="H1120" s="57"/>
      <c r="I1120" s="191"/>
      <c r="J1120" s="286"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7"/>
      <c r="L1120" s="288"/>
      <c r="M1120" s="286" t="str">
        <f>IF(AND(OR(E1114="SS",E1114="RPX",E1114="EUC",E1114="RPX-T"),(OR(C1124="",C1124="Field SPL"))),"Cannot have FlexNap cables without tethers","---")</f>
        <v>---</v>
      </c>
      <c r="N1120" s="287"/>
      <c r="O1120" s="287"/>
      <c r="P1120" s="287"/>
      <c r="Q1120" s="287"/>
      <c r="R1120" s="287"/>
      <c r="S1120" s="287"/>
      <c r="T1120" s="287"/>
      <c r="U1120" s="288"/>
      <c r="V1120" s="25"/>
      <c r="W1120" s="58"/>
      <c r="X1120" s="58"/>
      <c r="Y1120" s="25"/>
      <c r="Z1120" s="45">
        <v>5</v>
      </c>
      <c r="AA1120" s="46">
        <v>49</v>
      </c>
      <c r="AB1120" s="46">
        <v>60</v>
      </c>
      <c r="AC1120" s="25"/>
      <c r="AD1120" s="25"/>
      <c r="BA1120" s="226"/>
    </row>
    <row r="1121" spans="1:53" ht="16.5" thickTop="1" thickBot="1" x14ac:dyDescent="0.3">
      <c r="A1121" s="88"/>
      <c r="B1121" s="59"/>
      <c r="C1121" s="60"/>
      <c r="D1121" s="61"/>
      <c r="E1121" s="62"/>
      <c r="F1121" s="88"/>
      <c r="G1121" s="63"/>
      <c r="H1121" s="64"/>
      <c r="I1121" s="63"/>
      <c r="J1121" s="286" t="str">
        <f>IF(AND(OR(E1114="RPX", E1114="RPX-T", E1114="SS"),E1115=216),"NO 216 For RPX, RPX-T, OR SS CABLE","---")</f>
        <v>---</v>
      </c>
      <c r="K1121" s="287"/>
      <c r="L1121" s="288"/>
      <c r="M1121" s="286" t="str" cm="1">
        <f t="array" ref="M1121">IF(AND(E1114="",OR(C1124:C1148="FST",C1124:C1148="REV T",C1124:C1148="DBL REV",C1124:C1148="TPL REV", C1124:C1148="QD REV")),"Non-FlexNap cables cannot have tethers","---")</f>
        <v>---</v>
      </c>
      <c r="N1121" s="287"/>
      <c r="O1121" s="287"/>
      <c r="P1121" s="287"/>
      <c r="Q1121" s="287"/>
      <c r="R1121" s="287"/>
      <c r="S1121" s="287"/>
      <c r="T1121" s="287"/>
      <c r="U1121" s="288"/>
      <c r="V1121" s="25"/>
      <c r="W1121" s="58"/>
      <c r="X1121" s="58"/>
      <c r="Y1121" s="25"/>
      <c r="Z1121" s="45">
        <v>6</v>
      </c>
      <c r="AA1121" s="65">
        <v>61</v>
      </c>
      <c r="AB1121" s="65">
        <v>72</v>
      </c>
      <c r="AC1121" s="25"/>
      <c r="AD1121" s="25"/>
      <c r="BA1121" s="225"/>
    </row>
    <row r="1122" spans="1:53" ht="15.75" customHeight="1" thickBot="1" x14ac:dyDescent="0.3">
      <c r="A1122" s="88"/>
      <c r="B1122" s="321" t="s">
        <v>260</v>
      </c>
      <c r="C1122" s="293" t="s">
        <v>261</v>
      </c>
      <c r="D1122" s="293" t="s">
        <v>262</v>
      </c>
      <c r="E1122" s="306" t="s">
        <v>263</v>
      </c>
      <c r="F1122" s="293" t="s">
        <v>264</v>
      </c>
      <c r="G1122" s="308" t="s">
        <v>265</v>
      </c>
      <c r="H1122" s="308" t="s">
        <v>266</v>
      </c>
      <c r="I1122" s="308" t="s">
        <v>267</v>
      </c>
      <c r="J1122" s="310" t="s">
        <v>268</v>
      </c>
      <c r="K1122" s="293" t="s">
        <v>269</v>
      </c>
      <c r="L1122" s="280" t="s">
        <v>270</v>
      </c>
      <c r="M1122" s="282" t="s">
        <v>271</v>
      </c>
      <c r="N1122" s="282"/>
      <c r="O1122" s="282"/>
      <c r="P1122" s="282"/>
      <c r="Q1122" s="282"/>
      <c r="R1122" s="282"/>
      <c r="S1122" s="282"/>
      <c r="T1122" s="282"/>
      <c r="U1122" s="283"/>
      <c r="V1122" s="107"/>
      <c r="W1122" s="72"/>
      <c r="X1122" s="72"/>
      <c r="Y1122" s="72"/>
      <c r="Z1122" s="45">
        <v>7</v>
      </c>
      <c r="AA1122" s="65">
        <v>73</v>
      </c>
      <c r="AB1122" s="65">
        <v>84</v>
      </c>
      <c r="AC1122" s="25"/>
      <c r="AD1122" s="25"/>
      <c r="BA1122" s="227"/>
    </row>
    <row r="1123" spans="1:53" ht="15.75" thickBot="1" x14ac:dyDescent="0.3">
      <c r="A1123" s="88"/>
      <c r="B1123" s="322"/>
      <c r="C1123" s="294"/>
      <c r="D1123" s="294"/>
      <c r="E1123" s="307"/>
      <c r="F1123" s="294"/>
      <c r="G1123" s="309"/>
      <c r="H1123" s="309"/>
      <c r="I1123" s="309"/>
      <c r="J1123" s="311"/>
      <c r="K1123" s="294"/>
      <c r="L1123" s="281"/>
      <c r="M1123" s="284"/>
      <c r="N1123" s="284"/>
      <c r="O1123" s="284"/>
      <c r="P1123" s="284"/>
      <c r="Q1123" s="284"/>
      <c r="R1123" s="284"/>
      <c r="S1123" s="284"/>
      <c r="T1123" s="284"/>
      <c r="U1123" s="285"/>
      <c r="V1123" s="107"/>
      <c r="W1123" s="72"/>
      <c r="X1123" s="72"/>
      <c r="Y1123" s="72"/>
      <c r="Z1123" s="45">
        <v>8</v>
      </c>
      <c r="AA1123" s="46">
        <v>85</v>
      </c>
      <c r="AB1123" s="46">
        <v>96</v>
      </c>
      <c r="AC1123" s="25"/>
      <c r="AD1123" s="25"/>
      <c r="AI1123" s="109" t="s">
        <v>272</v>
      </c>
      <c r="AJ1123" s="109" t="s">
        <v>273</v>
      </c>
      <c r="AK1123" s="109" t="s">
        <v>274</v>
      </c>
      <c r="AL1123" s="109" t="s">
        <v>275</v>
      </c>
      <c r="BA1123" s="227"/>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2"/>
      <c r="M1124" s="278"/>
      <c r="N1124" s="278"/>
      <c r="O1124" s="278"/>
      <c r="P1124" s="278"/>
      <c r="Q1124" s="278"/>
      <c r="R1124" s="278"/>
      <c r="S1124" s="278"/>
      <c r="T1124" s="278"/>
      <c r="U1124" s="279"/>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8">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2"/>
      <c r="M1125" s="278"/>
      <c r="N1125" s="278"/>
      <c r="O1125" s="278"/>
      <c r="P1125" s="278"/>
      <c r="Q1125" s="278"/>
      <c r="R1125" s="278"/>
      <c r="S1125" s="278"/>
      <c r="T1125" s="278"/>
      <c r="U1125" s="279"/>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8">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2"/>
      <c r="M1126" s="278"/>
      <c r="N1126" s="278"/>
      <c r="O1126" s="278"/>
      <c r="P1126" s="278"/>
      <c r="Q1126" s="278"/>
      <c r="R1126" s="278"/>
      <c r="S1126" s="278"/>
      <c r="T1126" s="278"/>
      <c r="U1126" s="279"/>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8">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2"/>
      <c r="M1127" s="278"/>
      <c r="N1127" s="278"/>
      <c r="O1127" s="278"/>
      <c r="P1127" s="278"/>
      <c r="Q1127" s="278"/>
      <c r="R1127" s="278"/>
      <c r="S1127" s="278"/>
      <c r="T1127" s="278"/>
      <c r="U1127" s="279"/>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8">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2"/>
      <c r="M1128" s="278"/>
      <c r="N1128" s="278"/>
      <c r="O1128" s="278"/>
      <c r="P1128" s="278"/>
      <c r="Q1128" s="278"/>
      <c r="R1128" s="278"/>
      <c r="S1128" s="278"/>
      <c r="T1128" s="278"/>
      <c r="U1128" s="279"/>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8">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2"/>
      <c r="M1129" s="278"/>
      <c r="N1129" s="278"/>
      <c r="O1129" s="278"/>
      <c r="P1129" s="278"/>
      <c r="Q1129" s="278"/>
      <c r="R1129" s="278"/>
      <c r="S1129" s="278"/>
      <c r="T1129" s="278"/>
      <c r="U1129" s="279"/>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8">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2"/>
      <c r="M1130" s="278"/>
      <c r="N1130" s="278"/>
      <c r="O1130" s="278"/>
      <c r="P1130" s="278"/>
      <c r="Q1130" s="278"/>
      <c r="R1130" s="278"/>
      <c r="S1130" s="278"/>
      <c r="T1130" s="278"/>
      <c r="U1130" s="279"/>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8">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2"/>
      <c r="M1131" s="278"/>
      <c r="N1131" s="278"/>
      <c r="O1131" s="278"/>
      <c r="P1131" s="278"/>
      <c r="Q1131" s="278"/>
      <c r="R1131" s="278"/>
      <c r="S1131" s="278"/>
      <c r="T1131" s="278"/>
      <c r="U1131" s="279"/>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8">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2"/>
      <c r="M1132" s="278"/>
      <c r="N1132" s="278"/>
      <c r="O1132" s="278"/>
      <c r="P1132" s="278"/>
      <c r="Q1132" s="278"/>
      <c r="R1132" s="278"/>
      <c r="S1132" s="278"/>
      <c r="T1132" s="278"/>
      <c r="U1132" s="279"/>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8">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2"/>
      <c r="M1133" s="278"/>
      <c r="N1133" s="278"/>
      <c r="O1133" s="278"/>
      <c r="P1133" s="278"/>
      <c r="Q1133" s="278"/>
      <c r="R1133" s="278"/>
      <c r="S1133" s="278"/>
      <c r="T1133" s="278"/>
      <c r="U1133" s="279"/>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8">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2"/>
      <c r="M1134" s="278"/>
      <c r="N1134" s="278"/>
      <c r="O1134" s="278"/>
      <c r="P1134" s="278"/>
      <c r="Q1134" s="278"/>
      <c r="R1134" s="278"/>
      <c r="S1134" s="278"/>
      <c r="T1134" s="278"/>
      <c r="U1134" s="279"/>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8">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2"/>
      <c r="M1135" s="278"/>
      <c r="N1135" s="278"/>
      <c r="O1135" s="278"/>
      <c r="P1135" s="278"/>
      <c r="Q1135" s="278"/>
      <c r="R1135" s="278"/>
      <c r="S1135" s="278"/>
      <c r="T1135" s="278"/>
      <c r="U1135" s="279"/>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8">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2"/>
      <c r="M1136" s="278"/>
      <c r="N1136" s="278"/>
      <c r="O1136" s="278"/>
      <c r="P1136" s="278"/>
      <c r="Q1136" s="278"/>
      <c r="R1136" s="278"/>
      <c r="S1136" s="278"/>
      <c r="T1136" s="278"/>
      <c r="U1136" s="279"/>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8">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2"/>
      <c r="M1137" s="278"/>
      <c r="N1137" s="278"/>
      <c r="O1137" s="278"/>
      <c r="P1137" s="278"/>
      <c r="Q1137" s="278"/>
      <c r="R1137" s="278"/>
      <c r="S1137" s="278"/>
      <c r="T1137" s="278"/>
      <c r="U1137" s="279"/>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8">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2"/>
      <c r="M1138" s="278"/>
      <c r="N1138" s="278"/>
      <c r="O1138" s="278"/>
      <c r="P1138" s="278"/>
      <c r="Q1138" s="278"/>
      <c r="R1138" s="278"/>
      <c r="S1138" s="278"/>
      <c r="T1138" s="278"/>
      <c r="U1138" s="279"/>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8">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2"/>
      <c r="M1139" s="278"/>
      <c r="N1139" s="278"/>
      <c r="O1139" s="278"/>
      <c r="P1139" s="278"/>
      <c r="Q1139" s="278"/>
      <c r="R1139" s="278"/>
      <c r="S1139" s="278"/>
      <c r="T1139" s="278"/>
      <c r="U1139" s="279"/>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8">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2"/>
      <c r="M1140" s="278"/>
      <c r="N1140" s="278"/>
      <c r="O1140" s="278"/>
      <c r="P1140" s="278"/>
      <c r="Q1140" s="278"/>
      <c r="R1140" s="278"/>
      <c r="S1140" s="278"/>
      <c r="T1140" s="278"/>
      <c r="U1140" s="279"/>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8">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2"/>
      <c r="M1141" s="278"/>
      <c r="N1141" s="278"/>
      <c r="O1141" s="278"/>
      <c r="P1141" s="278"/>
      <c r="Q1141" s="278"/>
      <c r="R1141" s="278"/>
      <c r="S1141" s="278"/>
      <c r="T1141" s="278"/>
      <c r="U1141" s="279"/>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8">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2"/>
      <c r="M1142" s="278"/>
      <c r="N1142" s="278"/>
      <c r="O1142" s="278"/>
      <c r="P1142" s="278"/>
      <c r="Q1142" s="278"/>
      <c r="R1142" s="278"/>
      <c r="S1142" s="278"/>
      <c r="T1142" s="278"/>
      <c r="U1142" s="279"/>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8">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2"/>
      <c r="M1143" s="278"/>
      <c r="N1143" s="278"/>
      <c r="O1143" s="278"/>
      <c r="P1143" s="278"/>
      <c r="Q1143" s="278"/>
      <c r="R1143" s="278"/>
      <c r="S1143" s="278"/>
      <c r="T1143" s="278"/>
      <c r="U1143" s="279"/>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8">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2"/>
      <c r="M1144" s="278"/>
      <c r="N1144" s="278"/>
      <c r="O1144" s="278"/>
      <c r="P1144" s="278"/>
      <c r="Q1144" s="278"/>
      <c r="R1144" s="278"/>
      <c r="S1144" s="278"/>
      <c r="T1144" s="278"/>
      <c r="U1144" s="279"/>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8">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2"/>
      <c r="M1145" s="278"/>
      <c r="N1145" s="278"/>
      <c r="O1145" s="278"/>
      <c r="P1145" s="278"/>
      <c r="Q1145" s="278"/>
      <c r="R1145" s="278"/>
      <c r="S1145" s="278"/>
      <c r="T1145" s="278"/>
      <c r="U1145" s="279"/>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8">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2"/>
      <c r="M1146" s="278"/>
      <c r="N1146" s="278"/>
      <c r="O1146" s="278"/>
      <c r="P1146" s="278"/>
      <c r="Q1146" s="278"/>
      <c r="R1146" s="278"/>
      <c r="S1146" s="278"/>
      <c r="T1146" s="278"/>
      <c r="U1146" s="279"/>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8">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2"/>
      <c r="M1147" s="278"/>
      <c r="N1147" s="278"/>
      <c r="O1147" s="278"/>
      <c r="P1147" s="278"/>
      <c r="Q1147" s="278"/>
      <c r="R1147" s="278"/>
      <c r="S1147" s="278"/>
      <c r="T1147" s="278"/>
      <c r="U1147" s="279"/>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8">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3"/>
      <c r="M1148" s="278"/>
      <c r="N1148" s="278"/>
      <c r="O1148" s="278"/>
      <c r="P1148" s="278"/>
      <c r="Q1148" s="278"/>
      <c r="R1148" s="278"/>
      <c r="S1148" s="278"/>
      <c r="T1148" s="278"/>
      <c r="U1148" s="279"/>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7"/>
    </row>
    <row r="1149" spans="1:53" ht="16.5" thickBot="1" x14ac:dyDescent="0.3">
      <c r="A1149" s="88"/>
      <c r="B1149" s="319" t="s">
        <v>359</v>
      </c>
      <c r="C1149" s="320"/>
      <c r="D1149" s="79"/>
      <c r="E1149" s="80"/>
      <c r="F1149" s="80"/>
      <c r="G1149" s="81"/>
      <c r="H1149" s="191"/>
      <c r="I1149" s="191"/>
      <c r="J1149" s="191"/>
      <c r="K1149" s="82"/>
      <c r="L1149" s="319" t="s">
        <v>306</v>
      </c>
      <c r="M1149" s="330"/>
      <c r="N1149" s="330"/>
      <c r="O1149" s="330"/>
      <c r="P1149" s="330"/>
      <c r="Q1149" s="330"/>
      <c r="R1149" s="330"/>
      <c r="S1149" s="330"/>
      <c r="T1149" s="330"/>
      <c r="U1149" s="320"/>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7"/>
    </row>
    <row r="1150" spans="1:53" ht="16.5" thickBot="1" x14ac:dyDescent="0.3">
      <c r="A1150" s="88"/>
      <c r="B1150" s="319" t="s">
        <v>307</v>
      </c>
      <c r="C1150" s="320"/>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5"/>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5" t="s">
        <v>210</v>
      </c>
      <c r="N1153" s="195" t="s">
        <v>211</v>
      </c>
      <c r="O1153" s="195" t="s">
        <v>212</v>
      </c>
      <c r="P1153" s="195" t="s">
        <v>213</v>
      </c>
      <c r="Q1153" s="195" t="s">
        <v>214</v>
      </c>
      <c r="R1153" s="195" t="s">
        <v>215</v>
      </c>
      <c r="S1153" s="195" t="s">
        <v>216</v>
      </c>
      <c r="T1153" s="195" t="s">
        <v>217</v>
      </c>
      <c r="U1153" s="195" t="s">
        <v>218</v>
      </c>
      <c r="V1153" s="195" t="s">
        <v>219</v>
      </c>
      <c r="W1153" s="113" t="s">
        <v>220</v>
      </c>
      <c r="X1153" s="195" t="s">
        <v>221</v>
      </c>
      <c r="Y1153" s="25"/>
      <c r="Z1153" s="25"/>
      <c r="AA1153" s="25"/>
      <c r="AB1153" s="25"/>
      <c r="AC1153" s="25"/>
      <c r="AD1153" s="25"/>
      <c r="BA1153" s="225"/>
    </row>
    <row r="1154" spans="1:53" ht="16.5" thickTop="1" thickBot="1" x14ac:dyDescent="0.3">
      <c r="A1154" s="88"/>
      <c r="B1154" s="312" t="s">
        <v>222</v>
      </c>
      <c r="C1154" s="313"/>
      <c r="D1154" s="314" t="s">
        <v>223</v>
      </c>
      <c r="E1154" s="305"/>
      <c r="F1154" s="88"/>
      <c r="G1154" s="315" t="s">
        <v>224</v>
      </c>
      <c r="H1154" s="316"/>
      <c r="I1154" s="28">
        <f>SUM(E1165:E1189)</f>
        <v>0</v>
      </c>
      <c r="J1154" s="317" t="s">
        <v>225</v>
      </c>
      <c r="K1154" s="318"/>
      <c r="L1154" s="305"/>
      <c r="M1154" s="195">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5" t="s">
        <v>226</v>
      </c>
      <c r="AA1154" s="296"/>
      <c r="AB1154" s="297"/>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5"/>
    </row>
    <row r="1155" spans="1:53" ht="16.5" customHeight="1" thickTop="1" thickBot="1" x14ac:dyDescent="0.3">
      <c r="A1155" s="88"/>
      <c r="B1155" s="29" t="s">
        <v>228</v>
      </c>
      <c r="C1155" s="30">
        <v>0</v>
      </c>
      <c r="D1155" s="31" t="s">
        <v>229</v>
      </c>
      <c r="E1155" s="66" t="str">
        <f>TEXT(IF('Cable Calculator'!EN7="","",'Cable Calculator'!EN7),)</f>
        <v/>
      </c>
      <c r="F1155" s="88"/>
      <c r="G1155" s="304" t="s">
        <v>230</v>
      </c>
      <c r="H1155" s="305"/>
      <c r="I1155" s="33">
        <f>E1156-I1154</f>
        <v>0</v>
      </c>
      <c r="J1155" s="289" t="s">
        <v>231</v>
      </c>
      <c r="K1155" s="290"/>
      <c r="L1155" s="34">
        <f>I1159</f>
        <v>0</v>
      </c>
      <c r="M1155" s="195">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8" t="s">
        <v>232</v>
      </c>
      <c r="AA1155" s="300" t="s">
        <v>233</v>
      </c>
      <c r="AB1155" s="301"/>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6"/>
    </row>
    <row r="1156" spans="1:53" ht="16.5" thickTop="1" thickBot="1" x14ac:dyDescent="0.3">
      <c r="A1156" s="88"/>
      <c r="B1156" s="36" t="s">
        <v>235</v>
      </c>
      <c r="C1156" s="37">
        <v>0</v>
      </c>
      <c r="D1156" s="38" t="s">
        <v>236</v>
      </c>
      <c r="E1156" s="32"/>
      <c r="F1156" s="88"/>
      <c r="G1156" s="291" t="s">
        <v>237</v>
      </c>
      <c r="H1156" s="292"/>
      <c r="I1156" s="35">
        <f>IF(E1156=0,0,12-(MOD(I1154,12)))</f>
        <v>0</v>
      </c>
      <c r="J1156" s="289" t="s">
        <v>238</v>
      </c>
      <c r="K1156" s="290"/>
      <c r="L1156" s="39">
        <f>I1160-I1154</f>
        <v>0</v>
      </c>
      <c r="M1156" s="195">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9"/>
      <c r="AA1156" s="302"/>
      <c r="AB1156" s="303"/>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6"/>
    </row>
    <row r="1157" spans="1:53" ht="16.5" customHeight="1" thickTop="1" thickBot="1" x14ac:dyDescent="0.3">
      <c r="A1157" s="88"/>
      <c r="B1157" s="40" t="s">
        <v>240</v>
      </c>
      <c r="C1157" s="30">
        <v>0</v>
      </c>
      <c r="D1157" s="41" t="s">
        <v>241</v>
      </c>
      <c r="E1157" s="42"/>
      <c r="F1157" s="88"/>
      <c r="G1157" s="321" t="s">
        <v>242</v>
      </c>
      <c r="H1157" s="43" t="s">
        <v>243</v>
      </c>
      <c r="I1157" s="35">
        <f>IF(E1157&lt;&gt;0,1,0)</f>
        <v>0</v>
      </c>
      <c r="J1157" s="291" t="s">
        <v>244</v>
      </c>
      <c r="K1157" s="292"/>
      <c r="L1157" s="44" t="str">
        <f>'Cable Calculator'!EN3</f>
        <v/>
      </c>
      <c r="M1157" s="195">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6"/>
    </row>
    <row r="1158" spans="1:53" ht="16.5" thickTop="1" thickBot="1" x14ac:dyDescent="0.3">
      <c r="A1158" s="88"/>
      <c r="B1158" s="29" t="s">
        <v>246</v>
      </c>
      <c r="C1158" s="37">
        <v>0</v>
      </c>
      <c r="D1158" s="41" t="s">
        <v>247</v>
      </c>
      <c r="E1158" s="42"/>
      <c r="F1158" s="88"/>
      <c r="G1158" s="322"/>
      <c r="H1158" s="47" t="s">
        <v>248</v>
      </c>
      <c r="I1158" s="35">
        <f>IF(E1157&lt;&gt;0,E1157,0)</f>
        <v>0</v>
      </c>
      <c r="J1158" s="193"/>
      <c r="K1158" s="194"/>
      <c r="L1158" s="48"/>
      <c r="M1158" s="195">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6"/>
    </row>
    <row r="1159" spans="1:53" ht="16.5" customHeight="1" thickTop="1" thickBot="1" x14ac:dyDescent="0.3">
      <c r="A1159" s="88"/>
      <c r="B1159" s="36" t="s">
        <v>249</v>
      </c>
      <c r="C1159" s="30">
        <v>0</v>
      </c>
      <c r="D1159" s="49" t="s">
        <v>250</v>
      </c>
      <c r="E1159" s="50">
        <f>E1156/12</f>
        <v>0</v>
      </c>
      <c r="F1159" s="88"/>
      <c r="G1159" s="321" t="s">
        <v>251</v>
      </c>
      <c r="H1159" s="51" t="s">
        <v>252</v>
      </c>
      <c r="I1159" s="112">
        <f>E1158</f>
        <v>0</v>
      </c>
      <c r="J1159" s="323" t="s">
        <v>253</v>
      </c>
      <c r="K1159" s="324"/>
      <c r="L1159" s="325"/>
      <c r="M1159" s="52" t="s">
        <v>254</v>
      </c>
      <c r="N1159" s="106"/>
      <c r="O1159" s="106"/>
      <c r="P1159" s="191"/>
      <c r="Q1159" s="191"/>
      <c r="R1159" s="191"/>
      <c r="S1159" s="191"/>
      <c r="T1159" s="191"/>
      <c r="U1159" s="191"/>
      <c r="V1159" s="191"/>
      <c r="W1159" s="53">
        <f>SUM(P1159:U1159)</f>
        <v>0</v>
      </c>
      <c r="X1159" s="54"/>
      <c r="Y1159" s="25"/>
      <c r="Z1159" s="45">
        <v>3</v>
      </c>
      <c r="AA1159" s="46">
        <v>25</v>
      </c>
      <c r="AB1159" s="46">
        <v>36</v>
      </c>
      <c r="AC1159" s="25"/>
      <c r="AD1159" s="25"/>
      <c r="BA1159" s="226"/>
    </row>
    <row r="1160" spans="1:53" ht="16.5" thickTop="1" thickBot="1" x14ac:dyDescent="0.3">
      <c r="A1160" s="88"/>
      <c r="B1160" s="36" t="s">
        <v>255</v>
      </c>
      <c r="C1160" s="30">
        <v>0</v>
      </c>
      <c r="D1160" s="31" t="s">
        <v>256</v>
      </c>
      <c r="E1160" s="101" t="str">
        <f>IF('Cable Calculator'!EN5="","",'Cable Calculator'!EN5)</f>
        <v/>
      </c>
      <c r="F1160" s="88"/>
      <c r="G1160" s="322"/>
      <c r="H1160" s="47" t="s">
        <v>257</v>
      </c>
      <c r="I1160" s="35" t="str">
        <f>IF(E1158="","0",IF(AND(E1155="EUC",E1156=432), I1159+(203-E1157),IF(E1158=0,0,(E1158+(E1156-E1157)-1))))</f>
        <v>0</v>
      </c>
      <c r="J1160" s="286" t="str">
        <f>IFERROR(IF(OR(E1155="EUC",E1155="SS"),"---",IF(OR(P1154,S1154),"NO 2F Tethers for RPX!",IF(OR(P1156,S1156),"NO 6F Tethers for RPX!","---"))),"---")</f>
        <v>---</v>
      </c>
      <c r="K1160" s="287"/>
      <c r="L1160" s="288"/>
      <c r="M1160" s="286" t="str">
        <f>IF(E1157&gt;60,"Dead Count &gt;60: Consider Downsize","---")</f>
        <v>---</v>
      </c>
      <c r="N1160" s="287"/>
      <c r="O1160" s="287"/>
      <c r="P1160" s="287"/>
      <c r="Q1160" s="287"/>
      <c r="R1160" s="287"/>
      <c r="S1160" s="287"/>
      <c r="T1160" s="287"/>
      <c r="U1160" s="288"/>
      <c r="V1160" s="100"/>
      <c r="W1160" s="54">
        <f>SUM(P1160:U1160)</f>
        <v>0</v>
      </c>
      <c r="X1160" s="54"/>
      <c r="Y1160" s="25"/>
      <c r="Z1160" s="45">
        <v>4</v>
      </c>
      <c r="AA1160" s="46">
        <v>37</v>
      </c>
      <c r="AB1160" s="46">
        <v>48</v>
      </c>
      <c r="AC1160" s="25"/>
      <c r="AD1160" s="25"/>
      <c r="BA1160" s="226"/>
    </row>
    <row r="1161" spans="1:53" ht="16.5" thickTop="1" thickBot="1" x14ac:dyDescent="0.3">
      <c r="A1161" s="88"/>
      <c r="B1161" s="55" t="s">
        <v>258</v>
      </c>
      <c r="C1161" s="56">
        <f>SUM(C1155:C1160)+I1154</f>
        <v>0</v>
      </c>
      <c r="D1161" s="31" t="s">
        <v>259</v>
      </c>
      <c r="E1161" s="101" t="str">
        <f>IF(AS1155="Y","DBL",IF(AS1156="Y","TRPL",IF(AS1157="Y","QUAD","")))</f>
        <v/>
      </c>
      <c r="F1161" s="88"/>
      <c r="G1161" s="191"/>
      <c r="H1161" s="57"/>
      <c r="I1161" s="191"/>
      <c r="J1161" s="286"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7"/>
      <c r="L1161" s="288"/>
      <c r="M1161" s="286" t="str">
        <f>IF(AND(OR(E1155="SS",E1155="RPX",E1155="EUC",E1155="RPX-T"),(OR(C1165="",C1165="Field SPL"))),"Cannot have FlexNap cables without tethers","---")</f>
        <v>---</v>
      </c>
      <c r="N1161" s="287"/>
      <c r="O1161" s="287"/>
      <c r="P1161" s="287"/>
      <c r="Q1161" s="287"/>
      <c r="R1161" s="287"/>
      <c r="S1161" s="287"/>
      <c r="T1161" s="287"/>
      <c r="U1161" s="288"/>
      <c r="V1161" s="25"/>
      <c r="W1161" s="58"/>
      <c r="X1161" s="58"/>
      <c r="Y1161" s="25"/>
      <c r="Z1161" s="45">
        <v>5</v>
      </c>
      <c r="AA1161" s="46">
        <v>49</v>
      </c>
      <c r="AB1161" s="46">
        <v>60</v>
      </c>
      <c r="AC1161" s="25"/>
      <c r="AD1161" s="25"/>
      <c r="BA1161" s="226"/>
    </row>
    <row r="1162" spans="1:53" ht="16.5" thickTop="1" thickBot="1" x14ac:dyDescent="0.3">
      <c r="A1162" s="88"/>
      <c r="B1162" s="59"/>
      <c r="C1162" s="60"/>
      <c r="D1162" s="61"/>
      <c r="E1162" s="62"/>
      <c r="F1162" s="88"/>
      <c r="G1162" s="63"/>
      <c r="H1162" s="64"/>
      <c r="I1162" s="63"/>
      <c r="J1162" s="286" t="str">
        <f>IF(AND(OR(E1155="RPX", E1155="RPX-T", E1155="SS"),E1156=216),"NO 216 For RPX, RPX-T, OR SS CABLE","---")</f>
        <v>---</v>
      </c>
      <c r="K1162" s="287"/>
      <c r="L1162" s="288"/>
      <c r="M1162" s="286" t="str" cm="1">
        <f t="array" ref="M1162">IF(AND(E1155="",OR(C1165:C1189="FST",C1165:C1189="REV T",C1165:C1189="DBL REV",C1165:C1189="TPL REV", C1165:C1189="QD REV")),"Non-FlexNap cables cannot have tethers","---")</f>
        <v>---</v>
      </c>
      <c r="N1162" s="287"/>
      <c r="O1162" s="287"/>
      <c r="P1162" s="287"/>
      <c r="Q1162" s="287"/>
      <c r="R1162" s="287"/>
      <c r="S1162" s="287"/>
      <c r="T1162" s="287"/>
      <c r="U1162" s="288"/>
      <c r="V1162" s="25"/>
      <c r="W1162" s="58"/>
      <c r="X1162" s="58"/>
      <c r="Y1162" s="25"/>
      <c r="Z1162" s="45">
        <v>6</v>
      </c>
      <c r="AA1162" s="65">
        <v>61</v>
      </c>
      <c r="AB1162" s="65">
        <v>72</v>
      </c>
      <c r="AC1162" s="25"/>
      <c r="AD1162" s="25"/>
      <c r="BA1162" s="225"/>
    </row>
    <row r="1163" spans="1:53" ht="15.75" customHeight="1" thickBot="1" x14ac:dyDescent="0.3">
      <c r="A1163" s="88"/>
      <c r="B1163" s="321" t="s">
        <v>260</v>
      </c>
      <c r="C1163" s="293" t="s">
        <v>261</v>
      </c>
      <c r="D1163" s="293" t="s">
        <v>262</v>
      </c>
      <c r="E1163" s="306" t="s">
        <v>263</v>
      </c>
      <c r="F1163" s="293" t="s">
        <v>264</v>
      </c>
      <c r="G1163" s="308" t="s">
        <v>265</v>
      </c>
      <c r="H1163" s="308" t="s">
        <v>266</v>
      </c>
      <c r="I1163" s="308" t="s">
        <v>267</v>
      </c>
      <c r="J1163" s="310" t="s">
        <v>268</v>
      </c>
      <c r="K1163" s="293" t="s">
        <v>269</v>
      </c>
      <c r="L1163" s="280" t="s">
        <v>270</v>
      </c>
      <c r="M1163" s="282" t="s">
        <v>271</v>
      </c>
      <c r="N1163" s="282"/>
      <c r="O1163" s="282"/>
      <c r="P1163" s="282"/>
      <c r="Q1163" s="282"/>
      <c r="R1163" s="282"/>
      <c r="S1163" s="282"/>
      <c r="T1163" s="282"/>
      <c r="U1163" s="283"/>
      <c r="V1163" s="107"/>
      <c r="W1163" s="72"/>
      <c r="X1163" s="72"/>
      <c r="Y1163" s="72"/>
      <c r="Z1163" s="45">
        <v>7</v>
      </c>
      <c r="AA1163" s="65">
        <v>73</v>
      </c>
      <c r="AB1163" s="65">
        <v>84</v>
      </c>
      <c r="AC1163" s="25"/>
      <c r="AD1163" s="25"/>
      <c r="BA1163" s="227"/>
    </row>
    <row r="1164" spans="1:53" ht="15.75" thickBot="1" x14ac:dyDescent="0.3">
      <c r="A1164" s="88"/>
      <c r="B1164" s="322"/>
      <c r="C1164" s="294"/>
      <c r="D1164" s="294"/>
      <c r="E1164" s="307"/>
      <c r="F1164" s="294"/>
      <c r="G1164" s="309"/>
      <c r="H1164" s="309"/>
      <c r="I1164" s="309"/>
      <c r="J1164" s="311"/>
      <c r="K1164" s="294"/>
      <c r="L1164" s="281"/>
      <c r="M1164" s="284"/>
      <c r="N1164" s="284"/>
      <c r="O1164" s="284"/>
      <c r="P1164" s="284"/>
      <c r="Q1164" s="284"/>
      <c r="R1164" s="284"/>
      <c r="S1164" s="284"/>
      <c r="T1164" s="284"/>
      <c r="U1164" s="285"/>
      <c r="V1164" s="107"/>
      <c r="W1164" s="72"/>
      <c r="X1164" s="72"/>
      <c r="Y1164" s="72"/>
      <c r="Z1164" s="45">
        <v>8</v>
      </c>
      <c r="AA1164" s="46">
        <v>85</v>
      </c>
      <c r="AB1164" s="46">
        <v>96</v>
      </c>
      <c r="AC1164" s="25"/>
      <c r="AD1164" s="25"/>
      <c r="AI1164" s="109" t="s">
        <v>272</v>
      </c>
      <c r="AJ1164" s="109" t="s">
        <v>273</v>
      </c>
      <c r="AK1164" s="109" t="s">
        <v>274</v>
      </c>
      <c r="AL1164" s="109" t="s">
        <v>275</v>
      </c>
      <c r="BA1164" s="227"/>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2"/>
      <c r="M1165" s="278"/>
      <c r="N1165" s="278"/>
      <c r="O1165" s="278"/>
      <c r="P1165" s="278"/>
      <c r="Q1165" s="278"/>
      <c r="R1165" s="278"/>
      <c r="S1165" s="278"/>
      <c r="T1165" s="278"/>
      <c r="U1165" s="279"/>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8">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2"/>
      <c r="M1166" s="278"/>
      <c r="N1166" s="278"/>
      <c r="O1166" s="278"/>
      <c r="P1166" s="278"/>
      <c r="Q1166" s="278"/>
      <c r="R1166" s="278"/>
      <c r="S1166" s="278"/>
      <c r="T1166" s="278"/>
      <c r="U1166" s="279"/>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8">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2"/>
      <c r="M1167" s="278"/>
      <c r="N1167" s="278"/>
      <c r="O1167" s="278"/>
      <c r="P1167" s="278"/>
      <c r="Q1167" s="278"/>
      <c r="R1167" s="278"/>
      <c r="S1167" s="278"/>
      <c r="T1167" s="278"/>
      <c r="U1167" s="279"/>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8">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2"/>
      <c r="M1168" s="278"/>
      <c r="N1168" s="278"/>
      <c r="O1168" s="278"/>
      <c r="P1168" s="278"/>
      <c r="Q1168" s="278"/>
      <c r="R1168" s="278"/>
      <c r="S1168" s="278"/>
      <c r="T1168" s="278"/>
      <c r="U1168" s="279"/>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8">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2"/>
      <c r="M1169" s="278"/>
      <c r="N1169" s="278"/>
      <c r="O1169" s="278"/>
      <c r="P1169" s="278"/>
      <c r="Q1169" s="278"/>
      <c r="R1169" s="278"/>
      <c r="S1169" s="278"/>
      <c r="T1169" s="278"/>
      <c r="U1169" s="279"/>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8">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2"/>
      <c r="M1170" s="278"/>
      <c r="N1170" s="278"/>
      <c r="O1170" s="278"/>
      <c r="P1170" s="278"/>
      <c r="Q1170" s="278"/>
      <c r="R1170" s="278"/>
      <c r="S1170" s="278"/>
      <c r="T1170" s="278"/>
      <c r="U1170" s="279"/>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8">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2"/>
      <c r="M1171" s="278"/>
      <c r="N1171" s="278"/>
      <c r="O1171" s="278"/>
      <c r="P1171" s="278"/>
      <c r="Q1171" s="278"/>
      <c r="R1171" s="278"/>
      <c r="S1171" s="278"/>
      <c r="T1171" s="278"/>
      <c r="U1171" s="279"/>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8">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2"/>
      <c r="M1172" s="278"/>
      <c r="N1172" s="278"/>
      <c r="O1172" s="278"/>
      <c r="P1172" s="278"/>
      <c r="Q1172" s="278"/>
      <c r="R1172" s="278"/>
      <c r="S1172" s="278"/>
      <c r="T1172" s="278"/>
      <c r="U1172" s="279"/>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8">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2"/>
      <c r="M1173" s="278"/>
      <c r="N1173" s="278"/>
      <c r="O1173" s="278"/>
      <c r="P1173" s="278"/>
      <c r="Q1173" s="278"/>
      <c r="R1173" s="278"/>
      <c r="S1173" s="278"/>
      <c r="T1173" s="278"/>
      <c r="U1173" s="279"/>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8">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2"/>
      <c r="M1174" s="278"/>
      <c r="N1174" s="278"/>
      <c r="O1174" s="278"/>
      <c r="P1174" s="278"/>
      <c r="Q1174" s="278"/>
      <c r="R1174" s="278"/>
      <c r="S1174" s="278"/>
      <c r="T1174" s="278"/>
      <c r="U1174" s="279"/>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8">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2"/>
      <c r="M1175" s="278"/>
      <c r="N1175" s="278"/>
      <c r="O1175" s="278"/>
      <c r="P1175" s="278"/>
      <c r="Q1175" s="278"/>
      <c r="R1175" s="278"/>
      <c r="S1175" s="278"/>
      <c r="T1175" s="278"/>
      <c r="U1175" s="279"/>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8">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2"/>
      <c r="M1176" s="278"/>
      <c r="N1176" s="278"/>
      <c r="O1176" s="278"/>
      <c r="P1176" s="278"/>
      <c r="Q1176" s="278"/>
      <c r="R1176" s="278"/>
      <c r="S1176" s="278"/>
      <c r="T1176" s="278"/>
      <c r="U1176" s="279"/>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8">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2"/>
      <c r="M1177" s="278"/>
      <c r="N1177" s="278"/>
      <c r="O1177" s="278"/>
      <c r="P1177" s="278"/>
      <c r="Q1177" s="278"/>
      <c r="R1177" s="278"/>
      <c r="S1177" s="278"/>
      <c r="T1177" s="278"/>
      <c r="U1177" s="279"/>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8">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2"/>
      <c r="M1178" s="278"/>
      <c r="N1178" s="278"/>
      <c r="O1178" s="278"/>
      <c r="P1178" s="278"/>
      <c r="Q1178" s="278"/>
      <c r="R1178" s="278"/>
      <c r="S1178" s="278"/>
      <c r="T1178" s="278"/>
      <c r="U1178" s="279"/>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8">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2"/>
      <c r="M1179" s="278"/>
      <c r="N1179" s="278"/>
      <c r="O1179" s="278"/>
      <c r="P1179" s="278"/>
      <c r="Q1179" s="278"/>
      <c r="R1179" s="278"/>
      <c r="S1179" s="278"/>
      <c r="T1179" s="278"/>
      <c r="U1179" s="279"/>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8">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2"/>
      <c r="M1180" s="278"/>
      <c r="N1180" s="278"/>
      <c r="O1180" s="278"/>
      <c r="P1180" s="278"/>
      <c r="Q1180" s="278"/>
      <c r="R1180" s="278"/>
      <c r="S1180" s="278"/>
      <c r="T1180" s="278"/>
      <c r="U1180" s="279"/>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8">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2"/>
      <c r="M1181" s="278"/>
      <c r="N1181" s="278"/>
      <c r="O1181" s="278"/>
      <c r="P1181" s="278"/>
      <c r="Q1181" s="278"/>
      <c r="R1181" s="278"/>
      <c r="S1181" s="278"/>
      <c r="T1181" s="278"/>
      <c r="U1181" s="279"/>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8">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2"/>
      <c r="M1182" s="278"/>
      <c r="N1182" s="278"/>
      <c r="O1182" s="278"/>
      <c r="P1182" s="278"/>
      <c r="Q1182" s="278"/>
      <c r="R1182" s="278"/>
      <c r="S1182" s="278"/>
      <c r="T1182" s="278"/>
      <c r="U1182" s="279"/>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8">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2"/>
      <c r="M1183" s="278"/>
      <c r="N1183" s="278"/>
      <c r="O1183" s="278"/>
      <c r="P1183" s="278"/>
      <c r="Q1183" s="278"/>
      <c r="R1183" s="278"/>
      <c r="S1183" s="278"/>
      <c r="T1183" s="278"/>
      <c r="U1183" s="279"/>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8">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2"/>
      <c r="M1184" s="278"/>
      <c r="N1184" s="278"/>
      <c r="O1184" s="278"/>
      <c r="P1184" s="278"/>
      <c r="Q1184" s="278"/>
      <c r="R1184" s="278"/>
      <c r="S1184" s="278"/>
      <c r="T1184" s="278"/>
      <c r="U1184" s="279"/>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8">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2"/>
      <c r="M1185" s="278"/>
      <c r="N1185" s="278"/>
      <c r="O1185" s="278"/>
      <c r="P1185" s="278"/>
      <c r="Q1185" s="278"/>
      <c r="R1185" s="278"/>
      <c r="S1185" s="278"/>
      <c r="T1185" s="278"/>
      <c r="U1185" s="279"/>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8">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2"/>
      <c r="M1186" s="278"/>
      <c r="N1186" s="278"/>
      <c r="O1186" s="278"/>
      <c r="P1186" s="278"/>
      <c r="Q1186" s="278"/>
      <c r="R1186" s="278"/>
      <c r="S1186" s="278"/>
      <c r="T1186" s="278"/>
      <c r="U1186" s="279"/>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8">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2"/>
      <c r="M1187" s="278"/>
      <c r="N1187" s="278"/>
      <c r="O1187" s="278"/>
      <c r="P1187" s="278"/>
      <c r="Q1187" s="278"/>
      <c r="R1187" s="278"/>
      <c r="S1187" s="278"/>
      <c r="T1187" s="278"/>
      <c r="U1187" s="279"/>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8">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2"/>
      <c r="M1188" s="278"/>
      <c r="N1188" s="278"/>
      <c r="O1188" s="278"/>
      <c r="P1188" s="278"/>
      <c r="Q1188" s="278"/>
      <c r="R1188" s="278"/>
      <c r="S1188" s="278"/>
      <c r="T1188" s="278"/>
      <c r="U1188" s="279"/>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8">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3"/>
      <c r="M1189" s="278"/>
      <c r="N1189" s="278"/>
      <c r="O1189" s="278"/>
      <c r="P1189" s="278"/>
      <c r="Q1189" s="278"/>
      <c r="R1189" s="278"/>
      <c r="S1189" s="278"/>
      <c r="T1189" s="278"/>
      <c r="U1189" s="279"/>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7"/>
    </row>
    <row r="1190" spans="1:53" ht="16.5" thickBot="1" x14ac:dyDescent="0.3">
      <c r="A1190" s="88"/>
      <c r="B1190" s="319" t="s">
        <v>361</v>
      </c>
      <c r="C1190" s="320"/>
      <c r="D1190" s="79"/>
      <c r="E1190" s="80"/>
      <c r="F1190" s="80"/>
      <c r="G1190" s="81"/>
      <c r="H1190" s="191"/>
      <c r="I1190" s="191"/>
      <c r="J1190" s="191"/>
      <c r="K1190" s="82"/>
      <c r="L1190" s="319" t="s">
        <v>306</v>
      </c>
      <c r="M1190" s="330"/>
      <c r="N1190" s="330"/>
      <c r="O1190" s="330"/>
      <c r="P1190" s="330"/>
      <c r="Q1190" s="330"/>
      <c r="R1190" s="330"/>
      <c r="S1190" s="330"/>
      <c r="T1190" s="330"/>
      <c r="U1190" s="320"/>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7"/>
    </row>
    <row r="1191" spans="1:53" ht="16.5" thickBot="1" x14ac:dyDescent="0.3">
      <c r="A1191" s="88"/>
      <c r="B1191" s="319" t="s">
        <v>307</v>
      </c>
      <c r="C1191" s="320"/>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5"/>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5" t="s">
        <v>210</v>
      </c>
      <c r="N1194" s="195" t="s">
        <v>211</v>
      </c>
      <c r="O1194" s="195" t="s">
        <v>212</v>
      </c>
      <c r="P1194" s="195" t="s">
        <v>213</v>
      </c>
      <c r="Q1194" s="195" t="s">
        <v>214</v>
      </c>
      <c r="R1194" s="195" t="s">
        <v>215</v>
      </c>
      <c r="S1194" s="195" t="s">
        <v>216</v>
      </c>
      <c r="T1194" s="195" t="s">
        <v>217</v>
      </c>
      <c r="U1194" s="195" t="s">
        <v>218</v>
      </c>
      <c r="V1194" s="195" t="s">
        <v>219</v>
      </c>
      <c r="W1194" s="113" t="s">
        <v>220</v>
      </c>
      <c r="X1194" s="195" t="s">
        <v>221</v>
      </c>
      <c r="Y1194" s="25"/>
      <c r="Z1194" s="25"/>
      <c r="AA1194" s="25"/>
      <c r="AB1194" s="25"/>
      <c r="AC1194" s="25"/>
      <c r="AD1194" s="25"/>
      <c r="BA1194" s="225"/>
    </row>
    <row r="1195" spans="1:53" ht="16.5" thickTop="1" thickBot="1" x14ac:dyDescent="0.3">
      <c r="A1195" s="88"/>
      <c r="B1195" s="312" t="s">
        <v>222</v>
      </c>
      <c r="C1195" s="313"/>
      <c r="D1195" s="314" t="s">
        <v>223</v>
      </c>
      <c r="E1195" s="305"/>
      <c r="F1195" s="88"/>
      <c r="G1195" s="315" t="s">
        <v>224</v>
      </c>
      <c r="H1195" s="316"/>
      <c r="I1195" s="28">
        <f>SUM(E1206:E1230)</f>
        <v>0</v>
      </c>
      <c r="J1195" s="317" t="s">
        <v>225</v>
      </c>
      <c r="K1195" s="318"/>
      <c r="L1195" s="305"/>
      <c r="M1195" s="195">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5" t="s">
        <v>226</v>
      </c>
      <c r="AA1195" s="296"/>
      <c r="AB1195" s="297"/>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5"/>
    </row>
    <row r="1196" spans="1:53" ht="16.5" customHeight="1" thickTop="1" thickBot="1" x14ac:dyDescent="0.3">
      <c r="A1196" s="88"/>
      <c r="B1196" s="29" t="s">
        <v>228</v>
      </c>
      <c r="C1196" s="30">
        <v>0</v>
      </c>
      <c r="D1196" s="31" t="s">
        <v>229</v>
      </c>
      <c r="E1196" s="66" t="str">
        <f>TEXT(IF('Cable Calculator'!ES7="","",'Cable Calculator'!ES7),)</f>
        <v/>
      </c>
      <c r="F1196" s="88"/>
      <c r="G1196" s="304" t="s">
        <v>230</v>
      </c>
      <c r="H1196" s="305"/>
      <c r="I1196" s="33">
        <f>E1197-I1195</f>
        <v>0</v>
      </c>
      <c r="J1196" s="289" t="s">
        <v>231</v>
      </c>
      <c r="K1196" s="290"/>
      <c r="L1196" s="34">
        <f>I1200</f>
        <v>0</v>
      </c>
      <c r="M1196" s="195">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8" t="s">
        <v>232</v>
      </c>
      <c r="AA1196" s="300" t="s">
        <v>233</v>
      </c>
      <c r="AB1196" s="301"/>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6"/>
    </row>
    <row r="1197" spans="1:53" ht="16.5" thickTop="1" thickBot="1" x14ac:dyDescent="0.3">
      <c r="A1197" s="88"/>
      <c r="B1197" s="36" t="s">
        <v>235</v>
      </c>
      <c r="C1197" s="37">
        <v>0</v>
      </c>
      <c r="D1197" s="38" t="s">
        <v>236</v>
      </c>
      <c r="E1197" s="32"/>
      <c r="F1197" s="88"/>
      <c r="G1197" s="291" t="s">
        <v>237</v>
      </c>
      <c r="H1197" s="292"/>
      <c r="I1197" s="35">
        <f>IF(E1197=0,0,12-(MOD(I1195,12)))</f>
        <v>0</v>
      </c>
      <c r="J1197" s="289" t="s">
        <v>238</v>
      </c>
      <c r="K1197" s="290"/>
      <c r="L1197" s="39">
        <f>I1201-I1195</f>
        <v>0</v>
      </c>
      <c r="M1197" s="195">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9"/>
      <c r="AA1197" s="302"/>
      <c r="AB1197" s="303"/>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6"/>
    </row>
    <row r="1198" spans="1:53" ht="16.5" customHeight="1" thickTop="1" thickBot="1" x14ac:dyDescent="0.3">
      <c r="A1198" s="88"/>
      <c r="B1198" s="40" t="s">
        <v>240</v>
      </c>
      <c r="C1198" s="30">
        <v>0</v>
      </c>
      <c r="D1198" s="41" t="s">
        <v>241</v>
      </c>
      <c r="E1198" s="42"/>
      <c r="F1198" s="88"/>
      <c r="G1198" s="321" t="s">
        <v>242</v>
      </c>
      <c r="H1198" s="43" t="s">
        <v>243</v>
      </c>
      <c r="I1198" s="35">
        <f>IF(E1198&lt;&gt;0,1,0)</f>
        <v>0</v>
      </c>
      <c r="J1198" s="291" t="s">
        <v>244</v>
      </c>
      <c r="K1198" s="292"/>
      <c r="L1198" s="44" t="str">
        <f>'Cable Calculator'!ES3</f>
        <v/>
      </c>
      <c r="M1198" s="195">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6"/>
    </row>
    <row r="1199" spans="1:53" ht="16.5" thickTop="1" thickBot="1" x14ac:dyDescent="0.3">
      <c r="A1199" s="88"/>
      <c r="B1199" s="29" t="s">
        <v>246</v>
      </c>
      <c r="C1199" s="37">
        <v>0</v>
      </c>
      <c r="D1199" s="41" t="s">
        <v>247</v>
      </c>
      <c r="E1199" s="42"/>
      <c r="F1199" s="88"/>
      <c r="G1199" s="322"/>
      <c r="H1199" s="47" t="s">
        <v>248</v>
      </c>
      <c r="I1199" s="35">
        <f>IF(E1198&lt;&gt;0,E1198,0)</f>
        <v>0</v>
      </c>
      <c r="J1199" s="193"/>
      <c r="K1199" s="194"/>
      <c r="L1199" s="48"/>
      <c r="M1199" s="195">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6"/>
    </row>
    <row r="1200" spans="1:53" ht="16.5" customHeight="1" thickTop="1" thickBot="1" x14ac:dyDescent="0.3">
      <c r="A1200" s="88"/>
      <c r="B1200" s="36" t="s">
        <v>249</v>
      </c>
      <c r="C1200" s="30">
        <v>0</v>
      </c>
      <c r="D1200" s="49" t="s">
        <v>250</v>
      </c>
      <c r="E1200" s="50">
        <f>E1197/12</f>
        <v>0</v>
      </c>
      <c r="F1200" s="88"/>
      <c r="G1200" s="321" t="s">
        <v>251</v>
      </c>
      <c r="H1200" s="51" t="s">
        <v>252</v>
      </c>
      <c r="I1200" s="112">
        <f>E1199</f>
        <v>0</v>
      </c>
      <c r="J1200" s="323" t="s">
        <v>253</v>
      </c>
      <c r="K1200" s="324"/>
      <c r="L1200" s="325"/>
      <c r="M1200" s="52" t="s">
        <v>254</v>
      </c>
      <c r="N1200" s="106"/>
      <c r="O1200" s="106"/>
      <c r="P1200" s="191"/>
      <c r="Q1200" s="191"/>
      <c r="R1200" s="191"/>
      <c r="S1200" s="191"/>
      <c r="T1200" s="191"/>
      <c r="U1200" s="191"/>
      <c r="V1200" s="191"/>
      <c r="W1200" s="53">
        <f>SUM(P1200:U1200)</f>
        <v>0</v>
      </c>
      <c r="X1200" s="54"/>
      <c r="Y1200" s="25"/>
      <c r="Z1200" s="45">
        <v>3</v>
      </c>
      <c r="AA1200" s="46">
        <v>25</v>
      </c>
      <c r="AB1200" s="46">
        <v>36</v>
      </c>
      <c r="AC1200" s="25"/>
      <c r="AD1200" s="25"/>
      <c r="BA1200" s="226"/>
    </row>
    <row r="1201" spans="1:53" ht="16.5" thickTop="1" thickBot="1" x14ac:dyDescent="0.3">
      <c r="A1201" s="88"/>
      <c r="B1201" s="36" t="s">
        <v>255</v>
      </c>
      <c r="C1201" s="30">
        <v>0</v>
      </c>
      <c r="D1201" s="31" t="s">
        <v>256</v>
      </c>
      <c r="E1201" s="101" t="str">
        <f>IF('Cable Calculator'!ES5="","",'Cable Calculator'!ES5)</f>
        <v/>
      </c>
      <c r="F1201" s="88"/>
      <c r="G1201" s="322"/>
      <c r="H1201" s="47" t="s">
        <v>257</v>
      </c>
      <c r="I1201" s="35" t="str">
        <f>IF(E1199="","0",IF(AND(E1196="EUC",E1197=432), I1200+(203-E1198),IF(E1199=0,0,(E1199+(E1197-E1198)-1))))</f>
        <v>0</v>
      </c>
      <c r="J1201" s="286" t="str">
        <f>IFERROR(IF(OR(E1196="EUC",E1196="SS"),"---",IF(OR(P1195,S1195),"NO 2F Tethers for RPX!",IF(OR(P1197,S1197),"NO 6F Tethers for RPX!","---"))),"---")</f>
        <v>---</v>
      </c>
      <c r="K1201" s="287"/>
      <c r="L1201" s="288"/>
      <c r="M1201" s="286" t="str">
        <f>IF(E1198&gt;60,"Dead Count &gt;60: Consider Downsize","---")</f>
        <v>---</v>
      </c>
      <c r="N1201" s="287"/>
      <c r="O1201" s="287"/>
      <c r="P1201" s="287"/>
      <c r="Q1201" s="287"/>
      <c r="R1201" s="287"/>
      <c r="S1201" s="287"/>
      <c r="T1201" s="287"/>
      <c r="U1201" s="288"/>
      <c r="V1201" s="100"/>
      <c r="W1201" s="54">
        <f>SUM(P1201:U1201)</f>
        <v>0</v>
      </c>
      <c r="X1201" s="54"/>
      <c r="Y1201" s="25"/>
      <c r="Z1201" s="45">
        <v>4</v>
      </c>
      <c r="AA1201" s="46">
        <v>37</v>
      </c>
      <c r="AB1201" s="46">
        <v>48</v>
      </c>
      <c r="AC1201" s="25"/>
      <c r="AD1201" s="25"/>
      <c r="BA1201" s="226"/>
    </row>
    <row r="1202" spans="1:53" ht="16.5" thickTop="1" thickBot="1" x14ac:dyDescent="0.3">
      <c r="A1202" s="88"/>
      <c r="B1202" s="55" t="s">
        <v>258</v>
      </c>
      <c r="C1202" s="56">
        <f>SUM(C1196:C1201)+I1195</f>
        <v>0</v>
      </c>
      <c r="D1202" s="31" t="s">
        <v>259</v>
      </c>
      <c r="E1202" s="101" t="str">
        <f>IF(AS1196="Y","DBL",IF(AS1197="Y","TRPL",IF(AS1198="Y","QUAD","")))</f>
        <v/>
      </c>
      <c r="F1202" s="88"/>
      <c r="G1202" s="191"/>
      <c r="H1202" s="57"/>
      <c r="I1202" s="191"/>
      <c r="J1202" s="286"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7"/>
      <c r="L1202" s="288"/>
      <c r="M1202" s="286" t="str">
        <f>IF(AND(OR(E1196="SS",E1196="RPX",E1196="EUC",E1196="RPX-T"),(OR(C1206="",C1206="Field SPL"))),"Cannot have FlexNap cables without tethers","---")</f>
        <v>---</v>
      </c>
      <c r="N1202" s="287"/>
      <c r="O1202" s="287"/>
      <c r="P1202" s="287"/>
      <c r="Q1202" s="287"/>
      <c r="R1202" s="287"/>
      <c r="S1202" s="287"/>
      <c r="T1202" s="287"/>
      <c r="U1202" s="288"/>
      <c r="V1202" s="25"/>
      <c r="W1202" s="58"/>
      <c r="X1202" s="58"/>
      <c r="Y1202" s="25"/>
      <c r="Z1202" s="45">
        <v>5</v>
      </c>
      <c r="AA1202" s="46">
        <v>49</v>
      </c>
      <c r="AB1202" s="46">
        <v>60</v>
      </c>
      <c r="AC1202" s="25"/>
      <c r="AD1202" s="25"/>
      <c r="BA1202" s="226"/>
    </row>
    <row r="1203" spans="1:53" ht="16.5" thickTop="1" thickBot="1" x14ac:dyDescent="0.3">
      <c r="A1203" s="88"/>
      <c r="B1203" s="59"/>
      <c r="C1203" s="60"/>
      <c r="D1203" s="61"/>
      <c r="E1203" s="62"/>
      <c r="F1203" s="88"/>
      <c r="G1203" s="63"/>
      <c r="H1203" s="64"/>
      <c r="I1203" s="63"/>
      <c r="J1203" s="286" t="str">
        <f>IF(AND(OR(E1196="RPX", E1196="RPX-T", E1196="SS"),E1197=216),"NO 216 For RPX, RPX-T, OR SS CABLE","---")</f>
        <v>---</v>
      </c>
      <c r="K1203" s="287"/>
      <c r="L1203" s="288"/>
      <c r="M1203" s="286" t="str" cm="1">
        <f t="array" ref="M1203">IF(AND(E1196="",OR(C1206:C1230="FST",C1206:C1230="REV T",C1206:C1230="DBL REV",C1206:C1230="TPL REV", C1206:C1230="QD REV")),"Non-FlexNap cables cannot have tethers","---")</f>
        <v>---</v>
      </c>
      <c r="N1203" s="287"/>
      <c r="O1203" s="287"/>
      <c r="P1203" s="287"/>
      <c r="Q1203" s="287"/>
      <c r="R1203" s="287"/>
      <c r="S1203" s="287"/>
      <c r="T1203" s="287"/>
      <c r="U1203" s="288"/>
      <c r="V1203" s="25"/>
      <c r="W1203" s="58"/>
      <c r="X1203" s="58"/>
      <c r="Y1203" s="25"/>
      <c r="Z1203" s="45">
        <v>6</v>
      </c>
      <c r="AA1203" s="65">
        <v>61</v>
      </c>
      <c r="AB1203" s="65">
        <v>72</v>
      </c>
      <c r="AC1203" s="25"/>
      <c r="AD1203" s="25"/>
      <c r="BA1203" s="225"/>
    </row>
    <row r="1204" spans="1:53" ht="15.75" customHeight="1" thickBot="1" x14ac:dyDescent="0.3">
      <c r="A1204" s="88"/>
      <c r="B1204" s="321" t="s">
        <v>260</v>
      </c>
      <c r="C1204" s="293" t="s">
        <v>261</v>
      </c>
      <c r="D1204" s="293" t="s">
        <v>262</v>
      </c>
      <c r="E1204" s="306" t="s">
        <v>263</v>
      </c>
      <c r="F1204" s="293" t="s">
        <v>264</v>
      </c>
      <c r="G1204" s="308" t="s">
        <v>265</v>
      </c>
      <c r="H1204" s="308" t="s">
        <v>266</v>
      </c>
      <c r="I1204" s="308" t="s">
        <v>267</v>
      </c>
      <c r="J1204" s="310" t="s">
        <v>268</v>
      </c>
      <c r="K1204" s="293" t="s">
        <v>269</v>
      </c>
      <c r="L1204" s="280" t="s">
        <v>270</v>
      </c>
      <c r="M1204" s="282" t="s">
        <v>271</v>
      </c>
      <c r="N1204" s="282"/>
      <c r="O1204" s="282"/>
      <c r="P1204" s="282"/>
      <c r="Q1204" s="282"/>
      <c r="R1204" s="282"/>
      <c r="S1204" s="282"/>
      <c r="T1204" s="282"/>
      <c r="U1204" s="283"/>
      <c r="V1204" s="107"/>
      <c r="W1204" s="72"/>
      <c r="X1204" s="72"/>
      <c r="Y1204" s="72"/>
      <c r="Z1204" s="45">
        <v>7</v>
      </c>
      <c r="AA1204" s="65">
        <v>73</v>
      </c>
      <c r="AB1204" s="65">
        <v>84</v>
      </c>
      <c r="AC1204" s="25"/>
      <c r="AD1204" s="25"/>
      <c r="BA1204" s="227"/>
    </row>
    <row r="1205" spans="1:53" ht="15.75" thickBot="1" x14ac:dyDescent="0.3">
      <c r="A1205" s="88"/>
      <c r="B1205" s="322"/>
      <c r="C1205" s="294"/>
      <c r="D1205" s="294"/>
      <c r="E1205" s="307"/>
      <c r="F1205" s="294"/>
      <c r="G1205" s="309"/>
      <c r="H1205" s="309"/>
      <c r="I1205" s="309"/>
      <c r="J1205" s="311"/>
      <c r="K1205" s="294"/>
      <c r="L1205" s="281"/>
      <c r="M1205" s="284"/>
      <c r="N1205" s="284"/>
      <c r="O1205" s="284"/>
      <c r="P1205" s="284"/>
      <c r="Q1205" s="284"/>
      <c r="R1205" s="284"/>
      <c r="S1205" s="284"/>
      <c r="T1205" s="284"/>
      <c r="U1205" s="285"/>
      <c r="V1205" s="107"/>
      <c r="W1205" s="72"/>
      <c r="X1205" s="72"/>
      <c r="Y1205" s="72"/>
      <c r="Z1205" s="45">
        <v>8</v>
      </c>
      <c r="AA1205" s="46">
        <v>85</v>
      </c>
      <c r="AB1205" s="46">
        <v>96</v>
      </c>
      <c r="AC1205" s="25"/>
      <c r="AD1205" s="25"/>
      <c r="AI1205" s="109" t="s">
        <v>272</v>
      </c>
      <c r="AJ1205" s="109" t="s">
        <v>273</v>
      </c>
      <c r="AK1205" s="109" t="s">
        <v>274</v>
      </c>
      <c r="AL1205" s="109" t="s">
        <v>275</v>
      </c>
      <c r="BA1205" s="227"/>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2"/>
      <c r="M1206" s="278"/>
      <c r="N1206" s="278"/>
      <c r="O1206" s="278"/>
      <c r="P1206" s="278"/>
      <c r="Q1206" s="278"/>
      <c r="R1206" s="278"/>
      <c r="S1206" s="278"/>
      <c r="T1206" s="278"/>
      <c r="U1206" s="279"/>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8">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2"/>
      <c r="M1207" s="278"/>
      <c r="N1207" s="278"/>
      <c r="O1207" s="278"/>
      <c r="P1207" s="278"/>
      <c r="Q1207" s="278"/>
      <c r="R1207" s="278"/>
      <c r="S1207" s="278"/>
      <c r="T1207" s="278"/>
      <c r="U1207" s="279"/>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8">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2"/>
      <c r="M1208" s="278"/>
      <c r="N1208" s="278"/>
      <c r="O1208" s="278"/>
      <c r="P1208" s="278"/>
      <c r="Q1208" s="278"/>
      <c r="R1208" s="278"/>
      <c r="S1208" s="278"/>
      <c r="T1208" s="278"/>
      <c r="U1208" s="279"/>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8">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2"/>
      <c r="M1209" s="278"/>
      <c r="N1209" s="278"/>
      <c r="O1209" s="278"/>
      <c r="P1209" s="278"/>
      <c r="Q1209" s="278"/>
      <c r="R1209" s="278"/>
      <c r="S1209" s="278"/>
      <c r="T1209" s="278"/>
      <c r="U1209" s="279"/>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8">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2"/>
      <c r="M1210" s="278"/>
      <c r="N1210" s="278"/>
      <c r="O1210" s="278"/>
      <c r="P1210" s="278"/>
      <c r="Q1210" s="278"/>
      <c r="R1210" s="278"/>
      <c r="S1210" s="278"/>
      <c r="T1210" s="278"/>
      <c r="U1210" s="279"/>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8">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2"/>
      <c r="M1211" s="278"/>
      <c r="N1211" s="278"/>
      <c r="O1211" s="278"/>
      <c r="P1211" s="278"/>
      <c r="Q1211" s="278"/>
      <c r="R1211" s="278"/>
      <c r="S1211" s="278"/>
      <c r="T1211" s="278"/>
      <c r="U1211" s="279"/>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8">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2"/>
      <c r="M1212" s="278"/>
      <c r="N1212" s="278"/>
      <c r="O1212" s="278"/>
      <c r="P1212" s="278"/>
      <c r="Q1212" s="278"/>
      <c r="R1212" s="278"/>
      <c r="S1212" s="278"/>
      <c r="T1212" s="278"/>
      <c r="U1212" s="279"/>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8">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2"/>
      <c r="M1213" s="278"/>
      <c r="N1213" s="278"/>
      <c r="O1213" s="278"/>
      <c r="P1213" s="278"/>
      <c r="Q1213" s="278"/>
      <c r="R1213" s="278"/>
      <c r="S1213" s="278"/>
      <c r="T1213" s="278"/>
      <c r="U1213" s="279"/>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8">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2"/>
      <c r="M1214" s="278"/>
      <c r="N1214" s="278"/>
      <c r="O1214" s="278"/>
      <c r="P1214" s="278"/>
      <c r="Q1214" s="278"/>
      <c r="R1214" s="278"/>
      <c r="S1214" s="278"/>
      <c r="T1214" s="278"/>
      <c r="U1214" s="279"/>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8">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2"/>
      <c r="M1215" s="278"/>
      <c r="N1215" s="278"/>
      <c r="O1215" s="278"/>
      <c r="P1215" s="278"/>
      <c r="Q1215" s="278"/>
      <c r="R1215" s="278"/>
      <c r="S1215" s="278"/>
      <c r="T1215" s="278"/>
      <c r="U1215" s="279"/>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8">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2"/>
      <c r="M1216" s="278"/>
      <c r="N1216" s="278"/>
      <c r="O1216" s="278"/>
      <c r="P1216" s="278"/>
      <c r="Q1216" s="278"/>
      <c r="R1216" s="278"/>
      <c r="S1216" s="278"/>
      <c r="T1216" s="278"/>
      <c r="U1216" s="279"/>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8">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2"/>
      <c r="M1217" s="278"/>
      <c r="N1217" s="278"/>
      <c r="O1217" s="278"/>
      <c r="P1217" s="278"/>
      <c r="Q1217" s="278"/>
      <c r="R1217" s="278"/>
      <c r="S1217" s="278"/>
      <c r="T1217" s="278"/>
      <c r="U1217" s="279"/>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8">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2"/>
      <c r="M1218" s="278"/>
      <c r="N1218" s="278"/>
      <c r="O1218" s="278"/>
      <c r="P1218" s="278"/>
      <c r="Q1218" s="278"/>
      <c r="R1218" s="278"/>
      <c r="S1218" s="278"/>
      <c r="T1218" s="278"/>
      <c r="U1218" s="279"/>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8">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2"/>
      <c r="M1219" s="278"/>
      <c r="N1219" s="278"/>
      <c r="O1219" s="278"/>
      <c r="P1219" s="278"/>
      <c r="Q1219" s="278"/>
      <c r="R1219" s="278"/>
      <c r="S1219" s="278"/>
      <c r="T1219" s="278"/>
      <c r="U1219" s="279"/>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8">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2"/>
      <c r="M1220" s="278"/>
      <c r="N1220" s="278"/>
      <c r="O1220" s="278"/>
      <c r="P1220" s="278"/>
      <c r="Q1220" s="278"/>
      <c r="R1220" s="278"/>
      <c r="S1220" s="278"/>
      <c r="T1220" s="278"/>
      <c r="U1220" s="279"/>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8">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2"/>
      <c r="M1221" s="278"/>
      <c r="N1221" s="278"/>
      <c r="O1221" s="278"/>
      <c r="P1221" s="278"/>
      <c r="Q1221" s="278"/>
      <c r="R1221" s="278"/>
      <c r="S1221" s="278"/>
      <c r="T1221" s="278"/>
      <c r="U1221" s="279"/>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8">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2"/>
      <c r="M1222" s="278"/>
      <c r="N1222" s="278"/>
      <c r="O1222" s="278"/>
      <c r="P1222" s="278"/>
      <c r="Q1222" s="278"/>
      <c r="R1222" s="278"/>
      <c r="S1222" s="278"/>
      <c r="T1222" s="278"/>
      <c r="U1222" s="279"/>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8">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2"/>
      <c r="M1223" s="278"/>
      <c r="N1223" s="278"/>
      <c r="O1223" s="278"/>
      <c r="P1223" s="278"/>
      <c r="Q1223" s="278"/>
      <c r="R1223" s="278"/>
      <c r="S1223" s="278"/>
      <c r="T1223" s="278"/>
      <c r="U1223" s="279"/>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8">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2"/>
      <c r="M1224" s="278"/>
      <c r="N1224" s="278"/>
      <c r="O1224" s="278"/>
      <c r="P1224" s="278"/>
      <c r="Q1224" s="278"/>
      <c r="R1224" s="278"/>
      <c r="S1224" s="278"/>
      <c r="T1224" s="278"/>
      <c r="U1224" s="279"/>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8">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2"/>
      <c r="M1225" s="278"/>
      <c r="N1225" s="278"/>
      <c r="O1225" s="278"/>
      <c r="P1225" s="278"/>
      <c r="Q1225" s="278"/>
      <c r="R1225" s="278"/>
      <c r="S1225" s="278"/>
      <c r="T1225" s="278"/>
      <c r="U1225" s="279"/>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8">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2"/>
      <c r="M1226" s="278"/>
      <c r="N1226" s="278"/>
      <c r="O1226" s="278"/>
      <c r="P1226" s="278"/>
      <c r="Q1226" s="278"/>
      <c r="R1226" s="278"/>
      <c r="S1226" s="278"/>
      <c r="T1226" s="278"/>
      <c r="U1226" s="279"/>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8">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2"/>
      <c r="M1227" s="278"/>
      <c r="N1227" s="278"/>
      <c r="O1227" s="278"/>
      <c r="P1227" s="278"/>
      <c r="Q1227" s="278"/>
      <c r="R1227" s="278"/>
      <c r="S1227" s="278"/>
      <c r="T1227" s="278"/>
      <c r="U1227" s="279"/>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8">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2"/>
      <c r="M1228" s="278"/>
      <c r="N1228" s="278"/>
      <c r="O1228" s="278"/>
      <c r="P1228" s="278"/>
      <c r="Q1228" s="278"/>
      <c r="R1228" s="278"/>
      <c r="S1228" s="278"/>
      <c r="T1228" s="278"/>
      <c r="U1228" s="279"/>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8">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2"/>
      <c r="M1229" s="278"/>
      <c r="N1229" s="278"/>
      <c r="O1229" s="278"/>
      <c r="P1229" s="278"/>
      <c r="Q1229" s="278"/>
      <c r="R1229" s="278"/>
      <c r="S1229" s="278"/>
      <c r="T1229" s="278"/>
      <c r="U1229" s="279"/>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8">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3"/>
      <c r="M1230" s="278"/>
      <c r="N1230" s="278"/>
      <c r="O1230" s="278"/>
      <c r="P1230" s="278"/>
      <c r="Q1230" s="278"/>
      <c r="R1230" s="278"/>
      <c r="S1230" s="278"/>
      <c r="T1230" s="278"/>
      <c r="U1230" s="279"/>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7"/>
    </row>
    <row r="1231" spans="1:53" ht="16.5" thickBot="1" x14ac:dyDescent="0.3">
      <c r="A1231" s="88"/>
      <c r="B1231" s="319" t="s">
        <v>363</v>
      </c>
      <c r="C1231" s="320"/>
      <c r="D1231" s="79"/>
      <c r="E1231" s="80"/>
      <c r="F1231" s="80"/>
      <c r="G1231" s="81"/>
      <c r="H1231" s="191"/>
      <c r="I1231" s="191"/>
      <c r="J1231" s="191"/>
      <c r="K1231" s="82"/>
      <c r="L1231" s="319" t="s">
        <v>306</v>
      </c>
      <c r="M1231" s="330"/>
      <c r="N1231" s="330"/>
      <c r="O1231" s="330"/>
      <c r="P1231" s="330"/>
      <c r="Q1231" s="330"/>
      <c r="R1231" s="330"/>
      <c r="S1231" s="330"/>
      <c r="T1231" s="330"/>
      <c r="U1231" s="320"/>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7"/>
    </row>
    <row r="1232" spans="1:53" ht="16.5" thickBot="1" x14ac:dyDescent="0.3">
      <c r="A1232" s="88"/>
      <c r="B1232" s="319" t="s">
        <v>307</v>
      </c>
      <c r="C1232" s="320"/>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5"/>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5" t="s">
        <v>210</v>
      </c>
      <c r="N1235" s="195" t="s">
        <v>211</v>
      </c>
      <c r="O1235" s="195" t="s">
        <v>212</v>
      </c>
      <c r="P1235" s="195" t="s">
        <v>213</v>
      </c>
      <c r="Q1235" s="195" t="s">
        <v>214</v>
      </c>
      <c r="R1235" s="195" t="s">
        <v>215</v>
      </c>
      <c r="S1235" s="195" t="s">
        <v>216</v>
      </c>
      <c r="T1235" s="195" t="s">
        <v>217</v>
      </c>
      <c r="U1235" s="195" t="s">
        <v>218</v>
      </c>
      <c r="V1235" s="195" t="s">
        <v>219</v>
      </c>
      <c r="W1235" s="113" t="s">
        <v>220</v>
      </c>
      <c r="X1235" s="195" t="s">
        <v>221</v>
      </c>
      <c r="Y1235" s="25"/>
      <c r="Z1235" s="25"/>
      <c r="AA1235" s="25"/>
      <c r="AB1235" s="25"/>
      <c r="AC1235" s="25"/>
      <c r="AD1235" s="25"/>
      <c r="BA1235" s="225"/>
    </row>
    <row r="1236" spans="1:53" ht="16.5" thickTop="1" thickBot="1" x14ac:dyDescent="0.3">
      <c r="A1236" s="88"/>
      <c r="B1236" s="312" t="s">
        <v>222</v>
      </c>
      <c r="C1236" s="313"/>
      <c r="D1236" s="314" t="s">
        <v>223</v>
      </c>
      <c r="E1236" s="305"/>
      <c r="F1236" s="88"/>
      <c r="G1236" s="315" t="s">
        <v>224</v>
      </c>
      <c r="H1236" s="316"/>
      <c r="I1236" s="28">
        <f>SUM(E1247:E1271)</f>
        <v>0</v>
      </c>
      <c r="J1236" s="317" t="s">
        <v>225</v>
      </c>
      <c r="K1236" s="318"/>
      <c r="L1236" s="305"/>
      <c r="M1236" s="195">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5" t="s">
        <v>226</v>
      </c>
      <c r="AA1236" s="296"/>
      <c r="AB1236" s="297"/>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5"/>
    </row>
    <row r="1237" spans="1:53" ht="16.5" customHeight="1" thickTop="1" thickBot="1" x14ac:dyDescent="0.3">
      <c r="A1237" s="88"/>
      <c r="B1237" s="29" t="s">
        <v>228</v>
      </c>
      <c r="C1237" s="30">
        <v>0</v>
      </c>
      <c r="D1237" s="31" t="s">
        <v>229</v>
      </c>
      <c r="E1237" s="66" t="str">
        <f>TEXT(IF('Cable Calculator'!EX7="","",'Cable Calculator'!EX7),)</f>
        <v/>
      </c>
      <c r="F1237" s="88"/>
      <c r="G1237" s="304" t="s">
        <v>230</v>
      </c>
      <c r="H1237" s="305"/>
      <c r="I1237" s="33">
        <f>E1238-I1236</f>
        <v>0</v>
      </c>
      <c r="J1237" s="289" t="s">
        <v>231</v>
      </c>
      <c r="K1237" s="290"/>
      <c r="L1237" s="34">
        <f>I1241</f>
        <v>0</v>
      </c>
      <c r="M1237" s="195">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8" t="s">
        <v>232</v>
      </c>
      <c r="AA1237" s="300" t="s">
        <v>233</v>
      </c>
      <c r="AB1237" s="301"/>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6"/>
    </row>
    <row r="1238" spans="1:53" ht="16.5" thickTop="1" thickBot="1" x14ac:dyDescent="0.3">
      <c r="A1238" s="88"/>
      <c r="B1238" s="36" t="s">
        <v>235</v>
      </c>
      <c r="C1238" s="37">
        <v>0</v>
      </c>
      <c r="D1238" s="38" t="s">
        <v>236</v>
      </c>
      <c r="E1238" s="32"/>
      <c r="F1238" s="88"/>
      <c r="G1238" s="291" t="s">
        <v>237</v>
      </c>
      <c r="H1238" s="292"/>
      <c r="I1238" s="35">
        <f>IF(E1238=0,0,12-(MOD(I1236,12)))</f>
        <v>0</v>
      </c>
      <c r="J1238" s="289" t="s">
        <v>238</v>
      </c>
      <c r="K1238" s="290"/>
      <c r="L1238" s="39">
        <f>I1242-I1236</f>
        <v>0</v>
      </c>
      <c r="M1238" s="195">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9"/>
      <c r="AA1238" s="302"/>
      <c r="AB1238" s="303"/>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6"/>
    </row>
    <row r="1239" spans="1:53" ht="16.5" customHeight="1" thickTop="1" thickBot="1" x14ac:dyDescent="0.3">
      <c r="A1239" s="88"/>
      <c r="B1239" s="40" t="s">
        <v>240</v>
      </c>
      <c r="C1239" s="30">
        <v>0</v>
      </c>
      <c r="D1239" s="41" t="s">
        <v>241</v>
      </c>
      <c r="E1239" s="42"/>
      <c r="F1239" s="88"/>
      <c r="G1239" s="321" t="s">
        <v>242</v>
      </c>
      <c r="H1239" s="43" t="s">
        <v>243</v>
      </c>
      <c r="I1239" s="35">
        <f>IF(E1239&lt;&gt;0,1,0)</f>
        <v>0</v>
      </c>
      <c r="J1239" s="291" t="s">
        <v>244</v>
      </c>
      <c r="K1239" s="292"/>
      <c r="L1239" s="44" t="str">
        <f>'Cable Calculator'!EX3</f>
        <v/>
      </c>
      <c r="M1239" s="195">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6"/>
    </row>
    <row r="1240" spans="1:53" ht="16.5" thickTop="1" thickBot="1" x14ac:dyDescent="0.3">
      <c r="A1240" s="88"/>
      <c r="B1240" s="29" t="s">
        <v>246</v>
      </c>
      <c r="C1240" s="37">
        <v>0</v>
      </c>
      <c r="D1240" s="41" t="s">
        <v>247</v>
      </c>
      <c r="E1240" s="42"/>
      <c r="F1240" s="88"/>
      <c r="G1240" s="322"/>
      <c r="H1240" s="47" t="s">
        <v>248</v>
      </c>
      <c r="I1240" s="35">
        <f>IF(E1239&lt;&gt;0,E1239,0)</f>
        <v>0</v>
      </c>
      <c r="J1240" s="193"/>
      <c r="K1240" s="194"/>
      <c r="L1240" s="48"/>
      <c r="M1240" s="195">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6"/>
    </row>
    <row r="1241" spans="1:53" ht="16.5" customHeight="1" thickTop="1" thickBot="1" x14ac:dyDescent="0.3">
      <c r="A1241" s="88"/>
      <c r="B1241" s="36" t="s">
        <v>249</v>
      </c>
      <c r="C1241" s="30">
        <v>0</v>
      </c>
      <c r="D1241" s="49" t="s">
        <v>250</v>
      </c>
      <c r="E1241" s="50">
        <f>E1238/12</f>
        <v>0</v>
      </c>
      <c r="F1241" s="88"/>
      <c r="G1241" s="321" t="s">
        <v>251</v>
      </c>
      <c r="H1241" s="51" t="s">
        <v>252</v>
      </c>
      <c r="I1241" s="112">
        <f>E1240</f>
        <v>0</v>
      </c>
      <c r="J1241" s="323" t="s">
        <v>253</v>
      </c>
      <c r="K1241" s="324"/>
      <c r="L1241" s="325"/>
      <c r="M1241" s="52" t="s">
        <v>254</v>
      </c>
      <c r="N1241" s="106"/>
      <c r="O1241" s="106"/>
      <c r="P1241" s="191"/>
      <c r="Q1241" s="191"/>
      <c r="R1241" s="191"/>
      <c r="S1241" s="191"/>
      <c r="T1241" s="191"/>
      <c r="U1241" s="191"/>
      <c r="V1241" s="191"/>
      <c r="W1241" s="53">
        <f>SUM(P1241:U1241)</f>
        <v>0</v>
      </c>
      <c r="X1241" s="54"/>
      <c r="Y1241" s="25"/>
      <c r="Z1241" s="45">
        <v>3</v>
      </c>
      <c r="AA1241" s="46">
        <v>25</v>
      </c>
      <c r="AB1241" s="46">
        <v>36</v>
      </c>
      <c r="AC1241" s="25"/>
      <c r="AD1241" s="25"/>
      <c r="BA1241" s="226"/>
    </row>
    <row r="1242" spans="1:53" ht="16.5" thickTop="1" thickBot="1" x14ac:dyDescent="0.3">
      <c r="A1242" s="88"/>
      <c r="B1242" s="36" t="s">
        <v>255</v>
      </c>
      <c r="C1242" s="30">
        <v>0</v>
      </c>
      <c r="D1242" s="31" t="s">
        <v>256</v>
      </c>
      <c r="E1242" s="101" t="str">
        <f>IF('Cable Calculator'!EX5="","",'Cable Calculator'!EX5)</f>
        <v/>
      </c>
      <c r="F1242" s="88"/>
      <c r="G1242" s="322"/>
      <c r="H1242" s="47" t="s">
        <v>257</v>
      </c>
      <c r="I1242" s="35" t="str">
        <f>IF(E1240="","0",IF(AND(E1237="EUC",E1238=432), I1241+(203-E1239),IF(E1240=0,0,(E1240+(E1238-E1239)-1))))</f>
        <v>0</v>
      </c>
      <c r="J1242" s="286" t="str">
        <f>IFERROR(IF(OR(E1237="EUC",E1237="SS"),"---",IF(OR(P1236,S1236),"NO 2F Tethers for RPX!",IF(OR(P1238,S1238),"NO 6F Tethers for RPX!","---"))),"---")</f>
        <v>---</v>
      </c>
      <c r="K1242" s="287"/>
      <c r="L1242" s="288"/>
      <c r="M1242" s="286" t="str">
        <f>IF(E1239&gt;60,"Dead Count &gt;60: Consider Downsize","---")</f>
        <v>---</v>
      </c>
      <c r="N1242" s="287"/>
      <c r="O1242" s="287"/>
      <c r="P1242" s="287"/>
      <c r="Q1242" s="287"/>
      <c r="R1242" s="287"/>
      <c r="S1242" s="287"/>
      <c r="T1242" s="287"/>
      <c r="U1242" s="288"/>
      <c r="V1242" s="100"/>
      <c r="W1242" s="54">
        <f>SUM(P1242:U1242)</f>
        <v>0</v>
      </c>
      <c r="X1242" s="54"/>
      <c r="Y1242" s="25"/>
      <c r="Z1242" s="45">
        <v>4</v>
      </c>
      <c r="AA1242" s="46">
        <v>37</v>
      </c>
      <c r="AB1242" s="46">
        <v>48</v>
      </c>
      <c r="AC1242" s="25"/>
      <c r="AD1242" s="25"/>
      <c r="BA1242" s="226"/>
    </row>
    <row r="1243" spans="1:53" ht="16.5" thickTop="1" thickBot="1" x14ac:dyDescent="0.3">
      <c r="A1243" s="88"/>
      <c r="B1243" s="55" t="s">
        <v>258</v>
      </c>
      <c r="C1243" s="56">
        <f>SUM(C1237:C1242)+I1236</f>
        <v>0</v>
      </c>
      <c r="D1243" s="31" t="s">
        <v>259</v>
      </c>
      <c r="E1243" s="101" t="str">
        <f>IF(AS1237="Y","DBL",IF(AS1238="Y","TRPL",IF(AS1239="Y","QUAD","")))</f>
        <v/>
      </c>
      <c r="F1243" s="88"/>
      <c r="G1243" s="191"/>
      <c r="H1243" s="57"/>
      <c r="I1243" s="191"/>
      <c r="J1243" s="286"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7"/>
      <c r="L1243" s="288"/>
      <c r="M1243" s="286" t="str">
        <f>IF(AND(OR(E1237="SS",E1237="RPX",E1237="EUC",E1237="RPX-T"),(OR(C1247="",C1247="Field SPL"))),"Cannot have FlexNap cables without tethers","---")</f>
        <v>---</v>
      </c>
      <c r="N1243" s="287"/>
      <c r="O1243" s="287"/>
      <c r="P1243" s="287"/>
      <c r="Q1243" s="287"/>
      <c r="R1243" s="287"/>
      <c r="S1243" s="287"/>
      <c r="T1243" s="287"/>
      <c r="U1243" s="288"/>
      <c r="V1243" s="25"/>
      <c r="W1243" s="58"/>
      <c r="X1243" s="58"/>
      <c r="Y1243" s="25"/>
      <c r="Z1243" s="45">
        <v>5</v>
      </c>
      <c r="AA1243" s="46">
        <v>49</v>
      </c>
      <c r="AB1243" s="46">
        <v>60</v>
      </c>
      <c r="AC1243" s="25"/>
      <c r="AD1243" s="25"/>
      <c r="BA1243" s="226"/>
    </row>
    <row r="1244" spans="1:53" ht="16.5" thickTop="1" thickBot="1" x14ac:dyDescent="0.3">
      <c r="A1244" s="88"/>
      <c r="B1244" s="59"/>
      <c r="C1244" s="60"/>
      <c r="D1244" s="61"/>
      <c r="E1244" s="62"/>
      <c r="F1244" s="88"/>
      <c r="G1244" s="63"/>
      <c r="H1244" s="64"/>
      <c r="I1244" s="63"/>
      <c r="J1244" s="286" t="str">
        <f>IF(AND(OR(E1237="RPX", E1237="RPX-T", E1237="SS"),E1238=216),"NO 216 For RPX, RPX-T, OR SS CABLE","---")</f>
        <v>---</v>
      </c>
      <c r="K1244" s="287"/>
      <c r="L1244" s="288"/>
      <c r="M1244" s="286" t="str" cm="1">
        <f t="array" ref="M1244">IF(AND(E1237="",OR(C1247:C1271="FST",C1247:C1271="REV T",C1247:C1271="DBL REV",C1247:C1271="TPL REV", C1247:C1271="QD REV")),"Non-FlexNap cables cannot have tethers","---")</f>
        <v>---</v>
      </c>
      <c r="N1244" s="287"/>
      <c r="O1244" s="287"/>
      <c r="P1244" s="287"/>
      <c r="Q1244" s="287"/>
      <c r="R1244" s="287"/>
      <c r="S1244" s="287"/>
      <c r="T1244" s="287"/>
      <c r="U1244" s="288"/>
      <c r="V1244" s="25"/>
      <c r="W1244" s="58"/>
      <c r="X1244" s="58"/>
      <c r="Y1244" s="25"/>
      <c r="Z1244" s="45">
        <v>6</v>
      </c>
      <c r="AA1244" s="65">
        <v>61</v>
      </c>
      <c r="AB1244" s="65">
        <v>72</v>
      </c>
      <c r="AC1244" s="25"/>
      <c r="AD1244" s="25"/>
      <c r="BA1244" s="225"/>
    </row>
    <row r="1245" spans="1:53" ht="15.75" customHeight="1" thickBot="1" x14ac:dyDescent="0.3">
      <c r="A1245" s="88"/>
      <c r="B1245" s="321" t="s">
        <v>260</v>
      </c>
      <c r="C1245" s="293" t="s">
        <v>261</v>
      </c>
      <c r="D1245" s="293" t="s">
        <v>262</v>
      </c>
      <c r="E1245" s="306" t="s">
        <v>263</v>
      </c>
      <c r="F1245" s="293" t="s">
        <v>264</v>
      </c>
      <c r="G1245" s="308" t="s">
        <v>265</v>
      </c>
      <c r="H1245" s="308" t="s">
        <v>266</v>
      </c>
      <c r="I1245" s="308" t="s">
        <v>267</v>
      </c>
      <c r="J1245" s="310" t="s">
        <v>268</v>
      </c>
      <c r="K1245" s="293" t="s">
        <v>269</v>
      </c>
      <c r="L1245" s="280" t="s">
        <v>270</v>
      </c>
      <c r="M1245" s="282" t="s">
        <v>271</v>
      </c>
      <c r="N1245" s="282"/>
      <c r="O1245" s="282"/>
      <c r="P1245" s="282"/>
      <c r="Q1245" s="282"/>
      <c r="R1245" s="282"/>
      <c r="S1245" s="282"/>
      <c r="T1245" s="282"/>
      <c r="U1245" s="283"/>
      <c r="V1245" s="107"/>
      <c r="W1245" s="72"/>
      <c r="X1245" s="72"/>
      <c r="Y1245" s="72"/>
      <c r="Z1245" s="45">
        <v>7</v>
      </c>
      <c r="AA1245" s="65">
        <v>73</v>
      </c>
      <c r="AB1245" s="65">
        <v>84</v>
      </c>
      <c r="AC1245" s="25"/>
      <c r="AD1245" s="25"/>
      <c r="BA1245" s="227"/>
    </row>
    <row r="1246" spans="1:53" ht="15.75" thickBot="1" x14ac:dyDescent="0.3">
      <c r="A1246" s="88"/>
      <c r="B1246" s="322"/>
      <c r="C1246" s="294"/>
      <c r="D1246" s="294"/>
      <c r="E1246" s="307"/>
      <c r="F1246" s="294"/>
      <c r="G1246" s="309"/>
      <c r="H1246" s="309"/>
      <c r="I1246" s="309"/>
      <c r="J1246" s="311"/>
      <c r="K1246" s="294"/>
      <c r="L1246" s="281"/>
      <c r="M1246" s="284"/>
      <c r="N1246" s="284"/>
      <c r="O1246" s="284"/>
      <c r="P1246" s="284"/>
      <c r="Q1246" s="284"/>
      <c r="R1246" s="284"/>
      <c r="S1246" s="284"/>
      <c r="T1246" s="284"/>
      <c r="U1246" s="285"/>
      <c r="V1246" s="107"/>
      <c r="W1246" s="72"/>
      <c r="X1246" s="72"/>
      <c r="Y1246" s="72"/>
      <c r="Z1246" s="45">
        <v>8</v>
      </c>
      <c r="AA1246" s="46">
        <v>85</v>
      </c>
      <c r="AB1246" s="46">
        <v>96</v>
      </c>
      <c r="AC1246" s="25"/>
      <c r="AD1246" s="25"/>
      <c r="AI1246" s="109" t="s">
        <v>272</v>
      </c>
      <c r="AJ1246" s="109" t="s">
        <v>273</v>
      </c>
      <c r="AK1246" s="109" t="s">
        <v>274</v>
      </c>
      <c r="AL1246" s="109" t="s">
        <v>275</v>
      </c>
      <c r="BA1246" s="227"/>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2"/>
      <c r="M1247" s="278"/>
      <c r="N1247" s="278"/>
      <c r="O1247" s="278"/>
      <c r="P1247" s="278"/>
      <c r="Q1247" s="278"/>
      <c r="R1247" s="278"/>
      <c r="S1247" s="278"/>
      <c r="T1247" s="278"/>
      <c r="U1247" s="279"/>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8">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2"/>
      <c r="M1248" s="278"/>
      <c r="N1248" s="278"/>
      <c r="O1248" s="278"/>
      <c r="P1248" s="278"/>
      <c r="Q1248" s="278"/>
      <c r="R1248" s="278"/>
      <c r="S1248" s="278"/>
      <c r="T1248" s="278"/>
      <c r="U1248" s="279"/>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8">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2"/>
      <c r="M1249" s="278"/>
      <c r="N1249" s="278"/>
      <c r="O1249" s="278"/>
      <c r="P1249" s="278"/>
      <c r="Q1249" s="278"/>
      <c r="R1249" s="278"/>
      <c r="S1249" s="278"/>
      <c r="T1249" s="278"/>
      <c r="U1249" s="279"/>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8">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2"/>
      <c r="M1250" s="278"/>
      <c r="N1250" s="278"/>
      <c r="O1250" s="278"/>
      <c r="P1250" s="278"/>
      <c r="Q1250" s="278"/>
      <c r="R1250" s="278"/>
      <c r="S1250" s="278"/>
      <c r="T1250" s="278"/>
      <c r="U1250" s="279"/>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8">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2"/>
      <c r="M1251" s="278"/>
      <c r="N1251" s="278"/>
      <c r="O1251" s="278"/>
      <c r="P1251" s="278"/>
      <c r="Q1251" s="278"/>
      <c r="R1251" s="278"/>
      <c r="S1251" s="278"/>
      <c r="T1251" s="278"/>
      <c r="U1251" s="279"/>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8">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2"/>
      <c r="M1252" s="278"/>
      <c r="N1252" s="278"/>
      <c r="O1252" s="278"/>
      <c r="P1252" s="278"/>
      <c r="Q1252" s="278"/>
      <c r="R1252" s="278"/>
      <c r="S1252" s="278"/>
      <c r="T1252" s="278"/>
      <c r="U1252" s="279"/>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8">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2"/>
      <c r="M1253" s="278"/>
      <c r="N1253" s="278"/>
      <c r="O1253" s="278"/>
      <c r="P1253" s="278"/>
      <c r="Q1253" s="278"/>
      <c r="R1253" s="278"/>
      <c r="S1253" s="278"/>
      <c r="T1253" s="278"/>
      <c r="U1253" s="279"/>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8">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2"/>
      <c r="M1254" s="278"/>
      <c r="N1254" s="278"/>
      <c r="O1254" s="278"/>
      <c r="P1254" s="278"/>
      <c r="Q1254" s="278"/>
      <c r="R1254" s="278"/>
      <c r="S1254" s="278"/>
      <c r="T1254" s="278"/>
      <c r="U1254" s="279"/>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8">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2"/>
      <c r="M1255" s="278"/>
      <c r="N1255" s="278"/>
      <c r="O1255" s="278"/>
      <c r="P1255" s="278"/>
      <c r="Q1255" s="278"/>
      <c r="R1255" s="278"/>
      <c r="S1255" s="278"/>
      <c r="T1255" s="278"/>
      <c r="U1255" s="279"/>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8">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2"/>
      <c r="M1256" s="278"/>
      <c r="N1256" s="278"/>
      <c r="O1256" s="278"/>
      <c r="P1256" s="278"/>
      <c r="Q1256" s="278"/>
      <c r="R1256" s="278"/>
      <c r="S1256" s="278"/>
      <c r="T1256" s="278"/>
      <c r="U1256" s="279"/>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8">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2"/>
      <c r="M1257" s="278"/>
      <c r="N1257" s="278"/>
      <c r="O1257" s="278"/>
      <c r="P1257" s="278"/>
      <c r="Q1257" s="278"/>
      <c r="R1257" s="278"/>
      <c r="S1257" s="278"/>
      <c r="T1257" s="278"/>
      <c r="U1257" s="279"/>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8">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2"/>
      <c r="M1258" s="278"/>
      <c r="N1258" s="278"/>
      <c r="O1258" s="278"/>
      <c r="P1258" s="278"/>
      <c r="Q1258" s="278"/>
      <c r="R1258" s="278"/>
      <c r="S1258" s="278"/>
      <c r="T1258" s="278"/>
      <c r="U1258" s="279"/>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8">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2"/>
      <c r="M1259" s="278"/>
      <c r="N1259" s="278"/>
      <c r="O1259" s="278"/>
      <c r="P1259" s="278"/>
      <c r="Q1259" s="278"/>
      <c r="R1259" s="278"/>
      <c r="S1259" s="278"/>
      <c r="T1259" s="278"/>
      <c r="U1259" s="279"/>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8">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2"/>
      <c r="M1260" s="278"/>
      <c r="N1260" s="278"/>
      <c r="O1260" s="278"/>
      <c r="P1260" s="278"/>
      <c r="Q1260" s="278"/>
      <c r="R1260" s="278"/>
      <c r="S1260" s="278"/>
      <c r="T1260" s="278"/>
      <c r="U1260" s="279"/>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8">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2"/>
      <c r="M1261" s="278"/>
      <c r="N1261" s="278"/>
      <c r="O1261" s="278"/>
      <c r="P1261" s="278"/>
      <c r="Q1261" s="278"/>
      <c r="R1261" s="278"/>
      <c r="S1261" s="278"/>
      <c r="T1261" s="278"/>
      <c r="U1261" s="279"/>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8">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2"/>
      <c r="M1262" s="278"/>
      <c r="N1262" s="278"/>
      <c r="O1262" s="278"/>
      <c r="P1262" s="278"/>
      <c r="Q1262" s="278"/>
      <c r="R1262" s="278"/>
      <c r="S1262" s="278"/>
      <c r="T1262" s="278"/>
      <c r="U1262" s="279"/>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8">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2"/>
      <c r="M1263" s="278"/>
      <c r="N1263" s="278"/>
      <c r="O1263" s="278"/>
      <c r="P1263" s="278"/>
      <c r="Q1263" s="278"/>
      <c r="R1263" s="278"/>
      <c r="S1263" s="278"/>
      <c r="T1263" s="278"/>
      <c r="U1263" s="279"/>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8">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2"/>
      <c r="M1264" s="278"/>
      <c r="N1264" s="278"/>
      <c r="O1264" s="278"/>
      <c r="P1264" s="278"/>
      <c r="Q1264" s="278"/>
      <c r="R1264" s="278"/>
      <c r="S1264" s="278"/>
      <c r="T1264" s="278"/>
      <c r="U1264" s="279"/>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8">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2"/>
      <c r="M1265" s="278"/>
      <c r="N1265" s="278"/>
      <c r="O1265" s="278"/>
      <c r="P1265" s="278"/>
      <c r="Q1265" s="278"/>
      <c r="R1265" s="278"/>
      <c r="S1265" s="278"/>
      <c r="T1265" s="278"/>
      <c r="U1265" s="279"/>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8">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2"/>
      <c r="M1266" s="278"/>
      <c r="N1266" s="278"/>
      <c r="O1266" s="278"/>
      <c r="P1266" s="278"/>
      <c r="Q1266" s="278"/>
      <c r="R1266" s="278"/>
      <c r="S1266" s="278"/>
      <c r="T1266" s="278"/>
      <c r="U1266" s="279"/>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8">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2"/>
      <c r="M1267" s="278"/>
      <c r="N1267" s="278"/>
      <c r="O1267" s="278"/>
      <c r="P1267" s="278"/>
      <c r="Q1267" s="278"/>
      <c r="R1267" s="278"/>
      <c r="S1267" s="278"/>
      <c r="T1267" s="278"/>
      <c r="U1267" s="279"/>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8">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2"/>
      <c r="M1268" s="278"/>
      <c r="N1268" s="278"/>
      <c r="O1268" s="278"/>
      <c r="P1268" s="278"/>
      <c r="Q1268" s="278"/>
      <c r="R1268" s="278"/>
      <c r="S1268" s="278"/>
      <c r="T1268" s="278"/>
      <c r="U1268" s="279"/>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8">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2"/>
      <c r="M1269" s="278"/>
      <c r="N1269" s="278"/>
      <c r="O1269" s="278"/>
      <c r="P1269" s="278"/>
      <c r="Q1269" s="278"/>
      <c r="R1269" s="278"/>
      <c r="S1269" s="278"/>
      <c r="T1269" s="278"/>
      <c r="U1269" s="279"/>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8">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2"/>
      <c r="M1270" s="278"/>
      <c r="N1270" s="278"/>
      <c r="O1270" s="278"/>
      <c r="P1270" s="278"/>
      <c r="Q1270" s="278"/>
      <c r="R1270" s="278"/>
      <c r="S1270" s="278"/>
      <c r="T1270" s="278"/>
      <c r="U1270" s="279"/>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8">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3"/>
      <c r="M1271" s="278"/>
      <c r="N1271" s="278"/>
      <c r="O1271" s="278"/>
      <c r="P1271" s="278"/>
      <c r="Q1271" s="278"/>
      <c r="R1271" s="278"/>
      <c r="S1271" s="278"/>
      <c r="T1271" s="278"/>
      <c r="U1271" s="279"/>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7"/>
    </row>
    <row r="1272" spans="1:53" ht="16.5" thickBot="1" x14ac:dyDescent="0.3">
      <c r="A1272" s="88"/>
      <c r="B1272" s="319" t="s">
        <v>365</v>
      </c>
      <c r="C1272" s="320"/>
      <c r="D1272" s="79"/>
      <c r="E1272" s="80"/>
      <c r="F1272" s="80"/>
      <c r="G1272" s="81"/>
      <c r="H1272" s="191"/>
      <c r="I1272" s="191"/>
      <c r="J1272" s="191"/>
      <c r="K1272" s="82"/>
      <c r="L1272" s="319" t="s">
        <v>306</v>
      </c>
      <c r="M1272" s="330"/>
      <c r="N1272" s="330"/>
      <c r="O1272" s="330"/>
      <c r="P1272" s="330"/>
      <c r="Q1272" s="330"/>
      <c r="R1272" s="330"/>
      <c r="S1272" s="330"/>
      <c r="T1272" s="330"/>
      <c r="U1272" s="320"/>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7"/>
    </row>
    <row r="1273" spans="1:53" ht="16.5" thickBot="1" x14ac:dyDescent="0.3">
      <c r="A1273" s="88"/>
      <c r="B1273" s="319" t="s">
        <v>307</v>
      </c>
      <c r="C1273" s="320"/>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5"/>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5" t="s">
        <v>210</v>
      </c>
      <c r="N1276" s="195" t="s">
        <v>211</v>
      </c>
      <c r="O1276" s="195" t="s">
        <v>212</v>
      </c>
      <c r="P1276" s="195" t="s">
        <v>213</v>
      </c>
      <c r="Q1276" s="195" t="s">
        <v>214</v>
      </c>
      <c r="R1276" s="195" t="s">
        <v>215</v>
      </c>
      <c r="S1276" s="195" t="s">
        <v>216</v>
      </c>
      <c r="T1276" s="195" t="s">
        <v>217</v>
      </c>
      <c r="U1276" s="195" t="s">
        <v>218</v>
      </c>
      <c r="V1276" s="195" t="s">
        <v>219</v>
      </c>
      <c r="W1276" s="113" t="s">
        <v>220</v>
      </c>
      <c r="X1276" s="195" t="s">
        <v>221</v>
      </c>
      <c r="Y1276" s="25"/>
      <c r="Z1276" s="25"/>
      <c r="AA1276" s="25"/>
      <c r="AB1276" s="25"/>
      <c r="AC1276" s="25"/>
      <c r="AD1276" s="25"/>
      <c r="BA1276" s="225"/>
    </row>
    <row r="1277" spans="1:53" ht="16.5" thickTop="1" thickBot="1" x14ac:dyDescent="0.3">
      <c r="A1277" s="88"/>
      <c r="B1277" s="312" t="s">
        <v>222</v>
      </c>
      <c r="C1277" s="313"/>
      <c r="D1277" s="314" t="s">
        <v>223</v>
      </c>
      <c r="E1277" s="305"/>
      <c r="F1277" s="88"/>
      <c r="G1277" s="315" t="s">
        <v>224</v>
      </c>
      <c r="H1277" s="316"/>
      <c r="I1277" s="28">
        <f>SUM(E1288:E1312)</f>
        <v>0</v>
      </c>
      <c r="J1277" s="317" t="s">
        <v>225</v>
      </c>
      <c r="K1277" s="318"/>
      <c r="L1277" s="305"/>
      <c r="M1277" s="195">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5" t="s">
        <v>226</v>
      </c>
      <c r="AA1277" s="296"/>
      <c r="AB1277" s="297"/>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5"/>
    </row>
    <row r="1278" spans="1:53" ht="16.5" customHeight="1" thickTop="1" thickBot="1" x14ac:dyDescent="0.3">
      <c r="A1278" s="88"/>
      <c r="B1278" s="29" t="s">
        <v>228</v>
      </c>
      <c r="C1278" s="30">
        <v>0</v>
      </c>
      <c r="D1278" s="31" t="s">
        <v>229</v>
      </c>
      <c r="E1278" s="66" t="str">
        <f>TEXT(IF('Cable Calculator'!FC7="","",'Cable Calculator'!FC7),)</f>
        <v/>
      </c>
      <c r="F1278" s="88"/>
      <c r="G1278" s="304" t="s">
        <v>230</v>
      </c>
      <c r="H1278" s="305"/>
      <c r="I1278" s="33">
        <f>E1279-I1277</f>
        <v>0</v>
      </c>
      <c r="J1278" s="289" t="s">
        <v>231</v>
      </c>
      <c r="K1278" s="290"/>
      <c r="L1278" s="34">
        <f>I1282</f>
        <v>0</v>
      </c>
      <c r="M1278" s="195">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8" t="s">
        <v>232</v>
      </c>
      <c r="AA1278" s="300" t="s">
        <v>233</v>
      </c>
      <c r="AB1278" s="301"/>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6"/>
    </row>
    <row r="1279" spans="1:53" ht="16.5" thickTop="1" thickBot="1" x14ac:dyDescent="0.3">
      <c r="A1279" s="88"/>
      <c r="B1279" s="36" t="s">
        <v>235</v>
      </c>
      <c r="C1279" s="37">
        <v>0</v>
      </c>
      <c r="D1279" s="38" t="s">
        <v>236</v>
      </c>
      <c r="E1279" s="32"/>
      <c r="F1279" s="88"/>
      <c r="G1279" s="291" t="s">
        <v>237</v>
      </c>
      <c r="H1279" s="292"/>
      <c r="I1279" s="35">
        <f>IF(E1279=0,0,12-(MOD(I1277,12)))</f>
        <v>0</v>
      </c>
      <c r="J1279" s="289" t="s">
        <v>238</v>
      </c>
      <c r="K1279" s="290"/>
      <c r="L1279" s="39">
        <f>I1283-I1277</f>
        <v>0</v>
      </c>
      <c r="M1279" s="195">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9"/>
      <c r="AA1279" s="302"/>
      <c r="AB1279" s="303"/>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6"/>
    </row>
    <row r="1280" spans="1:53" ht="16.5" customHeight="1" thickTop="1" thickBot="1" x14ac:dyDescent="0.3">
      <c r="A1280" s="88"/>
      <c r="B1280" s="40" t="s">
        <v>240</v>
      </c>
      <c r="C1280" s="30">
        <v>0</v>
      </c>
      <c r="D1280" s="41" t="s">
        <v>241</v>
      </c>
      <c r="E1280" s="42"/>
      <c r="F1280" s="88"/>
      <c r="G1280" s="321" t="s">
        <v>242</v>
      </c>
      <c r="H1280" s="43" t="s">
        <v>243</v>
      </c>
      <c r="I1280" s="35">
        <f>IF(E1280&lt;&gt;0,1,0)</f>
        <v>0</v>
      </c>
      <c r="J1280" s="291" t="s">
        <v>244</v>
      </c>
      <c r="K1280" s="292"/>
      <c r="L1280" s="44" t="str">
        <f>'Cable Calculator'!FC3</f>
        <v/>
      </c>
      <c r="M1280" s="195">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6"/>
    </row>
    <row r="1281" spans="1:53" ht="16.5" thickTop="1" thickBot="1" x14ac:dyDescent="0.3">
      <c r="A1281" s="88"/>
      <c r="B1281" s="29" t="s">
        <v>246</v>
      </c>
      <c r="C1281" s="37">
        <v>0</v>
      </c>
      <c r="D1281" s="41" t="s">
        <v>247</v>
      </c>
      <c r="E1281" s="42"/>
      <c r="F1281" s="88"/>
      <c r="G1281" s="322"/>
      <c r="H1281" s="47" t="s">
        <v>248</v>
      </c>
      <c r="I1281" s="35">
        <f>IF(E1280&lt;&gt;0,E1280,0)</f>
        <v>0</v>
      </c>
      <c r="J1281" s="193"/>
      <c r="K1281" s="194"/>
      <c r="L1281" s="48"/>
      <c r="M1281" s="195">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6"/>
    </row>
    <row r="1282" spans="1:53" ht="16.5" customHeight="1" thickTop="1" thickBot="1" x14ac:dyDescent="0.3">
      <c r="A1282" s="88"/>
      <c r="B1282" s="36" t="s">
        <v>249</v>
      </c>
      <c r="C1282" s="30">
        <v>0</v>
      </c>
      <c r="D1282" s="49" t="s">
        <v>250</v>
      </c>
      <c r="E1282" s="50">
        <f>E1279/12</f>
        <v>0</v>
      </c>
      <c r="F1282" s="88"/>
      <c r="G1282" s="321" t="s">
        <v>251</v>
      </c>
      <c r="H1282" s="51" t="s">
        <v>252</v>
      </c>
      <c r="I1282" s="112">
        <f>E1281</f>
        <v>0</v>
      </c>
      <c r="J1282" s="323" t="s">
        <v>253</v>
      </c>
      <c r="K1282" s="324"/>
      <c r="L1282" s="325"/>
      <c r="M1282" s="52" t="s">
        <v>254</v>
      </c>
      <c r="N1282" s="106"/>
      <c r="O1282" s="106"/>
      <c r="P1282" s="191"/>
      <c r="Q1282" s="191"/>
      <c r="R1282" s="191"/>
      <c r="S1282" s="191"/>
      <c r="T1282" s="191"/>
      <c r="U1282" s="191"/>
      <c r="V1282" s="191"/>
      <c r="W1282" s="53">
        <f>SUM(P1282:U1282)</f>
        <v>0</v>
      </c>
      <c r="X1282" s="54"/>
      <c r="Y1282" s="25"/>
      <c r="Z1282" s="45">
        <v>3</v>
      </c>
      <c r="AA1282" s="46">
        <v>25</v>
      </c>
      <c r="AB1282" s="46">
        <v>36</v>
      </c>
      <c r="AC1282" s="25"/>
      <c r="AD1282" s="25"/>
      <c r="BA1282" s="226"/>
    </row>
    <row r="1283" spans="1:53" ht="16.5" thickTop="1" thickBot="1" x14ac:dyDescent="0.3">
      <c r="A1283" s="88"/>
      <c r="B1283" s="36" t="s">
        <v>255</v>
      </c>
      <c r="C1283" s="30">
        <v>0</v>
      </c>
      <c r="D1283" s="31" t="s">
        <v>256</v>
      </c>
      <c r="E1283" s="101" t="str">
        <f>IF('Cable Calculator'!FC5="","",'Cable Calculator'!FC5)</f>
        <v/>
      </c>
      <c r="F1283" s="88"/>
      <c r="G1283" s="322"/>
      <c r="H1283" s="47" t="s">
        <v>257</v>
      </c>
      <c r="I1283" s="35" t="str">
        <f>IF(E1281="","0",IF(AND(E1278="EUC",E1279=432), I1282+(203-E1280),IF(E1281=0,0,(E1281+(E1279-E1280)-1))))</f>
        <v>0</v>
      </c>
      <c r="J1283" s="286" t="str">
        <f>IFERROR(IF(OR(E1278="EUC",E1278="SS"),"---",IF(OR(P1277,S1277),"NO 2F Tethers for RPX!",IF(OR(P1279,S1279),"NO 6F Tethers for RPX!","---"))),"---")</f>
        <v>---</v>
      </c>
      <c r="K1283" s="287"/>
      <c r="L1283" s="288"/>
      <c r="M1283" s="286" t="str">
        <f>IF(E1280&gt;60,"Dead Count &gt;60: Consider Downsize","---")</f>
        <v>---</v>
      </c>
      <c r="N1283" s="287"/>
      <c r="O1283" s="287"/>
      <c r="P1283" s="287"/>
      <c r="Q1283" s="287"/>
      <c r="R1283" s="287"/>
      <c r="S1283" s="287"/>
      <c r="T1283" s="287"/>
      <c r="U1283" s="288"/>
      <c r="V1283" s="100"/>
      <c r="W1283" s="54">
        <f>SUM(P1283:U1283)</f>
        <v>0</v>
      </c>
      <c r="X1283" s="54"/>
      <c r="Y1283" s="25"/>
      <c r="Z1283" s="45">
        <v>4</v>
      </c>
      <c r="AA1283" s="46">
        <v>37</v>
      </c>
      <c r="AB1283" s="46">
        <v>48</v>
      </c>
      <c r="AC1283" s="25"/>
      <c r="AD1283" s="25"/>
      <c r="BA1283" s="226"/>
    </row>
    <row r="1284" spans="1:53" ht="16.5" thickTop="1" thickBot="1" x14ac:dyDescent="0.3">
      <c r="A1284" s="88"/>
      <c r="B1284" s="55" t="s">
        <v>258</v>
      </c>
      <c r="C1284" s="56">
        <f>SUM(C1278:C1283)+I1277</f>
        <v>0</v>
      </c>
      <c r="D1284" s="31" t="s">
        <v>259</v>
      </c>
      <c r="E1284" s="101" t="str">
        <f>IF(AS1278="Y","DBL",IF(AS1279="Y","TRPL",IF(AS1280="Y","QUAD","")))</f>
        <v/>
      </c>
      <c r="F1284" s="88"/>
      <c r="G1284" s="191"/>
      <c r="H1284" s="57"/>
      <c r="I1284" s="191"/>
      <c r="J1284" s="286"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7"/>
      <c r="L1284" s="288"/>
      <c r="M1284" s="286" t="str">
        <f>IF(AND(OR(E1278="SS",E1278="RPX",E1278="EUC",E1278="RPX-T"),(OR(C1288="",C1288="Field SPL"))),"Cannot have FlexNap cables without tethers","---")</f>
        <v>---</v>
      </c>
      <c r="N1284" s="287"/>
      <c r="O1284" s="287"/>
      <c r="P1284" s="287"/>
      <c r="Q1284" s="287"/>
      <c r="R1284" s="287"/>
      <c r="S1284" s="287"/>
      <c r="T1284" s="287"/>
      <c r="U1284" s="288"/>
      <c r="V1284" s="25"/>
      <c r="W1284" s="58"/>
      <c r="X1284" s="58"/>
      <c r="Y1284" s="25"/>
      <c r="Z1284" s="45">
        <v>5</v>
      </c>
      <c r="AA1284" s="46">
        <v>49</v>
      </c>
      <c r="AB1284" s="46">
        <v>60</v>
      </c>
      <c r="AC1284" s="25"/>
      <c r="AD1284" s="25"/>
      <c r="BA1284" s="226"/>
    </row>
    <row r="1285" spans="1:53" ht="16.5" thickTop="1" thickBot="1" x14ac:dyDescent="0.3">
      <c r="A1285" s="88"/>
      <c r="B1285" s="59"/>
      <c r="C1285" s="60"/>
      <c r="D1285" s="61"/>
      <c r="E1285" s="62"/>
      <c r="F1285" s="88"/>
      <c r="G1285" s="63"/>
      <c r="H1285" s="64"/>
      <c r="I1285" s="63"/>
      <c r="J1285" s="286" t="str">
        <f>IF(AND(OR(E1278="RPX", E1278="RPX-T", E1278="SS"),E1279=216),"NO 216 For RPX, RPX-T, OR SS CABLE","---")</f>
        <v>---</v>
      </c>
      <c r="K1285" s="287"/>
      <c r="L1285" s="288"/>
      <c r="M1285" s="286" t="str" cm="1">
        <f t="array" ref="M1285">IF(AND(E1278="",OR(C1288:C1312="FST",C1288:C1312="REV T",C1288:C1312="DBL REV",C1288:C1312="TPL REV", C1288:C1312="QD REV")),"Non-FlexNap cables cannot have tethers","---")</f>
        <v>---</v>
      </c>
      <c r="N1285" s="287"/>
      <c r="O1285" s="287"/>
      <c r="P1285" s="287"/>
      <c r="Q1285" s="287"/>
      <c r="R1285" s="287"/>
      <c r="S1285" s="287"/>
      <c r="T1285" s="287"/>
      <c r="U1285" s="288"/>
      <c r="V1285" s="25"/>
      <c r="W1285" s="58"/>
      <c r="X1285" s="58"/>
      <c r="Y1285" s="25"/>
      <c r="Z1285" s="45">
        <v>6</v>
      </c>
      <c r="AA1285" s="65">
        <v>61</v>
      </c>
      <c r="AB1285" s="65">
        <v>72</v>
      </c>
      <c r="AC1285" s="25"/>
      <c r="AD1285" s="25"/>
      <c r="BA1285" s="225"/>
    </row>
    <row r="1286" spans="1:53" ht="15.75" customHeight="1" thickBot="1" x14ac:dyDescent="0.3">
      <c r="A1286" s="88"/>
      <c r="B1286" s="321" t="s">
        <v>260</v>
      </c>
      <c r="C1286" s="293" t="s">
        <v>261</v>
      </c>
      <c r="D1286" s="293" t="s">
        <v>262</v>
      </c>
      <c r="E1286" s="306" t="s">
        <v>263</v>
      </c>
      <c r="F1286" s="293" t="s">
        <v>264</v>
      </c>
      <c r="G1286" s="308" t="s">
        <v>265</v>
      </c>
      <c r="H1286" s="308" t="s">
        <v>266</v>
      </c>
      <c r="I1286" s="308" t="s">
        <v>267</v>
      </c>
      <c r="J1286" s="310" t="s">
        <v>268</v>
      </c>
      <c r="K1286" s="293" t="s">
        <v>269</v>
      </c>
      <c r="L1286" s="280" t="s">
        <v>270</v>
      </c>
      <c r="M1286" s="282" t="s">
        <v>271</v>
      </c>
      <c r="N1286" s="282"/>
      <c r="O1286" s="282"/>
      <c r="P1286" s="282"/>
      <c r="Q1286" s="282"/>
      <c r="R1286" s="282"/>
      <c r="S1286" s="282"/>
      <c r="T1286" s="282"/>
      <c r="U1286" s="283"/>
      <c r="V1286" s="107"/>
      <c r="W1286" s="72"/>
      <c r="X1286" s="72"/>
      <c r="Y1286" s="72"/>
      <c r="Z1286" s="45">
        <v>7</v>
      </c>
      <c r="AA1286" s="65">
        <v>73</v>
      </c>
      <c r="AB1286" s="65">
        <v>84</v>
      </c>
      <c r="AC1286" s="25"/>
      <c r="AD1286" s="25"/>
      <c r="BA1286" s="227"/>
    </row>
    <row r="1287" spans="1:53" ht="15.75" thickBot="1" x14ac:dyDescent="0.3">
      <c r="A1287" s="88"/>
      <c r="B1287" s="322"/>
      <c r="C1287" s="294"/>
      <c r="D1287" s="294"/>
      <c r="E1287" s="307"/>
      <c r="F1287" s="294"/>
      <c r="G1287" s="309"/>
      <c r="H1287" s="309"/>
      <c r="I1287" s="309"/>
      <c r="J1287" s="311"/>
      <c r="K1287" s="294"/>
      <c r="L1287" s="281"/>
      <c r="M1287" s="284"/>
      <c r="N1287" s="284"/>
      <c r="O1287" s="284"/>
      <c r="P1287" s="284"/>
      <c r="Q1287" s="284"/>
      <c r="R1287" s="284"/>
      <c r="S1287" s="284"/>
      <c r="T1287" s="284"/>
      <c r="U1287" s="285"/>
      <c r="V1287" s="107"/>
      <c r="W1287" s="72"/>
      <c r="X1287" s="72"/>
      <c r="Y1287" s="72"/>
      <c r="Z1287" s="45">
        <v>8</v>
      </c>
      <c r="AA1287" s="46">
        <v>85</v>
      </c>
      <c r="AB1287" s="46">
        <v>96</v>
      </c>
      <c r="AC1287" s="25"/>
      <c r="AD1287" s="25"/>
      <c r="AI1287" s="109" t="s">
        <v>272</v>
      </c>
      <c r="AJ1287" s="109" t="s">
        <v>273</v>
      </c>
      <c r="AK1287" s="109" t="s">
        <v>274</v>
      </c>
      <c r="AL1287" s="109" t="s">
        <v>275</v>
      </c>
      <c r="BA1287" s="227"/>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2"/>
      <c r="M1288" s="278"/>
      <c r="N1288" s="278"/>
      <c r="O1288" s="278"/>
      <c r="P1288" s="278"/>
      <c r="Q1288" s="278"/>
      <c r="R1288" s="278"/>
      <c r="S1288" s="278"/>
      <c r="T1288" s="278"/>
      <c r="U1288" s="279"/>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8">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2"/>
      <c r="M1289" s="278"/>
      <c r="N1289" s="278"/>
      <c r="O1289" s="278"/>
      <c r="P1289" s="278"/>
      <c r="Q1289" s="278"/>
      <c r="R1289" s="278"/>
      <c r="S1289" s="278"/>
      <c r="T1289" s="278"/>
      <c r="U1289" s="279"/>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8">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2"/>
      <c r="M1290" s="278"/>
      <c r="N1290" s="278"/>
      <c r="O1290" s="278"/>
      <c r="P1290" s="278"/>
      <c r="Q1290" s="278"/>
      <c r="R1290" s="278"/>
      <c r="S1290" s="278"/>
      <c r="T1290" s="278"/>
      <c r="U1290" s="279"/>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8">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2"/>
      <c r="M1291" s="278"/>
      <c r="N1291" s="278"/>
      <c r="O1291" s="278"/>
      <c r="P1291" s="278"/>
      <c r="Q1291" s="278"/>
      <c r="R1291" s="278"/>
      <c r="S1291" s="278"/>
      <c r="T1291" s="278"/>
      <c r="U1291" s="279"/>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8">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2"/>
      <c r="M1292" s="278"/>
      <c r="N1292" s="278"/>
      <c r="O1292" s="278"/>
      <c r="P1292" s="278"/>
      <c r="Q1292" s="278"/>
      <c r="R1292" s="278"/>
      <c r="S1292" s="278"/>
      <c r="T1292" s="278"/>
      <c r="U1292" s="279"/>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8">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2"/>
      <c r="M1293" s="278"/>
      <c r="N1293" s="278"/>
      <c r="O1293" s="278"/>
      <c r="P1293" s="278"/>
      <c r="Q1293" s="278"/>
      <c r="R1293" s="278"/>
      <c r="S1293" s="278"/>
      <c r="T1293" s="278"/>
      <c r="U1293" s="279"/>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8">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2"/>
      <c r="M1294" s="278"/>
      <c r="N1294" s="278"/>
      <c r="O1294" s="278"/>
      <c r="P1294" s="278"/>
      <c r="Q1294" s="278"/>
      <c r="R1294" s="278"/>
      <c r="S1294" s="278"/>
      <c r="T1294" s="278"/>
      <c r="U1294" s="279"/>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8">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2"/>
      <c r="M1295" s="278"/>
      <c r="N1295" s="278"/>
      <c r="O1295" s="278"/>
      <c r="P1295" s="278"/>
      <c r="Q1295" s="278"/>
      <c r="R1295" s="278"/>
      <c r="S1295" s="278"/>
      <c r="T1295" s="278"/>
      <c r="U1295" s="279"/>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8">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2"/>
      <c r="M1296" s="278"/>
      <c r="N1296" s="278"/>
      <c r="O1296" s="278"/>
      <c r="P1296" s="278"/>
      <c r="Q1296" s="278"/>
      <c r="R1296" s="278"/>
      <c r="S1296" s="278"/>
      <c r="T1296" s="278"/>
      <c r="U1296" s="279"/>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8">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2"/>
      <c r="M1297" s="278"/>
      <c r="N1297" s="278"/>
      <c r="O1297" s="278"/>
      <c r="P1297" s="278"/>
      <c r="Q1297" s="278"/>
      <c r="R1297" s="278"/>
      <c r="S1297" s="278"/>
      <c r="T1297" s="278"/>
      <c r="U1297" s="279"/>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8">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2"/>
      <c r="M1298" s="278"/>
      <c r="N1298" s="278"/>
      <c r="O1298" s="278"/>
      <c r="P1298" s="278"/>
      <c r="Q1298" s="278"/>
      <c r="R1298" s="278"/>
      <c r="S1298" s="278"/>
      <c r="T1298" s="278"/>
      <c r="U1298" s="279"/>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8">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2"/>
      <c r="M1299" s="278"/>
      <c r="N1299" s="278"/>
      <c r="O1299" s="278"/>
      <c r="P1299" s="278"/>
      <c r="Q1299" s="278"/>
      <c r="R1299" s="278"/>
      <c r="S1299" s="278"/>
      <c r="T1299" s="278"/>
      <c r="U1299" s="279"/>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8">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2"/>
      <c r="M1300" s="278"/>
      <c r="N1300" s="278"/>
      <c r="O1300" s="278"/>
      <c r="P1300" s="278"/>
      <c r="Q1300" s="278"/>
      <c r="R1300" s="278"/>
      <c r="S1300" s="278"/>
      <c r="T1300" s="278"/>
      <c r="U1300" s="279"/>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8">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2"/>
      <c r="M1301" s="278"/>
      <c r="N1301" s="278"/>
      <c r="O1301" s="278"/>
      <c r="P1301" s="278"/>
      <c r="Q1301" s="278"/>
      <c r="R1301" s="278"/>
      <c r="S1301" s="278"/>
      <c r="T1301" s="278"/>
      <c r="U1301" s="279"/>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8">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2"/>
      <c r="M1302" s="278"/>
      <c r="N1302" s="278"/>
      <c r="O1302" s="278"/>
      <c r="P1302" s="278"/>
      <c r="Q1302" s="278"/>
      <c r="R1302" s="278"/>
      <c r="S1302" s="278"/>
      <c r="T1302" s="278"/>
      <c r="U1302" s="279"/>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8">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2"/>
      <c r="M1303" s="278"/>
      <c r="N1303" s="278"/>
      <c r="O1303" s="278"/>
      <c r="P1303" s="278"/>
      <c r="Q1303" s="278"/>
      <c r="R1303" s="278"/>
      <c r="S1303" s="278"/>
      <c r="T1303" s="278"/>
      <c r="U1303" s="279"/>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8">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2"/>
      <c r="M1304" s="278"/>
      <c r="N1304" s="278"/>
      <c r="O1304" s="278"/>
      <c r="P1304" s="278"/>
      <c r="Q1304" s="278"/>
      <c r="R1304" s="278"/>
      <c r="S1304" s="278"/>
      <c r="T1304" s="278"/>
      <c r="U1304" s="279"/>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8">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2"/>
      <c r="M1305" s="278"/>
      <c r="N1305" s="278"/>
      <c r="O1305" s="278"/>
      <c r="P1305" s="278"/>
      <c r="Q1305" s="278"/>
      <c r="R1305" s="278"/>
      <c r="S1305" s="278"/>
      <c r="T1305" s="278"/>
      <c r="U1305" s="279"/>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8">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2"/>
      <c r="M1306" s="278"/>
      <c r="N1306" s="278"/>
      <c r="O1306" s="278"/>
      <c r="P1306" s="278"/>
      <c r="Q1306" s="278"/>
      <c r="R1306" s="278"/>
      <c r="S1306" s="278"/>
      <c r="T1306" s="278"/>
      <c r="U1306" s="279"/>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8">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2"/>
      <c r="M1307" s="278"/>
      <c r="N1307" s="278"/>
      <c r="O1307" s="278"/>
      <c r="P1307" s="278"/>
      <c r="Q1307" s="278"/>
      <c r="R1307" s="278"/>
      <c r="S1307" s="278"/>
      <c r="T1307" s="278"/>
      <c r="U1307" s="279"/>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8">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2"/>
      <c r="M1308" s="278"/>
      <c r="N1308" s="278"/>
      <c r="O1308" s="278"/>
      <c r="P1308" s="278"/>
      <c r="Q1308" s="278"/>
      <c r="R1308" s="278"/>
      <c r="S1308" s="278"/>
      <c r="T1308" s="278"/>
      <c r="U1308" s="279"/>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8">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2"/>
      <c r="M1309" s="278"/>
      <c r="N1309" s="278"/>
      <c r="O1309" s="278"/>
      <c r="P1309" s="278"/>
      <c r="Q1309" s="278"/>
      <c r="R1309" s="278"/>
      <c r="S1309" s="278"/>
      <c r="T1309" s="278"/>
      <c r="U1309" s="279"/>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8">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2"/>
      <c r="M1310" s="278"/>
      <c r="N1310" s="278"/>
      <c r="O1310" s="278"/>
      <c r="P1310" s="278"/>
      <c r="Q1310" s="278"/>
      <c r="R1310" s="278"/>
      <c r="S1310" s="278"/>
      <c r="T1310" s="278"/>
      <c r="U1310" s="279"/>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8">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2"/>
      <c r="M1311" s="278"/>
      <c r="N1311" s="278"/>
      <c r="O1311" s="278"/>
      <c r="P1311" s="278"/>
      <c r="Q1311" s="278"/>
      <c r="R1311" s="278"/>
      <c r="S1311" s="278"/>
      <c r="T1311" s="278"/>
      <c r="U1311" s="279"/>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8">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3"/>
      <c r="M1312" s="278"/>
      <c r="N1312" s="278"/>
      <c r="O1312" s="278"/>
      <c r="P1312" s="278"/>
      <c r="Q1312" s="278"/>
      <c r="R1312" s="278"/>
      <c r="S1312" s="278"/>
      <c r="T1312" s="278"/>
      <c r="U1312" s="279"/>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7"/>
    </row>
    <row r="1313" spans="1:53" ht="16.5" thickBot="1" x14ac:dyDescent="0.3">
      <c r="A1313" s="88"/>
      <c r="B1313" s="319" t="s">
        <v>367</v>
      </c>
      <c r="C1313" s="320"/>
      <c r="D1313" s="79"/>
      <c r="E1313" s="80"/>
      <c r="F1313" s="80"/>
      <c r="G1313" s="81"/>
      <c r="H1313" s="191"/>
      <c r="I1313" s="191"/>
      <c r="J1313" s="191"/>
      <c r="K1313" s="82"/>
      <c r="L1313" s="319" t="s">
        <v>306</v>
      </c>
      <c r="M1313" s="330"/>
      <c r="N1313" s="330"/>
      <c r="O1313" s="330"/>
      <c r="P1313" s="330"/>
      <c r="Q1313" s="330"/>
      <c r="R1313" s="330"/>
      <c r="S1313" s="330"/>
      <c r="T1313" s="330"/>
      <c r="U1313" s="320"/>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7"/>
    </row>
    <row r="1314" spans="1:53" ht="16.5" thickBot="1" x14ac:dyDescent="0.3">
      <c r="A1314" s="88"/>
      <c r="B1314" s="319" t="s">
        <v>307</v>
      </c>
      <c r="C1314" s="320"/>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5"/>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5" t="s">
        <v>210</v>
      </c>
      <c r="N1317" s="195" t="s">
        <v>211</v>
      </c>
      <c r="O1317" s="195" t="s">
        <v>212</v>
      </c>
      <c r="P1317" s="195" t="s">
        <v>213</v>
      </c>
      <c r="Q1317" s="195" t="s">
        <v>214</v>
      </c>
      <c r="R1317" s="195" t="s">
        <v>215</v>
      </c>
      <c r="S1317" s="195" t="s">
        <v>216</v>
      </c>
      <c r="T1317" s="195" t="s">
        <v>217</v>
      </c>
      <c r="U1317" s="195" t="s">
        <v>218</v>
      </c>
      <c r="V1317" s="195" t="s">
        <v>219</v>
      </c>
      <c r="W1317" s="113" t="s">
        <v>220</v>
      </c>
      <c r="X1317" s="195" t="s">
        <v>221</v>
      </c>
      <c r="Y1317" s="25"/>
      <c r="Z1317" s="25"/>
      <c r="AA1317" s="25"/>
      <c r="AB1317" s="25"/>
      <c r="AC1317" s="25"/>
      <c r="AD1317" s="25"/>
      <c r="BA1317" s="225"/>
    </row>
    <row r="1318" spans="1:53" ht="16.5" thickTop="1" thickBot="1" x14ac:dyDescent="0.3">
      <c r="A1318" s="88"/>
      <c r="B1318" s="312" t="s">
        <v>222</v>
      </c>
      <c r="C1318" s="313"/>
      <c r="D1318" s="314" t="s">
        <v>223</v>
      </c>
      <c r="E1318" s="305"/>
      <c r="F1318" s="88"/>
      <c r="G1318" s="315" t="s">
        <v>224</v>
      </c>
      <c r="H1318" s="316"/>
      <c r="I1318" s="28">
        <f>SUM(E1329:E1353)</f>
        <v>0</v>
      </c>
      <c r="J1318" s="317" t="s">
        <v>225</v>
      </c>
      <c r="K1318" s="318"/>
      <c r="L1318" s="305"/>
      <c r="M1318" s="195">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5" t="s">
        <v>226</v>
      </c>
      <c r="AA1318" s="296"/>
      <c r="AB1318" s="297"/>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5"/>
    </row>
    <row r="1319" spans="1:53" ht="16.5" customHeight="1" thickTop="1" thickBot="1" x14ac:dyDescent="0.3">
      <c r="A1319" s="88"/>
      <c r="B1319" s="29" t="s">
        <v>228</v>
      </c>
      <c r="C1319" s="30">
        <v>0</v>
      </c>
      <c r="D1319" s="31" t="s">
        <v>229</v>
      </c>
      <c r="E1319" s="66" t="str">
        <f>TEXT(IF('Cable Calculator'!FH7="","",'Cable Calculator'!FH7),)</f>
        <v/>
      </c>
      <c r="F1319" s="88"/>
      <c r="G1319" s="304" t="s">
        <v>230</v>
      </c>
      <c r="H1319" s="305"/>
      <c r="I1319" s="33">
        <f>E1320-I1318</f>
        <v>0</v>
      </c>
      <c r="J1319" s="289" t="s">
        <v>231</v>
      </c>
      <c r="K1319" s="290"/>
      <c r="L1319" s="34">
        <f>I1323</f>
        <v>0</v>
      </c>
      <c r="M1319" s="195">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8" t="s">
        <v>232</v>
      </c>
      <c r="AA1319" s="300" t="s">
        <v>233</v>
      </c>
      <c r="AB1319" s="301"/>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6"/>
    </row>
    <row r="1320" spans="1:53" ht="16.5" thickTop="1" thickBot="1" x14ac:dyDescent="0.3">
      <c r="A1320" s="88"/>
      <c r="B1320" s="36" t="s">
        <v>235</v>
      </c>
      <c r="C1320" s="37">
        <v>0</v>
      </c>
      <c r="D1320" s="38" t="s">
        <v>236</v>
      </c>
      <c r="E1320" s="32"/>
      <c r="F1320" s="88"/>
      <c r="G1320" s="291" t="s">
        <v>237</v>
      </c>
      <c r="H1320" s="292"/>
      <c r="I1320" s="35">
        <f>IF(E1320=0,0,12-(MOD(I1318,12)))</f>
        <v>0</v>
      </c>
      <c r="J1320" s="289" t="s">
        <v>238</v>
      </c>
      <c r="K1320" s="290"/>
      <c r="L1320" s="39">
        <f>I1324-I1318</f>
        <v>0</v>
      </c>
      <c r="M1320" s="195">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9"/>
      <c r="AA1320" s="302"/>
      <c r="AB1320" s="303"/>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6"/>
    </row>
    <row r="1321" spans="1:53" ht="16.5" customHeight="1" thickTop="1" thickBot="1" x14ac:dyDescent="0.3">
      <c r="A1321" s="88"/>
      <c r="B1321" s="40" t="s">
        <v>240</v>
      </c>
      <c r="C1321" s="30">
        <v>0</v>
      </c>
      <c r="D1321" s="41" t="s">
        <v>241</v>
      </c>
      <c r="E1321" s="42"/>
      <c r="F1321" s="88"/>
      <c r="G1321" s="321" t="s">
        <v>242</v>
      </c>
      <c r="H1321" s="43" t="s">
        <v>243</v>
      </c>
      <c r="I1321" s="35">
        <f>IF(E1321&lt;&gt;0,1,0)</f>
        <v>0</v>
      </c>
      <c r="J1321" s="291" t="s">
        <v>244</v>
      </c>
      <c r="K1321" s="292"/>
      <c r="L1321" s="44" t="str">
        <f>'Cable Calculator'!FH3</f>
        <v/>
      </c>
      <c r="M1321" s="195">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6"/>
    </row>
    <row r="1322" spans="1:53" ht="16.5" thickTop="1" thickBot="1" x14ac:dyDescent="0.3">
      <c r="A1322" s="88"/>
      <c r="B1322" s="29" t="s">
        <v>246</v>
      </c>
      <c r="C1322" s="37">
        <v>0</v>
      </c>
      <c r="D1322" s="41" t="s">
        <v>247</v>
      </c>
      <c r="E1322" s="42"/>
      <c r="F1322" s="88"/>
      <c r="G1322" s="322"/>
      <c r="H1322" s="47" t="s">
        <v>248</v>
      </c>
      <c r="I1322" s="35">
        <f>IF(E1321&lt;&gt;0,E1321,0)</f>
        <v>0</v>
      </c>
      <c r="J1322" s="193"/>
      <c r="K1322" s="194"/>
      <c r="L1322" s="48"/>
      <c r="M1322" s="195">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6"/>
    </row>
    <row r="1323" spans="1:53" ht="16.5" customHeight="1" thickTop="1" thickBot="1" x14ac:dyDescent="0.3">
      <c r="A1323" s="88"/>
      <c r="B1323" s="36" t="s">
        <v>249</v>
      </c>
      <c r="C1323" s="30">
        <v>0</v>
      </c>
      <c r="D1323" s="49" t="s">
        <v>250</v>
      </c>
      <c r="E1323" s="50">
        <f>E1320/12</f>
        <v>0</v>
      </c>
      <c r="F1323" s="88"/>
      <c r="G1323" s="321" t="s">
        <v>251</v>
      </c>
      <c r="H1323" s="51" t="s">
        <v>252</v>
      </c>
      <c r="I1323" s="112">
        <f>E1322</f>
        <v>0</v>
      </c>
      <c r="J1323" s="323" t="s">
        <v>253</v>
      </c>
      <c r="K1323" s="324"/>
      <c r="L1323" s="325"/>
      <c r="M1323" s="52" t="s">
        <v>254</v>
      </c>
      <c r="N1323" s="106"/>
      <c r="O1323" s="106"/>
      <c r="P1323" s="191"/>
      <c r="Q1323" s="191"/>
      <c r="R1323" s="191"/>
      <c r="S1323" s="191"/>
      <c r="T1323" s="191"/>
      <c r="U1323" s="191"/>
      <c r="V1323" s="191"/>
      <c r="W1323" s="53">
        <f>SUM(P1323:U1323)</f>
        <v>0</v>
      </c>
      <c r="X1323" s="54"/>
      <c r="Y1323" s="25"/>
      <c r="Z1323" s="45">
        <v>3</v>
      </c>
      <c r="AA1323" s="46">
        <v>25</v>
      </c>
      <c r="AB1323" s="46">
        <v>36</v>
      </c>
      <c r="AC1323" s="25"/>
      <c r="AD1323" s="25"/>
      <c r="BA1323" s="226"/>
    </row>
    <row r="1324" spans="1:53" ht="16.5" thickTop="1" thickBot="1" x14ac:dyDescent="0.3">
      <c r="A1324" s="88"/>
      <c r="B1324" s="36" t="s">
        <v>255</v>
      </c>
      <c r="C1324" s="30">
        <v>0</v>
      </c>
      <c r="D1324" s="31" t="s">
        <v>256</v>
      </c>
      <c r="E1324" s="101" t="str">
        <f>IF('Cable Calculator'!FH5="","",'Cable Calculator'!FH5)</f>
        <v/>
      </c>
      <c r="F1324" s="88"/>
      <c r="G1324" s="322"/>
      <c r="H1324" s="47" t="s">
        <v>257</v>
      </c>
      <c r="I1324" s="35" t="str">
        <f>IF(E1322="","0",IF(AND(E1319="EUC",E1320=432), I1323+(203-E1321),IF(E1322=0,0,(E1322+(E1320-E1321)-1))))</f>
        <v>0</v>
      </c>
      <c r="J1324" s="286" t="str">
        <f>IFERROR(IF(OR(E1319="EUC",E1319="SS"),"---",IF(OR(P1318,S1318),"NO 2F Tethers for RPX!",IF(OR(P1320,S1320),"NO 6F Tethers for RPX!","---"))),"---")</f>
        <v>---</v>
      </c>
      <c r="K1324" s="287"/>
      <c r="L1324" s="288"/>
      <c r="M1324" s="286" t="str">
        <f>IF(E1321&gt;60,"Dead Count &gt;60: Consider Downsize","---")</f>
        <v>---</v>
      </c>
      <c r="N1324" s="287"/>
      <c r="O1324" s="287"/>
      <c r="P1324" s="287"/>
      <c r="Q1324" s="287"/>
      <c r="R1324" s="287"/>
      <c r="S1324" s="287"/>
      <c r="T1324" s="287"/>
      <c r="U1324" s="288"/>
      <c r="V1324" s="100"/>
      <c r="W1324" s="54">
        <f>SUM(P1324:U1324)</f>
        <v>0</v>
      </c>
      <c r="X1324" s="54"/>
      <c r="Y1324" s="25"/>
      <c r="Z1324" s="45">
        <v>4</v>
      </c>
      <c r="AA1324" s="46">
        <v>37</v>
      </c>
      <c r="AB1324" s="46">
        <v>48</v>
      </c>
      <c r="AC1324" s="25"/>
      <c r="AD1324" s="25"/>
      <c r="BA1324" s="226"/>
    </row>
    <row r="1325" spans="1:53" ht="16.5" thickTop="1" thickBot="1" x14ac:dyDescent="0.3">
      <c r="A1325" s="88"/>
      <c r="B1325" s="55" t="s">
        <v>258</v>
      </c>
      <c r="C1325" s="56">
        <f>SUM(C1319:C1324)+I1318</f>
        <v>0</v>
      </c>
      <c r="D1325" s="31" t="s">
        <v>259</v>
      </c>
      <c r="E1325" s="101" t="str">
        <f>IF(AS1319="Y","DBL",IF(AS1320="Y","TRPL",IF(AS1321="Y","QUAD","")))</f>
        <v/>
      </c>
      <c r="F1325" s="88"/>
      <c r="G1325" s="191"/>
      <c r="H1325" s="57"/>
      <c r="I1325" s="191"/>
      <c r="J1325" s="286"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7"/>
      <c r="L1325" s="288"/>
      <c r="M1325" s="286" t="str">
        <f>IF(AND(OR(E1319="SS",E1319="RPX",E1319="EUC",E1319="RPX-T"),(OR(C1329="",C1329="Field SPL"))),"Cannot have FlexNap cables without tethers","---")</f>
        <v>---</v>
      </c>
      <c r="N1325" s="287"/>
      <c r="O1325" s="287"/>
      <c r="P1325" s="287"/>
      <c r="Q1325" s="287"/>
      <c r="R1325" s="287"/>
      <c r="S1325" s="287"/>
      <c r="T1325" s="287"/>
      <c r="U1325" s="288"/>
      <c r="V1325" s="25"/>
      <c r="W1325" s="58"/>
      <c r="X1325" s="58"/>
      <c r="Y1325" s="25"/>
      <c r="Z1325" s="45">
        <v>5</v>
      </c>
      <c r="AA1325" s="46">
        <v>49</v>
      </c>
      <c r="AB1325" s="46">
        <v>60</v>
      </c>
      <c r="AC1325" s="25"/>
      <c r="AD1325" s="25"/>
      <c r="BA1325" s="226"/>
    </row>
    <row r="1326" spans="1:53" ht="16.5" thickTop="1" thickBot="1" x14ac:dyDescent="0.3">
      <c r="A1326" s="88"/>
      <c r="B1326" s="59"/>
      <c r="C1326" s="60"/>
      <c r="D1326" s="61"/>
      <c r="E1326" s="62"/>
      <c r="F1326" s="88"/>
      <c r="G1326" s="63"/>
      <c r="H1326" s="64"/>
      <c r="I1326" s="63"/>
      <c r="J1326" s="286" t="str">
        <f>IF(AND(OR(E1319="RPX", E1319="RPX-T", E1319="SS"),E1320=216),"NO 216 For RPX, RPX-T, OR SS CABLE","---")</f>
        <v>---</v>
      </c>
      <c r="K1326" s="287"/>
      <c r="L1326" s="288"/>
      <c r="M1326" s="286" t="str" cm="1">
        <f t="array" ref="M1326">IF(AND(E1319="",OR(C1329:C1353="FST",C1329:C1353="REV T",C1329:C1353="DBL REV",C1329:C1353="TPL REV", C1329:C1353="QD REV")),"Non-FlexNap cables cannot have tethers","---")</f>
        <v>---</v>
      </c>
      <c r="N1326" s="287"/>
      <c r="O1326" s="287"/>
      <c r="P1326" s="287"/>
      <c r="Q1326" s="287"/>
      <c r="R1326" s="287"/>
      <c r="S1326" s="287"/>
      <c r="T1326" s="287"/>
      <c r="U1326" s="288"/>
      <c r="V1326" s="25"/>
      <c r="W1326" s="58"/>
      <c r="X1326" s="58"/>
      <c r="Y1326" s="25"/>
      <c r="Z1326" s="45">
        <v>6</v>
      </c>
      <c r="AA1326" s="65">
        <v>61</v>
      </c>
      <c r="AB1326" s="65">
        <v>72</v>
      </c>
      <c r="AC1326" s="25"/>
      <c r="AD1326" s="25"/>
      <c r="BA1326" s="225"/>
    </row>
    <row r="1327" spans="1:53" ht="15.75" customHeight="1" thickBot="1" x14ac:dyDescent="0.3">
      <c r="A1327" s="88"/>
      <c r="B1327" s="321" t="s">
        <v>260</v>
      </c>
      <c r="C1327" s="293" t="s">
        <v>261</v>
      </c>
      <c r="D1327" s="293" t="s">
        <v>262</v>
      </c>
      <c r="E1327" s="306" t="s">
        <v>263</v>
      </c>
      <c r="F1327" s="293" t="s">
        <v>264</v>
      </c>
      <c r="G1327" s="308" t="s">
        <v>265</v>
      </c>
      <c r="H1327" s="308" t="s">
        <v>266</v>
      </c>
      <c r="I1327" s="308" t="s">
        <v>267</v>
      </c>
      <c r="J1327" s="310" t="s">
        <v>268</v>
      </c>
      <c r="K1327" s="293" t="s">
        <v>269</v>
      </c>
      <c r="L1327" s="280" t="s">
        <v>270</v>
      </c>
      <c r="M1327" s="282" t="s">
        <v>271</v>
      </c>
      <c r="N1327" s="282"/>
      <c r="O1327" s="282"/>
      <c r="P1327" s="282"/>
      <c r="Q1327" s="282"/>
      <c r="R1327" s="282"/>
      <c r="S1327" s="282"/>
      <c r="T1327" s="282"/>
      <c r="U1327" s="283"/>
      <c r="V1327" s="107"/>
      <c r="W1327" s="72"/>
      <c r="X1327" s="72"/>
      <c r="Y1327" s="72"/>
      <c r="Z1327" s="45">
        <v>7</v>
      </c>
      <c r="AA1327" s="65">
        <v>73</v>
      </c>
      <c r="AB1327" s="65">
        <v>84</v>
      </c>
      <c r="AC1327" s="25"/>
      <c r="AD1327" s="25"/>
      <c r="BA1327" s="227"/>
    </row>
    <row r="1328" spans="1:53" ht="15.75" thickBot="1" x14ac:dyDescent="0.3">
      <c r="A1328" s="88"/>
      <c r="B1328" s="322"/>
      <c r="C1328" s="294"/>
      <c r="D1328" s="294"/>
      <c r="E1328" s="307"/>
      <c r="F1328" s="294"/>
      <c r="G1328" s="309"/>
      <c r="H1328" s="309"/>
      <c r="I1328" s="309"/>
      <c r="J1328" s="311"/>
      <c r="K1328" s="294"/>
      <c r="L1328" s="281"/>
      <c r="M1328" s="284"/>
      <c r="N1328" s="284"/>
      <c r="O1328" s="284"/>
      <c r="P1328" s="284"/>
      <c r="Q1328" s="284"/>
      <c r="R1328" s="284"/>
      <c r="S1328" s="284"/>
      <c r="T1328" s="284"/>
      <c r="U1328" s="285"/>
      <c r="V1328" s="107"/>
      <c r="W1328" s="72"/>
      <c r="X1328" s="72"/>
      <c r="Y1328" s="72"/>
      <c r="Z1328" s="45">
        <v>8</v>
      </c>
      <c r="AA1328" s="46">
        <v>85</v>
      </c>
      <c r="AB1328" s="46">
        <v>96</v>
      </c>
      <c r="AC1328" s="25"/>
      <c r="AD1328" s="25"/>
      <c r="AI1328" s="109" t="s">
        <v>272</v>
      </c>
      <c r="AJ1328" s="109" t="s">
        <v>273</v>
      </c>
      <c r="AK1328" s="109" t="s">
        <v>274</v>
      </c>
      <c r="AL1328" s="109" t="s">
        <v>275</v>
      </c>
      <c r="BA1328" s="227"/>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2"/>
      <c r="M1329" s="278"/>
      <c r="N1329" s="278"/>
      <c r="O1329" s="278"/>
      <c r="P1329" s="278"/>
      <c r="Q1329" s="278"/>
      <c r="R1329" s="278"/>
      <c r="S1329" s="278"/>
      <c r="T1329" s="278"/>
      <c r="U1329" s="279"/>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8">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2"/>
      <c r="M1330" s="278"/>
      <c r="N1330" s="278"/>
      <c r="O1330" s="278"/>
      <c r="P1330" s="278"/>
      <c r="Q1330" s="278"/>
      <c r="R1330" s="278"/>
      <c r="S1330" s="278"/>
      <c r="T1330" s="278"/>
      <c r="U1330" s="279"/>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8">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2"/>
      <c r="M1331" s="278"/>
      <c r="N1331" s="278"/>
      <c r="O1331" s="278"/>
      <c r="P1331" s="278"/>
      <c r="Q1331" s="278"/>
      <c r="R1331" s="278"/>
      <c r="S1331" s="278"/>
      <c r="T1331" s="278"/>
      <c r="U1331" s="279"/>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8">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2"/>
      <c r="M1332" s="278"/>
      <c r="N1332" s="278"/>
      <c r="O1332" s="278"/>
      <c r="P1332" s="278"/>
      <c r="Q1332" s="278"/>
      <c r="R1332" s="278"/>
      <c r="S1332" s="278"/>
      <c r="T1332" s="278"/>
      <c r="U1332" s="279"/>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8">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2"/>
      <c r="M1333" s="278"/>
      <c r="N1333" s="278"/>
      <c r="O1333" s="278"/>
      <c r="P1333" s="278"/>
      <c r="Q1333" s="278"/>
      <c r="R1333" s="278"/>
      <c r="S1333" s="278"/>
      <c r="T1333" s="278"/>
      <c r="U1333" s="279"/>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8">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2"/>
      <c r="M1334" s="278"/>
      <c r="N1334" s="278"/>
      <c r="O1334" s="278"/>
      <c r="P1334" s="278"/>
      <c r="Q1334" s="278"/>
      <c r="R1334" s="278"/>
      <c r="S1334" s="278"/>
      <c r="T1334" s="278"/>
      <c r="U1334" s="279"/>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8">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2"/>
      <c r="M1335" s="278"/>
      <c r="N1335" s="278"/>
      <c r="O1335" s="278"/>
      <c r="P1335" s="278"/>
      <c r="Q1335" s="278"/>
      <c r="R1335" s="278"/>
      <c r="S1335" s="278"/>
      <c r="T1335" s="278"/>
      <c r="U1335" s="279"/>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8">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2"/>
      <c r="M1336" s="278"/>
      <c r="N1336" s="278"/>
      <c r="O1336" s="278"/>
      <c r="P1336" s="278"/>
      <c r="Q1336" s="278"/>
      <c r="R1336" s="278"/>
      <c r="S1336" s="278"/>
      <c r="T1336" s="278"/>
      <c r="U1336" s="279"/>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8">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2"/>
      <c r="M1337" s="278"/>
      <c r="N1337" s="278"/>
      <c r="O1337" s="278"/>
      <c r="P1337" s="278"/>
      <c r="Q1337" s="278"/>
      <c r="R1337" s="278"/>
      <c r="S1337" s="278"/>
      <c r="T1337" s="278"/>
      <c r="U1337" s="279"/>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8">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2"/>
      <c r="M1338" s="278"/>
      <c r="N1338" s="278"/>
      <c r="O1338" s="278"/>
      <c r="P1338" s="278"/>
      <c r="Q1338" s="278"/>
      <c r="R1338" s="278"/>
      <c r="S1338" s="278"/>
      <c r="T1338" s="278"/>
      <c r="U1338" s="279"/>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8">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2"/>
      <c r="M1339" s="278"/>
      <c r="N1339" s="278"/>
      <c r="O1339" s="278"/>
      <c r="P1339" s="278"/>
      <c r="Q1339" s="278"/>
      <c r="R1339" s="278"/>
      <c r="S1339" s="278"/>
      <c r="T1339" s="278"/>
      <c r="U1339" s="279"/>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8">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2"/>
      <c r="M1340" s="278"/>
      <c r="N1340" s="278"/>
      <c r="O1340" s="278"/>
      <c r="P1340" s="278"/>
      <c r="Q1340" s="278"/>
      <c r="R1340" s="278"/>
      <c r="S1340" s="278"/>
      <c r="T1340" s="278"/>
      <c r="U1340" s="279"/>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8">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2"/>
      <c r="M1341" s="278"/>
      <c r="N1341" s="278"/>
      <c r="O1341" s="278"/>
      <c r="P1341" s="278"/>
      <c r="Q1341" s="278"/>
      <c r="R1341" s="278"/>
      <c r="S1341" s="278"/>
      <c r="T1341" s="278"/>
      <c r="U1341" s="279"/>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8">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2"/>
      <c r="M1342" s="278"/>
      <c r="N1342" s="278"/>
      <c r="O1342" s="278"/>
      <c r="P1342" s="278"/>
      <c r="Q1342" s="278"/>
      <c r="R1342" s="278"/>
      <c r="S1342" s="278"/>
      <c r="T1342" s="278"/>
      <c r="U1342" s="279"/>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8">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2"/>
      <c r="M1343" s="278"/>
      <c r="N1343" s="278"/>
      <c r="O1343" s="278"/>
      <c r="P1343" s="278"/>
      <c r="Q1343" s="278"/>
      <c r="R1343" s="278"/>
      <c r="S1343" s="278"/>
      <c r="T1343" s="278"/>
      <c r="U1343" s="279"/>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8">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2"/>
      <c r="M1344" s="278"/>
      <c r="N1344" s="278"/>
      <c r="O1344" s="278"/>
      <c r="P1344" s="278"/>
      <c r="Q1344" s="278"/>
      <c r="R1344" s="278"/>
      <c r="S1344" s="278"/>
      <c r="T1344" s="278"/>
      <c r="U1344" s="279"/>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8">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2"/>
      <c r="M1345" s="278"/>
      <c r="N1345" s="278"/>
      <c r="O1345" s="278"/>
      <c r="P1345" s="278"/>
      <c r="Q1345" s="278"/>
      <c r="R1345" s="278"/>
      <c r="S1345" s="278"/>
      <c r="T1345" s="278"/>
      <c r="U1345" s="279"/>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8">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2"/>
      <c r="M1346" s="278"/>
      <c r="N1346" s="278"/>
      <c r="O1346" s="278"/>
      <c r="P1346" s="278"/>
      <c r="Q1346" s="278"/>
      <c r="R1346" s="278"/>
      <c r="S1346" s="278"/>
      <c r="T1346" s="278"/>
      <c r="U1346" s="279"/>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8">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2"/>
      <c r="M1347" s="278"/>
      <c r="N1347" s="278"/>
      <c r="O1347" s="278"/>
      <c r="P1347" s="278"/>
      <c r="Q1347" s="278"/>
      <c r="R1347" s="278"/>
      <c r="S1347" s="278"/>
      <c r="T1347" s="278"/>
      <c r="U1347" s="279"/>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8">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2"/>
      <c r="M1348" s="278"/>
      <c r="N1348" s="278"/>
      <c r="O1348" s="278"/>
      <c r="P1348" s="278"/>
      <c r="Q1348" s="278"/>
      <c r="R1348" s="278"/>
      <c r="S1348" s="278"/>
      <c r="T1348" s="278"/>
      <c r="U1348" s="279"/>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8">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2"/>
      <c r="M1349" s="278"/>
      <c r="N1349" s="278"/>
      <c r="O1349" s="278"/>
      <c r="P1349" s="278"/>
      <c r="Q1349" s="278"/>
      <c r="R1349" s="278"/>
      <c r="S1349" s="278"/>
      <c r="T1349" s="278"/>
      <c r="U1349" s="279"/>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8">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2"/>
      <c r="M1350" s="278"/>
      <c r="N1350" s="278"/>
      <c r="O1350" s="278"/>
      <c r="P1350" s="278"/>
      <c r="Q1350" s="278"/>
      <c r="R1350" s="278"/>
      <c r="S1350" s="278"/>
      <c r="T1350" s="278"/>
      <c r="U1350" s="279"/>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8">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2"/>
      <c r="M1351" s="278"/>
      <c r="N1351" s="278"/>
      <c r="O1351" s="278"/>
      <c r="P1351" s="278"/>
      <c r="Q1351" s="278"/>
      <c r="R1351" s="278"/>
      <c r="S1351" s="278"/>
      <c r="T1351" s="278"/>
      <c r="U1351" s="279"/>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8">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2"/>
      <c r="M1352" s="278"/>
      <c r="N1352" s="278"/>
      <c r="O1352" s="278"/>
      <c r="P1352" s="278"/>
      <c r="Q1352" s="278"/>
      <c r="R1352" s="278"/>
      <c r="S1352" s="278"/>
      <c r="T1352" s="278"/>
      <c r="U1352" s="279"/>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8">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3"/>
      <c r="M1353" s="278"/>
      <c r="N1353" s="278"/>
      <c r="O1353" s="278"/>
      <c r="P1353" s="278"/>
      <c r="Q1353" s="278"/>
      <c r="R1353" s="278"/>
      <c r="S1353" s="278"/>
      <c r="T1353" s="278"/>
      <c r="U1353" s="279"/>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7"/>
    </row>
    <row r="1354" spans="1:53" ht="16.5" thickBot="1" x14ac:dyDescent="0.3">
      <c r="A1354" s="88"/>
      <c r="B1354" s="319" t="s">
        <v>369</v>
      </c>
      <c r="C1354" s="320"/>
      <c r="D1354" s="79"/>
      <c r="E1354" s="80"/>
      <c r="F1354" s="80"/>
      <c r="G1354" s="81"/>
      <c r="H1354" s="191"/>
      <c r="I1354" s="191"/>
      <c r="J1354" s="191"/>
      <c r="K1354" s="82"/>
      <c r="L1354" s="319" t="s">
        <v>306</v>
      </c>
      <c r="M1354" s="330"/>
      <c r="N1354" s="330"/>
      <c r="O1354" s="330"/>
      <c r="P1354" s="330"/>
      <c r="Q1354" s="330"/>
      <c r="R1354" s="330"/>
      <c r="S1354" s="330"/>
      <c r="T1354" s="330"/>
      <c r="U1354" s="320"/>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7"/>
    </row>
    <row r="1355" spans="1:53" ht="16.5" thickBot="1" x14ac:dyDescent="0.3">
      <c r="A1355" s="88"/>
      <c r="B1355" s="319" t="s">
        <v>307</v>
      </c>
      <c r="C1355" s="320"/>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5"/>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5" t="s">
        <v>210</v>
      </c>
      <c r="N1358" s="195" t="s">
        <v>211</v>
      </c>
      <c r="O1358" s="195" t="s">
        <v>212</v>
      </c>
      <c r="P1358" s="195" t="s">
        <v>213</v>
      </c>
      <c r="Q1358" s="195" t="s">
        <v>214</v>
      </c>
      <c r="R1358" s="195" t="s">
        <v>215</v>
      </c>
      <c r="S1358" s="195" t="s">
        <v>216</v>
      </c>
      <c r="T1358" s="195" t="s">
        <v>217</v>
      </c>
      <c r="U1358" s="195" t="s">
        <v>218</v>
      </c>
      <c r="V1358" s="195" t="s">
        <v>219</v>
      </c>
      <c r="W1358" s="113" t="s">
        <v>220</v>
      </c>
      <c r="X1358" s="195" t="s">
        <v>221</v>
      </c>
      <c r="Y1358" s="25"/>
      <c r="Z1358" s="25"/>
      <c r="AA1358" s="25"/>
      <c r="AB1358" s="25"/>
      <c r="AC1358" s="25"/>
      <c r="AD1358" s="25"/>
      <c r="BA1358" s="225"/>
    </row>
    <row r="1359" spans="1:53" ht="16.5" thickTop="1" thickBot="1" x14ac:dyDescent="0.3">
      <c r="A1359" s="88"/>
      <c r="B1359" s="312" t="s">
        <v>222</v>
      </c>
      <c r="C1359" s="313"/>
      <c r="D1359" s="314" t="s">
        <v>223</v>
      </c>
      <c r="E1359" s="305"/>
      <c r="F1359" s="88"/>
      <c r="G1359" s="315" t="s">
        <v>224</v>
      </c>
      <c r="H1359" s="316"/>
      <c r="I1359" s="28">
        <f>SUM(E1370:E1394)</f>
        <v>0</v>
      </c>
      <c r="J1359" s="317" t="s">
        <v>225</v>
      </c>
      <c r="K1359" s="318"/>
      <c r="L1359" s="305"/>
      <c r="M1359" s="195">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5" t="s">
        <v>226</v>
      </c>
      <c r="AA1359" s="296"/>
      <c r="AB1359" s="297"/>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5"/>
    </row>
    <row r="1360" spans="1:53" ht="16.5" customHeight="1" thickTop="1" thickBot="1" x14ac:dyDescent="0.3">
      <c r="A1360" s="88"/>
      <c r="B1360" s="29" t="s">
        <v>228</v>
      </c>
      <c r="C1360" s="30">
        <v>0</v>
      </c>
      <c r="D1360" s="31" t="s">
        <v>229</v>
      </c>
      <c r="E1360" s="66" t="str">
        <f>TEXT(IF('Cable Calculator'!FM7="","",'Cable Calculator'!FM7),)</f>
        <v/>
      </c>
      <c r="F1360" s="88"/>
      <c r="G1360" s="304" t="s">
        <v>230</v>
      </c>
      <c r="H1360" s="305"/>
      <c r="I1360" s="33">
        <f>E1361-I1359</f>
        <v>0</v>
      </c>
      <c r="J1360" s="289" t="s">
        <v>231</v>
      </c>
      <c r="K1360" s="290"/>
      <c r="L1360" s="34">
        <f>I1364</f>
        <v>0</v>
      </c>
      <c r="M1360" s="195">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8" t="s">
        <v>232</v>
      </c>
      <c r="AA1360" s="300" t="s">
        <v>233</v>
      </c>
      <c r="AB1360" s="301"/>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6"/>
    </row>
    <row r="1361" spans="1:53" ht="16.5" thickTop="1" thickBot="1" x14ac:dyDescent="0.3">
      <c r="A1361" s="88"/>
      <c r="B1361" s="36" t="s">
        <v>235</v>
      </c>
      <c r="C1361" s="37">
        <v>0</v>
      </c>
      <c r="D1361" s="38" t="s">
        <v>236</v>
      </c>
      <c r="E1361" s="32"/>
      <c r="F1361" s="88"/>
      <c r="G1361" s="291" t="s">
        <v>237</v>
      </c>
      <c r="H1361" s="292"/>
      <c r="I1361" s="35">
        <f>IF(E1361=0,0,12-(MOD(I1359,12)))</f>
        <v>0</v>
      </c>
      <c r="J1361" s="289" t="s">
        <v>238</v>
      </c>
      <c r="K1361" s="290"/>
      <c r="L1361" s="39">
        <f>I1365-I1359</f>
        <v>0</v>
      </c>
      <c r="M1361" s="195">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9"/>
      <c r="AA1361" s="302"/>
      <c r="AB1361" s="303"/>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6"/>
    </row>
    <row r="1362" spans="1:53" ht="16.5" customHeight="1" thickTop="1" thickBot="1" x14ac:dyDescent="0.3">
      <c r="A1362" s="88"/>
      <c r="B1362" s="40" t="s">
        <v>240</v>
      </c>
      <c r="C1362" s="30">
        <v>0</v>
      </c>
      <c r="D1362" s="41" t="s">
        <v>241</v>
      </c>
      <c r="E1362" s="42"/>
      <c r="F1362" s="88"/>
      <c r="G1362" s="321" t="s">
        <v>242</v>
      </c>
      <c r="H1362" s="43" t="s">
        <v>243</v>
      </c>
      <c r="I1362" s="35">
        <f>IF(E1362&lt;&gt;0,1,0)</f>
        <v>0</v>
      </c>
      <c r="J1362" s="291" t="s">
        <v>244</v>
      </c>
      <c r="K1362" s="292"/>
      <c r="L1362" s="44" t="str">
        <f>'Cable Calculator'!FM3</f>
        <v/>
      </c>
      <c r="M1362" s="195">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6"/>
    </row>
    <row r="1363" spans="1:53" ht="16.5" thickTop="1" thickBot="1" x14ac:dyDescent="0.3">
      <c r="A1363" s="88"/>
      <c r="B1363" s="29" t="s">
        <v>246</v>
      </c>
      <c r="C1363" s="37">
        <v>0</v>
      </c>
      <c r="D1363" s="41" t="s">
        <v>247</v>
      </c>
      <c r="E1363" s="42"/>
      <c r="F1363" s="88"/>
      <c r="G1363" s="322"/>
      <c r="H1363" s="47" t="s">
        <v>248</v>
      </c>
      <c r="I1363" s="35">
        <f>IF(E1362&lt;&gt;0,E1362,0)</f>
        <v>0</v>
      </c>
      <c r="J1363" s="193"/>
      <c r="K1363" s="194"/>
      <c r="L1363" s="48"/>
      <c r="M1363" s="195">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6"/>
    </row>
    <row r="1364" spans="1:53" ht="16.5" customHeight="1" thickTop="1" thickBot="1" x14ac:dyDescent="0.3">
      <c r="A1364" s="88"/>
      <c r="B1364" s="36" t="s">
        <v>249</v>
      </c>
      <c r="C1364" s="30">
        <v>0</v>
      </c>
      <c r="D1364" s="49" t="s">
        <v>250</v>
      </c>
      <c r="E1364" s="50">
        <f>E1361/12</f>
        <v>0</v>
      </c>
      <c r="F1364" s="88"/>
      <c r="G1364" s="321" t="s">
        <v>251</v>
      </c>
      <c r="H1364" s="51" t="s">
        <v>252</v>
      </c>
      <c r="I1364" s="112">
        <f>E1363</f>
        <v>0</v>
      </c>
      <c r="J1364" s="323" t="s">
        <v>253</v>
      </c>
      <c r="K1364" s="324"/>
      <c r="L1364" s="325"/>
      <c r="M1364" s="52" t="s">
        <v>254</v>
      </c>
      <c r="N1364" s="106"/>
      <c r="O1364" s="106"/>
      <c r="P1364" s="191"/>
      <c r="Q1364" s="191"/>
      <c r="R1364" s="191"/>
      <c r="S1364" s="191"/>
      <c r="T1364" s="191"/>
      <c r="U1364" s="191"/>
      <c r="V1364" s="191"/>
      <c r="W1364" s="53">
        <f>SUM(P1364:U1364)</f>
        <v>0</v>
      </c>
      <c r="X1364" s="54"/>
      <c r="Y1364" s="25"/>
      <c r="Z1364" s="45">
        <v>3</v>
      </c>
      <c r="AA1364" s="46">
        <v>25</v>
      </c>
      <c r="AB1364" s="46">
        <v>36</v>
      </c>
      <c r="AC1364" s="25"/>
      <c r="AD1364" s="25"/>
      <c r="BA1364" s="226"/>
    </row>
    <row r="1365" spans="1:53" ht="16.5" thickTop="1" thickBot="1" x14ac:dyDescent="0.3">
      <c r="A1365" s="88"/>
      <c r="B1365" s="36" t="s">
        <v>255</v>
      </c>
      <c r="C1365" s="30">
        <v>0</v>
      </c>
      <c r="D1365" s="31" t="s">
        <v>256</v>
      </c>
      <c r="E1365" s="101" t="str">
        <f>IF('Cable Calculator'!FM5="","",'Cable Calculator'!FM5)</f>
        <v/>
      </c>
      <c r="F1365" s="88"/>
      <c r="G1365" s="322"/>
      <c r="H1365" s="47" t="s">
        <v>257</v>
      </c>
      <c r="I1365" s="35" t="str">
        <f>IF(E1363="","0",IF(AND(E1360="EUC",E1361=432), I1364+(203-E1362),IF(E1363=0,0,(E1363+(E1361-E1362)-1))))</f>
        <v>0</v>
      </c>
      <c r="J1365" s="286" t="str">
        <f>IFERROR(IF(OR(E1360="EUC",E1360="SS"),"---",IF(OR(P1359,S1359),"NO 2F Tethers for RPX!",IF(OR(P1361,S1361),"NO 6F Tethers for RPX!","---"))),"---")</f>
        <v>---</v>
      </c>
      <c r="K1365" s="287"/>
      <c r="L1365" s="288"/>
      <c r="M1365" s="286" t="str">
        <f>IF(E1362&gt;60,"Dead Count &gt;60: Consider Downsize","---")</f>
        <v>---</v>
      </c>
      <c r="N1365" s="287"/>
      <c r="O1365" s="287"/>
      <c r="P1365" s="287"/>
      <c r="Q1365" s="287"/>
      <c r="R1365" s="287"/>
      <c r="S1365" s="287"/>
      <c r="T1365" s="287"/>
      <c r="U1365" s="288"/>
      <c r="V1365" s="100"/>
      <c r="W1365" s="54">
        <f>SUM(P1365:U1365)</f>
        <v>0</v>
      </c>
      <c r="X1365" s="54"/>
      <c r="Y1365" s="25"/>
      <c r="Z1365" s="45">
        <v>4</v>
      </c>
      <c r="AA1365" s="46">
        <v>37</v>
      </c>
      <c r="AB1365" s="46">
        <v>48</v>
      </c>
      <c r="AC1365" s="25"/>
      <c r="AD1365" s="25"/>
      <c r="BA1365" s="226"/>
    </row>
    <row r="1366" spans="1:53" ht="16.5" thickTop="1" thickBot="1" x14ac:dyDescent="0.3">
      <c r="A1366" s="88"/>
      <c r="B1366" s="55" t="s">
        <v>258</v>
      </c>
      <c r="C1366" s="56">
        <f>SUM(C1360:C1365)+I1359</f>
        <v>0</v>
      </c>
      <c r="D1366" s="31" t="s">
        <v>259</v>
      </c>
      <c r="E1366" s="101" t="str">
        <f>IF(AS1360="Y","DBL",IF(AS1361="Y","TRPL",IF(AS1362="Y","QUAD","")))</f>
        <v/>
      </c>
      <c r="F1366" s="88"/>
      <c r="G1366" s="191"/>
      <c r="H1366" s="57"/>
      <c r="I1366" s="191"/>
      <c r="J1366" s="286"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7"/>
      <c r="L1366" s="288"/>
      <c r="M1366" s="286" t="str">
        <f>IF(AND(OR(E1360="SS",E1360="RPX",E1360="EUC",E1360="RPX-T"),(OR(C1370="",C1370="Field SPL"))),"Cannot have FlexNap cables without tethers","---")</f>
        <v>---</v>
      </c>
      <c r="N1366" s="287"/>
      <c r="O1366" s="287"/>
      <c r="P1366" s="287"/>
      <c r="Q1366" s="287"/>
      <c r="R1366" s="287"/>
      <c r="S1366" s="287"/>
      <c r="T1366" s="287"/>
      <c r="U1366" s="288"/>
      <c r="V1366" s="25"/>
      <c r="W1366" s="58"/>
      <c r="X1366" s="58"/>
      <c r="Y1366" s="25"/>
      <c r="Z1366" s="45">
        <v>5</v>
      </c>
      <c r="AA1366" s="46">
        <v>49</v>
      </c>
      <c r="AB1366" s="46">
        <v>60</v>
      </c>
      <c r="AC1366" s="25"/>
      <c r="AD1366" s="25"/>
      <c r="BA1366" s="226"/>
    </row>
    <row r="1367" spans="1:53" ht="16.5" thickTop="1" thickBot="1" x14ac:dyDescent="0.3">
      <c r="A1367" s="88"/>
      <c r="B1367" s="59"/>
      <c r="C1367" s="60"/>
      <c r="D1367" s="61"/>
      <c r="E1367" s="62"/>
      <c r="F1367" s="88"/>
      <c r="G1367" s="63"/>
      <c r="H1367" s="64"/>
      <c r="I1367" s="63"/>
      <c r="J1367" s="286" t="str">
        <f>IF(AND(OR(E1360="RPX", E1360="RPX-T", E1360="SS"),E1361=216),"NO 216 For RPX, RPX-T, OR SS CABLE","---")</f>
        <v>---</v>
      </c>
      <c r="K1367" s="287"/>
      <c r="L1367" s="288"/>
      <c r="M1367" s="286" t="str" cm="1">
        <f t="array" ref="M1367">IF(AND(E1360="",OR(C1370:C1394="FST",C1370:C1394="REV T",C1370:C1394="DBL REV",C1370:C1394="TPL REV", C1370:C1394="QD REV")),"Non-FlexNap cables cannot have tethers","---")</f>
        <v>---</v>
      </c>
      <c r="N1367" s="287"/>
      <c r="O1367" s="287"/>
      <c r="P1367" s="287"/>
      <c r="Q1367" s="287"/>
      <c r="R1367" s="287"/>
      <c r="S1367" s="287"/>
      <c r="T1367" s="287"/>
      <c r="U1367" s="288"/>
      <c r="V1367" s="25"/>
      <c r="W1367" s="58"/>
      <c r="X1367" s="58"/>
      <c r="Y1367" s="25"/>
      <c r="Z1367" s="45">
        <v>6</v>
      </c>
      <c r="AA1367" s="65">
        <v>61</v>
      </c>
      <c r="AB1367" s="65">
        <v>72</v>
      </c>
      <c r="AC1367" s="25"/>
      <c r="AD1367" s="25"/>
      <c r="BA1367" s="225"/>
    </row>
    <row r="1368" spans="1:53" ht="15.75" customHeight="1" thickBot="1" x14ac:dyDescent="0.3">
      <c r="A1368" s="88"/>
      <c r="B1368" s="321" t="s">
        <v>260</v>
      </c>
      <c r="C1368" s="293" t="s">
        <v>261</v>
      </c>
      <c r="D1368" s="293" t="s">
        <v>262</v>
      </c>
      <c r="E1368" s="306" t="s">
        <v>263</v>
      </c>
      <c r="F1368" s="293" t="s">
        <v>264</v>
      </c>
      <c r="G1368" s="308" t="s">
        <v>265</v>
      </c>
      <c r="H1368" s="308" t="s">
        <v>266</v>
      </c>
      <c r="I1368" s="308" t="s">
        <v>267</v>
      </c>
      <c r="J1368" s="310" t="s">
        <v>268</v>
      </c>
      <c r="K1368" s="293" t="s">
        <v>269</v>
      </c>
      <c r="L1368" s="280" t="s">
        <v>270</v>
      </c>
      <c r="M1368" s="282" t="s">
        <v>271</v>
      </c>
      <c r="N1368" s="282"/>
      <c r="O1368" s="282"/>
      <c r="P1368" s="282"/>
      <c r="Q1368" s="282"/>
      <c r="R1368" s="282"/>
      <c r="S1368" s="282"/>
      <c r="T1368" s="282"/>
      <c r="U1368" s="283"/>
      <c r="V1368" s="107"/>
      <c r="W1368" s="72"/>
      <c r="X1368" s="72"/>
      <c r="Y1368" s="72"/>
      <c r="Z1368" s="45">
        <v>7</v>
      </c>
      <c r="AA1368" s="65">
        <v>73</v>
      </c>
      <c r="AB1368" s="65">
        <v>84</v>
      </c>
      <c r="AC1368" s="25"/>
      <c r="AD1368" s="25"/>
      <c r="BA1368" s="227"/>
    </row>
    <row r="1369" spans="1:53" ht="15.75" thickBot="1" x14ac:dyDescent="0.3">
      <c r="A1369" s="88"/>
      <c r="B1369" s="322"/>
      <c r="C1369" s="294"/>
      <c r="D1369" s="294"/>
      <c r="E1369" s="307"/>
      <c r="F1369" s="294"/>
      <c r="G1369" s="309"/>
      <c r="H1369" s="309"/>
      <c r="I1369" s="309"/>
      <c r="J1369" s="311"/>
      <c r="K1369" s="294"/>
      <c r="L1369" s="281"/>
      <c r="M1369" s="284"/>
      <c r="N1369" s="284"/>
      <c r="O1369" s="284"/>
      <c r="P1369" s="284"/>
      <c r="Q1369" s="284"/>
      <c r="R1369" s="284"/>
      <c r="S1369" s="284"/>
      <c r="T1369" s="284"/>
      <c r="U1369" s="285"/>
      <c r="V1369" s="107"/>
      <c r="W1369" s="72"/>
      <c r="X1369" s="72"/>
      <c r="Y1369" s="72"/>
      <c r="Z1369" s="45">
        <v>8</v>
      </c>
      <c r="AA1369" s="46">
        <v>85</v>
      </c>
      <c r="AB1369" s="46">
        <v>96</v>
      </c>
      <c r="AC1369" s="25"/>
      <c r="AD1369" s="25"/>
      <c r="AI1369" s="109" t="s">
        <v>272</v>
      </c>
      <c r="AJ1369" s="109" t="s">
        <v>273</v>
      </c>
      <c r="AK1369" s="109" t="s">
        <v>274</v>
      </c>
      <c r="AL1369" s="109" t="s">
        <v>275</v>
      </c>
      <c r="BA1369" s="227"/>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2"/>
      <c r="M1370" s="278"/>
      <c r="N1370" s="278"/>
      <c r="O1370" s="278"/>
      <c r="P1370" s="278"/>
      <c r="Q1370" s="278"/>
      <c r="R1370" s="278"/>
      <c r="S1370" s="278"/>
      <c r="T1370" s="278"/>
      <c r="U1370" s="279"/>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8">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2"/>
      <c r="M1371" s="278"/>
      <c r="N1371" s="278"/>
      <c r="O1371" s="278"/>
      <c r="P1371" s="278"/>
      <c r="Q1371" s="278"/>
      <c r="R1371" s="278"/>
      <c r="S1371" s="278"/>
      <c r="T1371" s="278"/>
      <c r="U1371" s="279"/>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8">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2"/>
      <c r="M1372" s="278"/>
      <c r="N1372" s="278"/>
      <c r="O1372" s="278"/>
      <c r="P1372" s="278"/>
      <c r="Q1372" s="278"/>
      <c r="R1372" s="278"/>
      <c r="S1372" s="278"/>
      <c r="T1372" s="278"/>
      <c r="U1372" s="279"/>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8">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2"/>
      <c r="M1373" s="278"/>
      <c r="N1373" s="278"/>
      <c r="O1373" s="278"/>
      <c r="P1373" s="278"/>
      <c r="Q1373" s="278"/>
      <c r="R1373" s="278"/>
      <c r="S1373" s="278"/>
      <c r="T1373" s="278"/>
      <c r="U1373" s="279"/>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8">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2"/>
      <c r="M1374" s="278"/>
      <c r="N1374" s="278"/>
      <c r="O1374" s="278"/>
      <c r="P1374" s="278"/>
      <c r="Q1374" s="278"/>
      <c r="R1374" s="278"/>
      <c r="S1374" s="278"/>
      <c r="T1374" s="278"/>
      <c r="U1374" s="279"/>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8">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2"/>
      <c r="M1375" s="278"/>
      <c r="N1375" s="278"/>
      <c r="O1375" s="278"/>
      <c r="P1375" s="278"/>
      <c r="Q1375" s="278"/>
      <c r="R1375" s="278"/>
      <c r="S1375" s="278"/>
      <c r="T1375" s="278"/>
      <c r="U1375" s="279"/>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8">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2"/>
      <c r="M1376" s="278"/>
      <c r="N1376" s="278"/>
      <c r="O1376" s="278"/>
      <c r="P1376" s="278"/>
      <c r="Q1376" s="278"/>
      <c r="R1376" s="278"/>
      <c r="S1376" s="278"/>
      <c r="T1376" s="278"/>
      <c r="U1376" s="279"/>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8">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2"/>
      <c r="M1377" s="278"/>
      <c r="N1377" s="278"/>
      <c r="O1377" s="278"/>
      <c r="P1377" s="278"/>
      <c r="Q1377" s="278"/>
      <c r="R1377" s="278"/>
      <c r="S1377" s="278"/>
      <c r="T1377" s="278"/>
      <c r="U1377" s="279"/>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8">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2"/>
      <c r="M1378" s="278"/>
      <c r="N1378" s="278"/>
      <c r="O1378" s="278"/>
      <c r="P1378" s="278"/>
      <c r="Q1378" s="278"/>
      <c r="R1378" s="278"/>
      <c r="S1378" s="278"/>
      <c r="T1378" s="278"/>
      <c r="U1378" s="279"/>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8">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2"/>
      <c r="M1379" s="278"/>
      <c r="N1379" s="278"/>
      <c r="O1379" s="278"/>
      <c r="P1379" s="278"/>
      <c r="Q1379" s="278"/>
      <c r="R1379" s="278"/>
      <c r="S1379" s="278"/>
      <c r="T1379" s="278"/>
      <c r="U1379" s="279"/>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8">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2"/>
      <c r="M1380" s="278"/>
      <c r="N1380" s="278"/>
      <c r="O1380" s="278"/>
      <c r="P1380" s="278"/>
      <c r="Q1380" s="278"/>
      <c r="R1380" s="278"/>
      <c r="S1380" s="278"/>
      <c r="T1380" s="278"/>
      <c r="U1380" s="279"/>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8">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2"/>
      <c r="M1381" s="278"/>
      <c r="N1381" s="278"/>
      <c r="O1381" s="278"/>
      <c r="P1381" s="278"/>
      <c r="Q1381" s="278"/>
      <c r="R1381" s="278"/>
      <c r="S1381" s="278"/>
      <c r="T1381" s="278"/>
      <c r="U1381" s="279"/>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8">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2"/>
      <c r="M1382" s="278"/>
      <c r="N1382" s="278"/>
      <c r="O1382" s="278"/>
      <c r="P1382" s="278"/>
      <c r="Q1382" s="278"/>
      <c r="R1382" s="278"/>
      <c r="S1382" s="278"/>
      <c r="T1382" s="278"/>
      <c r="U1382" s="279"/>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8">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2"/>
      <c r="M1383" s="278"/>
      <c r="N1383" s="278"/>
      <c r="O1383" s="278"/>
      <c r="P1383" s="278"/>
      <c r="Q1383" s="278"/>
      <c r="R1383" s="278"/>
      <c r="S1383" s="278"/>
      <c r="T1383" s="278"/>
      <c r="U1383" s="279"/>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8">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2"/>
      <c r="M1384" s="278"/>
      <c r="N1384" s="278"/>
      <c r="O1384" s="278"/>
      <c r="P1384" s="278"/>
      <c r="Q1384" s="278"/>
      <c r="R1384" s="278"/>
      <c r="S1384" s="278"/>
      <c r="T1384" s="278"/>
      <c r="U1384" s="279"/>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8">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2"/>
      <c r="M1385" s="278"/>
      <c r="N1385" s="278"/>
      <c r="O1385" s="278"/>
      <c r="P1385" s="278"/>
      <c r="Q1385" s="278"/>
      <c r="R1385" s="278"/>
      <c r="S1385" s="278"/>
      <c r="T1385" s="278"/>
      <c r="U1385" s="279"/>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8">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2"/>
      <c r="M1386" s="278"/>
      <c r="N1386" s="278"/>
      <c r="O1386" s="278"/>
      <c r="P1386" s="278"/>
      <c r="Q1386" s="278"/>
      <c r="R1386" s="278"/>
      <c r="S1386" s="278"/>
      <c r="T1386" s="278"/>
      <c r="U1386" s="279"/>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8">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2"/>
      <c r="M1387" s="278"/>
      <c r="N1387" s="278"/>
      <c r="O1387" s="278"/>
      <c r="P1387" s="278"/>
      <c r="Q1387" s="278"/>
      <c r="R1387" s="278"/>
      <c r="S1387" s="278"/>
      <c r="T1387" s="278"/>
      <c r="U1387" s="279"/>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8">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2"/>
      <c r="M1388" s="278"/>
      <c r="N1388" s="278"/>
      <c r="O1388" s="278"/>
      <c r="P1388" s="278"/>
      <c r="Q1388" s="278"/>
      <c r="R1388" s="278"/>
      <c r="S1388" s="278"/>
      <c r="T1388" s="278"/>
      <c r="U1388" s="279"/>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8">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2"/>
      <c r="M1389" s="278"/>
      <c r="N1389" s="278"/>
      <c r="O1389" s="278"/>
      <c r="P1389" s="278"/>
      <c r="Q1389" s="278"/>
      <c r="R1389" s="278"/>
      <c r="S1389" s="278"/>
      <c r="T1389" s="278"/>
      <c r="U1389" s="279"/>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8">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2"/>
      <c r="M1390" s="278"/>
      <c r="N1390" s="278"/>
      <c r="O1390" s="278"/>
      <c r="P1390" s="278"/>
      <c r="Q1390" s="278"/>
      <c r="R1390" s="278"/>
      <c r="S1390" s="278"/>
      <c r="T1390" s="278"/>
      <c r="U1390" s="279"/>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8">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2"/>
      <c r="M1391" s="278"/>
      <c r="N1391" s="278"/>
      <c r="O1391" s="278"/>
      <c r="P1391" s="278"/>
      <c r="Q1391" s="278"/>
      <c r="R1391" s="278"/>
      <c r="S1391" s="278"/>
      <c r="T1391" s="278"/>
      <c r="U1391" s="279"/>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8">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2"/>
      <c r="M1392" s="278"/>
      <c r="N1392" s="278"/>
      <c r="O1392" s="278"/>
      <c r="P1392" s="278"/>
      <c r="Q1392" s="278"/>
      <c r="R1392" s="278"/>
      <c r="S1392" s="278"/>
      <c r="T1392" s="278"/>
      <c r="U1392" s="279"/>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8">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2"/>
      <c r="M1393" s="278"/>
      <c r="N1393" s="278"/>
      <c r="O1393" s="278"/>
      <c r="P1393" s="278"/>
      <c r="Q1393" s="278"/>
      <c r="R1393" s="278"/>
      <c r="S1393" s="278"/>
      <c r="T1393" s="278"/>
      <c r="U1393" s="279"/>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8">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3"/>
      <c r="M1394" s="278"/>
      <c r="N1394" s="278"/>
      <c r="O1394" s="278"/>
      <c r="P1394" s="278"/>
      <c r="Q1394" s="278"/>
      <c r="R1394" s="278"/>
      <c r="S1394" s="278"/>
      <c r="T1394" s="278"/>
      <c r="U1394" s="279"/>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7"/>
    </row>
    <row r="1395" spans="1:53" ht="16.5" thickBot="1" x14ac:dyDescent="0.3">
      <c r="A1395" s="88"/>
      <c r="B1395" s="319" t="s">
        <v>371</v>
      </c>
      <c r="C1395" s="320"/>
      <c r="D1395" s="79"/>
      <c r="E1395" s="80"/>
      <c r="F1395" s="80"/>
      <c r="G1395" s="81"/>
      <c r="H1395" s="191"/>
      <c r="I1395" s="191"/>
      <c r="J1395" s="191"/>
      <c r="K1395" s="82"/>
      <c r="L1395" s="319" t="s">
        <v>306</v>
      </c>
      <c r="M1395" s="330"/>
      <c r="N1395" s="330"/>
      <c r="O1395" s="330"/>
      <c r="P1395" s="330"/>
      <c r="Q1395" s="330"/>
      <c r="R1395" s="330"/>
      <c r="S1395" s="330"/>
      <c r="T1395" s="330"/>
      <c r="U1395" s="320"/>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7"/>
    </row>
    <row r="1396" spans="1:53" ht="16.5" thickBot="1" x14ac:dyDescent="0.3">
      <c r="A1396" s="88"/>
      <c r="B1396" s="319" t="s">
        <v>307</v>
      </c>
      <c r="C1396" s="320"/>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5"/>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5" t="s">
        <v>210</v>
      </c>
      <c r="N1399" s="195" t="s">
        <v>211</v>
      </c>
      <c r="O1399" s="195" t="s">
        <v>212</v>
      </c>
      <c r="P1399" s="195" t="s">
        <v>213</v>
      </c>
      <c r="Q1399" s="195" t="s">
        <v>214</v>
      </c>
      <c r="R1399" s="195" t="s">
        <v>215</v>
      </c>
      <c r="S1399" s="195" t="s">
        <v>216</v>
      </c>
      <c r="T1399" s="195" t="s">
        <v>217</v>
      </c>
      <c r="U1399" s="195" t="s">
        <v>218</v>
      </c>
      <c r="V1399" s="195" t="s">
        <v>219</v>
      </c>
      <c r="W1399" s="113" t="s">
        <v>220</v>
      </c>
      <c r="X1399" s="195" t="s">
        <v>221</v>
      </c>
      <c r="Y1399" s="25"/>
      <c r="Z1399" s="25"/>
      <c r="AA1399" s="25"/>
      <c r="AB1399" s="25"/>
      <c r="AC1399" s="25"/>
      <c r="AD1399" s="25"/>
      <c r="BA1399" s="225"/>
    </row>
    <row r="1400" spans="1:53" ht="16.5" thickTop="1" thickBot="1" x14ac:dyDescent="0.3">
      <c r="A1400" s="88"/>
      <c r="B1400" s="312" t="s">
        <v>222</v>
      </c>
      <c r="C1400" s="313"/>
      <c r="D1400" s="314" t="s">
        <v>223</v>
      </c>
      <c r="E1400" s="305"/>
      <c r="F1400" s="88"/>
      <c r="G1400" s="315" t="s">
        <v>224</v>
      </c>
      <c r="H1400" s="316"/>
      <c r="I1400" s="28">
        <f>SUM(E1411:E1435)</f>
        <v>0</v>
      </c>
      <c r="J1400" s="317" t="s">
        <v>225</v>
      </c>
      <c r="K1400" s="318"/>
      <c r="L1400" s="305"/>
      <c r="M1400" s="195">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5" t="s">
        <v>226</v>
      </c>
      <c r="AA1400" s="296"/>
      <c r="AB1400" s="297"/>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5"/>
    </row>
    <row r="1401" spans="1:53" ht="16.5" customHeight="1" thickTop="1" thickBot="1" x14ac:dyDescent="0.3">
      <c r="A1401" s="88"/>
      <c r="B1401" s="29" t="s">
        <v>228</v>
      </c>
      <c r="C1401" s="30">
        <v>0</v>
      </c>
      <c r="D1401" s="31" t="s">
        <v>229</v>
      </c>
      <c r="E1401" s="66" t="str">
        <f>TEXT(IF('Cable Calculator'!FR7="","",'Cable Calculator'!FR7),)</f>
        <v/>
      </c>
      <c r="F1401" s="88"/>
      <c r="G1401" s="304" t="s">
        <v>230</v>
      </c>
      <c r="H1401" s="305"/>
      <c r="I1401" s="33">
        <f>E1402-I1400</f>
        <v>0</v>
      </c>
      <c r="J1401" s="289" t="s">
        <v>231</v>
      </c>
      <c r="K1401" s="290"/>
      <c r="L1401" s="34">
        <f>I1405</f>
        <v>0</v>
      </c>
      <c r="M1401" s="195">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8" t="s">
        <v>232</v>
      </c>
      <c r="AA1401" s="300" t="s">
        <v>233</v>
      </c>
      <c r="AB1401" s="301"/>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6"/>
    </row>
    <row r="1402" spans="1:53" ht="16.5" thickTop="1" thickBot="1" x14ac:dyDescent="0.3">
      <c r="A1402" s="88"/>
      <c r="B1402" s="36" t="s">
        <v>235</v>
      </c>
      <c r="C1402" s="37">
        <v>0</v>
      </c>
      <c r="D1402" s="38" t="s">
        <v>236</v>
      </c>
      <c r="E1402" s="32"/>
      <c r="F1402" s="88"/>
      <c r="G1402" s="291" t="s">
        <v>237</v>
      </c>
      <c r="H1402" s="292"/>
      <c r="I1402" s="35">
        <f>IF(E1402=0,0,12-(MOD(I1400,12)))</f>
        <v>0</v>
      </c>
      <c r="J1402" s="289" t="s">
        <v>238</v>
      </c>
      <c r="K1402" s="290"/>
      <c r="L1402" s="39">
        <f>I1406-I1400</f>
        <v>0</v>
      </c>
      <c r="M1402" s="195">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9"/>
      <c r="AA1402" s="302"/>
      <c r="AB1402" s="303"/>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6"/>
    </row>
    <row r="1403" spans="1:53" ht="16.5" customHeight="1" thickTop="1" thickBot="1" x14ac:dyDescent="0.3">
      <c r="A1403" s="88"/>
      <c r="B1403" s="40" t="s">
        <v>240</v>
      </c>
      <c r="C1403" s="30">
        <v>0</v>
      </c>
      <c r="D1403" s="41" t="s">
        <v>241</v>
      </c>
      <c r="E1403" s="42"/>
      <c r="F1403" s="88"/>
      <c r="G1403" s="321" t="s">
        <v>242</v>
      </c>
      <c r="H1403" s="43" t="s">
        <v>243</v>
      </c>
      <c r="I1403" s="35">
        <f>IF(E1403&lt;&gt;0,1,0)</f>
        <v>0</v>
      </c>
      <c r="J1403" s="291" t="s">
        <v>244</v>
      </c>
      <c r="K1403" s="292"/>
      <c r="L1403" s="44" t="str">
        <f>'Cable Calculator'!FR3</f>
        <v/>
      </c>
      <c r="M1403" s="195">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6"/>
    </row>
    <row r="1404" spans="1:53" ht="16.5" thickTop="1" thickBot="1" x14ac:dyDescent="0.3">
      <c r="A1404" s="88"/>
      <c r="B1404" s="29" t="s">
        <v>246</v>
      </c>
      <c r="C1404" s="37">
        <v>0</v>
      </c>
      <c r="D1404" s="41" t="s">
        <v>247</v>
      </c>
      <c r="E1404" s="42"/>
      <c r="F1404" s="88"/>
      <c r="G1404" s="322"/>
      <c r="H1404" s="47" t="s">
        <v>248</v>
      </c>
      <c r="I1404" s="35">
        <f>IF(E1403&lt;&gt;0,E1403,0)</f>
        <v>0</v>
      </c>
      <c r="J1404" s="193"/>
      <c r="K1404" s="194"/>
      <c r="L1404" s="48"/>
      <c r="M1404" s="195">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6"/>
    </row>
    <row r="1405" spans="1:53" ht="16.5" customHeight="1" thickTop="1" thickBot="1" x14ac:dyDescent="0.3">
      <c r="A1405" s="88"/>
      <c r="B1405" s="36" t="s">
        <v>249</v>
      </c>
      <c r="C1405" s="30">
        <v>0</v>
      </c>
      <c r="D1405" s="49" t="s">
        <v>250</v>
      </c>
      <c r="E1405" s="50">
        <f>E1402/12</f>
        <v>0</v>
      </c>
      <c r="F1405" s="88"/>
      <c r="G1405" s="321" t="s">
        <v>251</v>
      </c>
      <c r="H1405" s="51" t="s">
        <v>252</v>
      </c>
      <c r="I1405" s="112">
        <f>E1404</f>
        <v>0</v>
      </c>
      <c r="J1405" s="323" t="s">
        <v>253</v>
      </c>
      <c r="K1405" s="324"/>
      <c r="L1405" s="325"/>
      <c r="M1405" s="52" t="s">
        <v>254</v>
      </c>
      <c r="N1405" s="106"/>
      <c r="O1405" s="106"/>
      <c r="P1405" s="191"/>
      <c r="Q1405" s="191"/>
      <c r="R1405" s="191"/>
      <c r="S1405" s="191"/>
      <c r="T1405" s="191"/>
      <c r="U1405" s="191"/>
      <c r="V1405" s="191"/>
      <c r="W1405" s="53">
        <f>SUM(P1405:U1405)</f>
        <v>0</v>
      </c>
      <c r="X1405" s="54"/>
      <c r="Y1405" s="25"/>
      <c r="Z1405" s="45">
        <v>3</v>
      </c>
      <c r="AA1405" s="46">
        <v>25</v>
      </c>
      <c r="AB1405" s="46">
        <v>36</v>
      </c>
      <c r="AC1405" s="25"/>
      <c r="AD1405" s="25"/>
      <c r="BA1405" s="226"/>
    </row>
    <row r="1406" spans="1:53" ht="16.5" thickTop="1" thickBot="1" x14ac:dyDescent="0.3">
      <c r="A1406" s="88"/>
      <c r="B1406" s="36" t="s">
        <v>255</v>
      </c>
      <c r="C1406" s="30">
        <v>0</v>
      </c>
      <c r="D1406" s="31" t="s">
        <v>256</v>
      </c>
      <c r="E1406" s="101" t="str">
        <f>IF('Cable Calculator'!FR5="","",'Cable Calculator'!FR5)</f>
        <v/>
      </c>
      <c r="F1406" s="88"/>
      <c r="G1406" s="322"/>
      <c r="H1406" s="47" t="s">
        <v>257</v>
      </c>
      <c r="I1406" s="35" t="str">
        <f>IF(E1404="","0",IF(AND(E1401="EUC",E1402=432), I1405+(203-E1403),IF(E1404=0,0,(E1404+(E1402-E1403)-1))))</f>
        <v>0</v>
      </c>
      <c r="J1406" s="286" t="str">
        <f>IFERROR(IF(OR(E1401="EUC",E1401="SS"),"---",IF(OR(P1400,S1400),"NO 2F Tethers for RPX!",IF(OR(P1402,S1402),"NO 6F Tethers for RPX!","---"))),"---")</f>
        <v>---</v>
      </c>
      <c r="K1406" s="287"/>
      <c r="L1406" s="288"/>
      <c r="M1406" s="286" t="str">
        <f>IF(E1403&gt;60,"Dead Count &gt;60: Consider Downsize","---")</f>
        <v>---</v>
      </c>
      <c r="N1406" s="287"/>
      <c r="O1406" s="287"/>
      <c r="P1406" s="287"/>
      <c r="Q1406" s="287"/>
      <c r="R1406" s="287"/>
      <c r="S1406" s="287"/>
      <c r="T1406" s="287"/>
      <c r="U1406" s="288"/>
      <c r="V1406" s="100"/>
      <c r="W1406" s="54">
        <f>SUM(P1406:U1406)</f>
        <v>0</v>
      </c>
      <c r="X1406" s="54"/>
      <c r="Y1406" s="25"/>
      <c r="Z1406" s="45">
        <v>4</v>
      </c>
      <c r="AA1406" s="46">
        <v>37</v>
      </c>
      <c r="AB1406" s="46">
        <v>48</v>
      </c>
      <c r="AC1406" s="25"/>
      <c r="AD1406" s="25"/>
      <c r="BA1406" s="226"/>
    </row>
    <row r="1407" spans="1:53" ht="16.5" thickTop="1" thickBot="1" x14ac:dyDescent="0.3">
      <c r="A1407" s="88"/>
      <c r="B1407" s="55" t="s">
        <v>258</v>
      </c>
      <c r="C1407" s="56">
        <f>SUM(C1401:C1406)+I1400</f>
        <v>0</v>
      </c>
      <c r="D1407" s="31" t="s">
        <v>259</v>
      </c>
      <c r="E1407" s="101" t="str">
        <f>IF(AS1401="Y","DBL",IF(AS1402="Y","TRPL",IF(AS1403="Y","QUAD","")))</f>
        <v/>
      </c>
      <c r="F1407" s="88"/>
      <c r="G1407" s="191"/>
      <c r="H1407" s="57"/>
      <c r="I1407" s="191"/>
      <c r="J1407" s="286"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7"/>
      <c r="L1407" s="288"/>
      <c r="M1407" s="286" t="str">
        <f>IF(AND(OR(E1401="SS",E1401="RPX",E1401="EUC",E1401="RPX-T"),(OR(C1411="",C1411="Field SPL"))),"Cannot have FlexNap cables without tethers","---")</f>
        <v>---</v>
      </c>
      <c r="N1407" s="287"/>
      <c r="O1407" s="287"/>
      <c r="P1407" s="287"/>
      <c r="Q1407" s="287"/>
      <c r="R1407" s="287"/>
      <c r="S1407" s="287"/>
      <c r="T1407" s="287"/>
      <c r="U1407" s="288"/>
      <c r="V1407" s="25"/>
      <c r="W1407" s="58"/>
      <c r="X1407" s="58"/>
      <c r="Y1407" s="25"/>
      <c r="Z1407" s="45">
        <v>5</v>
      </c>
      <c r="AA1407" s="46">
        <v>49</v>
      </c>
      <c r="AB1407" s="46">
        <v>60</v>
      </c>
      <c r="AC1407" s="25"/>
      <c r="AD1407" s="25"/>
      <c r="BA1407" s="226"/>
    </row>
    <row r="1408" spans="1:53" ht="16.5" thickTop="1" thickBot="1" x14ac:dyDescent="0.3">
      <c r="A1408" s="88"/>
      <c r="B1408" s="59"/>
      <c r="C1408" s="60"/>
      <c r="D1408" s="61"/>
      <c r="E1408" s="62"/>
      <c r="F1408" s="88"/>
      <c r="G1408" s="63"/>
      <c r="H1408" s="64"/>
      <c r="I1408" s="63"/>
      <c r="J1408" s="286" t="str">
        <f>IF(AND(OR(E1401="RPX", E1401="RPX-T", E1401="SS"),E1402=216),"NO 216 For RPX, RPX-T, OR SS CABLE","---")</f>
        <v>---</v>
      </c>
      <c r="K1408" s="287"/>
      <c r="L1408" s="288"/>
      <c r="M1408" s="286" t="str" cm="1">
        <f t="array" ref="M1408">IF(AND(E1401="",OR(C1411:C1435="FST",C1411:C1435="REV T",C1411:C1435="DBL REV",C1411:C1435="TPL REV", C1411:C1435="QD REV")),"Non-FlexNap cables cannot have tethers","---")</f>
        <v>---</v>
      </c>
      <c r="N1408" s="287"/>
      <c r="O1408" s="287"/>
      <c r="P1408" s="287"/>
      <c r="Q1408" s="287"/>
      <c r="R1408" s="287"/>
      <c r="S1408" s="287"/>
      <c r="T1408" s="287"/>
      <c r="U1408" s="288"/>
      <c r="V1408" s="25"/>
      <c r="W1408" s="58"/>
      <c r="X1408" s="58"/>
      <c r="Y1408" s="25"/>
      <c r="Z1408" s="45">
        <v>6</v>
      </c>
      <c r="AA1408" s="65">
        <v>61</v>
      </c>
      <c r="AB1408" s="65">
        <v>72</v>
      </c>
      <c r="AC1408" s="25"/>
      <c r="AD1408" s="25"/>
      <c r="BA1408" s="225"/>
    </row>
    <row r="1409" spans="1:53" ht="15.75" customHeight="1" thickBot="1" x14ac:dyDescent="0.3">
      <c r="A1409" s="88"/>
      <c r="B1409" s="321" t="s">
        <v>260</v>
      </c>
      <c r="C1409" s="293" t="s">
        <v>261</v>
      </c>
      <c r="D1409" s="293" t="s">
        <v>262</v>
      </c>
      <c r="E1409" s="306" t="s">
        <v>263</v>
      </c>
      <c r="F1409" s="293" t="s">
        <v>264</v>
      </c>
      <c r="G1409" s="308" t="s">
        <v>265</v>
      </c>
      <c r="H1409" s="308" t="s">
        <v>266</v>
      </c>
      <c r="I1409" s="308" t="s">
        <v>267</v>
      </c>
      <c r="J1409" s="310" t="s">
        <v>268</v>
      </c>
      <c r="K1409" s="293" t="s">
        <v>269</v>
      </c>
      <c r="L1409" s="280" t="s">
        <v>270</v>
      </c>
      <c r="M1409" s="282" t="s">
        <v>271</v>
      </c>
      <c r="N1409" s="282"/>
      <c r="O1409" s="282"/>
      <c r="P1409" s="282"/>
      <c r="Q1409" s="282"/>
      <c r="R1409" s="282"/>
      <c r="S1409" s="282"/>
      <c r="T1409" s="282"/>
      <c r="U1409" s="283"/>
      <c r="V1409" s="107"/>
      <c r="W1409" s="72"/>
      <c r="X1409" s="72"/>
      <c r="Y1409" s="72"/>
      <c r="Z1409" s="45">
        <v>7</v>
      </c>
      <c r="AA1409" s="65">
        <v>73</v>
      </c>
      <c r="AB1409" s="65">
        <v>84</v>
      </c>
      <c r="AC1409" s="25"/>
      <c r="AD1409" s="25"/>
      <c r="BA1409" s="227"/>
    </row>
    <row r="1410" spans="1:53" ht="15.75" thickBot="1" x14ac:dyDescent="0.3">
      <c r="A1410" s="88"/>
      <c r="B1410" s="322"/>
      <c r="C1410" s="294"/>
      <c r="D1410" s="294"/>
      <c r="E1410" s="307"/>
      <c r="F1410" s="294"/>
      <c r="G1410" s="309"/>
      <c r="H1410" s="309"/>
      <c r="I1410" s="309"/>
      <c r="J1410" s="311"/>
      <c r="K1410" s="294"/>
      <c r="L1410" s="281"/>
      <c r="M1410" s="284"/>
      <c r="N1410" s="284"/>
      <c r="O1410" s="284"/>
      <c r="P1410" s="284"/>
      <c r="Q1410" s="284"/>
      <c r="R1410" s="284"/>
      <c r="S1410" s="284"/>
      <c r="T1410" s="284"/>
      <c r="U1410" s="285"/>
      <c r="V1410" s="107"/>
      <c r="W1410" s="72"/>
      <c r="X1410" s="72"/>
      <c r="Y1410" s="72"/>
      <c r="Z1410" s="45">
        <v>8</v>
      </c>
      <c r="AA1410" s="46">
        <v>85</v>
      </c>
      <c r="AB1410" s="46">
        <v>96</v>
      </c>
      <c r="AC1410" s="25"/>
      <c r="AD1410" s="25"/>
      <c r="AI1410" s="109" t="s">
        <v>272</v>
      </c>
      <c r="AJ1410" s="109" t="s">
        <v>273</v>
      </c>
      <c r="AK1410" s="109" t="s">
        <v>274</v>
      </c>
      <c r="AL1410" s="109" t="s">
        <v>275</v>
      </c>
      <c r="BA1410" s="227"/>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2"/>
      <c r="M1411" s="278"/>
      <c r="N1411" s="278"/>
      <c r="O1411" s="278"/>
      <c r="P1411" s="278"/>
      <c r="Q1411" s="278"/>
      <c r="R1411" s="278"/>
      <c r="S1411" s="278"/>
      <c r="T1411" s="278"/>
      <c r="U1411" s="279"/>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8">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2"/>
      <c r="M1412" s="278"/>
      <c r="N1412" s="278"/>
      <c r="O1412" s="278"/>
      <c r="P1412" s="278"/>
      <c r="Q1412" s="278"/>
      <c r="R1412" s="278"/>
      <c r="S1412" s="278"/>
      <c r="T1412" s="278"/>
      <c r="U1412" s="279"/>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8">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2"/>
      <c r="M1413" s="278"/>
      <c r="N1413" s="278"/>
      <c r="O1413" s="278"/>
      <c r="P1413" s="278"/>
      <c r="Q1413" s="278"/>
      <c r="R1413" s="278"/>
      <c r="S1413" s="278"/>
      <c r="T1413" s="278"/>
      <c r="U1413" s="279"/>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8">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2"/>
      <c r="M1414" s="278"/>
      <c r="N1414" s="278"/>
      <c r="O1414" s="278"/>
      <c r="P1414" s="278"/>
      <c r="Q1414" s="278"/>
      <c r="R1414" s="278"/>
      <c r="S1414" s="278"/>
      <c r="T1414" s="278"/>
      <c r="U1414" s="279"/>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8">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2"/>
      <c r="M1415" s="278"/>
      <c r="N1415" s="278"/>
      <c r="O1415" s="278"/>
      <c r="P1415" s="278"/>
      <c r="Q1415" s="278"/>
      <c r="R1415" s="278"/>
      <c r="S1415" s="278"/>
      <c r="T1415" s="278"/>
      <c r="U1415" s="279"/>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8">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2"/>
      <c r="M1416" s="278"/>
      <c r="N1416" s="278"/>
      <c r="O1416" s="278"/>
      <c r="P1416" s="278"/>
      <c r="Q1416" s="278"/>
      <c r="R1416" s="278"/>
      <c r="S1416" s="278"/>
      <c r="T1416" s="278"/>
      <c r="U1416" s="279"/>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8">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2"/>
      <c r="M1417" s="278"/>
      <c r="N1417" s="278"/>
      <c r="O1417" s="278"/>
      <c r="P1417" s="278"/>
      <c r="Q1417" s="278"/>
      <c r="R1417" s="278"/>
      <c r="S1417" s="278"/>
      <c r="T1417" s="278"/>
      <c r="U1417" s="279"/>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8">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2"/>
      <c r="M1418" s="278"/>
      <c r="N1418" s="278"/>
      <c r="O1418" s="278"/>
      <c r="P1418" s="278"/>
      <c r="Q1418" s="278"/>
      <c r="R1418" s="278"/>
      <c r="S1418" s="278"/>
      <c r="T1418" s="278"/>
      <c r="U1418" s="279"/>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8">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2"/>
      <c r="M1419" s="278"/>
      <c r="N1419" s="278"/>
      <c r="O1419" s="278"/>
      <c r="P1419" s="278"/>
      <c r="Q1419" s="278"/>
      <c r="R1419" s="278"/>
      <c r="S1419" s="278"/>
      <c r="T1419" s="278"/>
      <c r="U1419" s="279"/>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8">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2"/>
      <c r="M1420" s="278"/>
      <c r="N1420" s="278"/>
      <c r="O1420" s="278"/>
      <c r="P1420" s="278"/>
      <c r="Q1420" s="278"/>
      <c r="R1420" s="278"/>
      <c r="S1420" s="278"/>
      <c r="T1420" s="278"/>
      <c r="U1420" s="279"/>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8">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2"/>
      <c r="M1421" s="278"/>
      <c r="N1421" s="278"/>
      <c r="O1421" s="278"/>
      <c r="P1421" s="278"/>
      <c r="Q1421" s="278"/>
      <c r="R1421" s="278"/>
      <c r="S1421" s="278"/>
      <c r="T1421" s="278"/>
      <c r="U1421" s="279"/>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8">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2"/>
      <c r="M1422" s="278"/>
      <c r="N1422" s="278"/>
      <c r="O1422" s="278"/>
      <c r="P1422" s="278"/>
      <c r="Q1422" s="278"/>
      <c r="R1422" s="278"/>
      <c r="S1422" s="278"/>
      <c r="T1422" s="278"/>
      <c r="U1422" s="279"/>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8">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2"/>
      <c r="M1423" s="278"/>
      <c r="N1423" s="278"/>
      <c r="O1423" s="278"/>
      <c r="P1423" s="278"/>
      <c r="Q1423" s="278"/>
      <c r="R1423" s="278"/>
      <c r="S1423" s="278"/>
      <c r="T1423" s="278"/>
      <c r="U1423" s="279"/>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8">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2"/>
      <c r="M1424" s="278"/>
      <c r="N1424" s="278"/>
      <c r="O1424" s="278"/>
      <c r="P1424" s="278"/>
      <c r="Q1424" s="278"/>
      <c r="R1424" s="278"/>
      <c r="S1424" s="278"/>
      <c r="T1424" s="278"/>
      <c r="U1424" s="279"/>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8">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2"/>
      <c r="M1425" s="278"/>
      <c r="N1425" s="278"/>
      <c r="O1425" s="278"/>
      <c r="P1425" s="278"/>
      <c r="Q1425" s="278"/>
      <c r="R1425" s="278"/>
      <c r="S1425" s="278"/>
      <c r="T1425" s="278"/>
      <c r="U1425" s="279"/>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8">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2"/>
      <c r="M1426" s="278"/>
      <c r="N1426" s="278"/>
      <c r="O1426" s="278"/>
      <c r="P1426" s="278"/>
      <c r="Q1426" s="278"/>
      <c r="R1426" s="278"/>
      <c r="S1426" s="278"/>
      <c r="T1426" s="278"/>
      <c r="U1426" s="279"/>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8">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2"/>
      <c r="M1427" s="278"/>
      <c r="N1427" s="278"/>
      <c r="O1427" s="278"/>
      <c r="P1427" s="278"/>
      <c r="Q1427" s="278"/>
      <c r="R1427" s="278"/>
      <c r="S1427" s="278"/>
      <c r="T1427" s="278"/>
      <c r="U1427" s="279"/>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8">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2"/>
      <c r="M1428" s="278"/>
      <c r="N1428" s="278"/>
      <c r="O1428" s="278"/>
      <c r="P1428" s="278"/>
      <c r="Q1428" s="278"/>
      <c r="R1428" s="278"/>
      <c r="S1428" s="278"/>
      <c r="T1428" s="278"/>
      <c r="U1428" s="279"/>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8">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2"/>
      <c r="M1429" s="278"/>
      <c r="N1429" s="278"/>
      <c r="O1429" s="278"/>
      <c r="P1429" s="278"/>
      <c r="Q1429" s="278"/>
      <c r="R1429" s="278"/>
      <c r="S1429" s="278"/>
      <c r="T1429" s="278"/>
      <c r="U1429" s="279"/>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8">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2"/>
      <c r="M1430" s="278"/>
      <c r="N1430" s="278"/>
      <c r="O1430" s="278"/>
      <c r="P1430" s="278"/>
      <c r="Q1430" s="278"/>
      <c r="R1430" s="278"/>
      <c r="S1430" s="278"/>
      <c r="T1430" s="278"/>
      <c r="U1430" s="279"/>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8">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2"/>
      <c r="M1431" s="278"/>
      <c r="N1431" s="278"/>
      <c r="O1431" s="278"/>
      <c r="P1431" s="278"/>
      <c r="Q1431" s="278"/>
      <c r="R1431" s="278"/>
      <c r="S1431" s="278"/>
      <c r="T1431" s="278"/>
      <c r="U1431" s="279"/>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8">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2"/>
      <c r="M1432" s="278"/>
      <c r="N1432" s="278"/>
      <c r="O1432" s="278"/>
      <c r="P1432" s="278"/>
      <c r="Q1432" s="278"/>
      <c r="R1432" s="278"/>
      <c r="S1432" s="278"/>
      <c r="T1432" s="278"/>
      <c r="U1432" s="279"/>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8">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2"/>
      <c r="M1433" s="278"/>
      <c r="N1433" s="278"/>
      <c r="O1433" s="278"/>
      <c r="P1433" s="278"/>
      <c r="Q1433" s="278"/>
      <c r="R1433" s="278"/>
      <c r="S1433" s="278"/>
      <c r="T1433" s="278"/>
      <c r="U1433" s="279"/>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8">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2"/>
      <c r="M1434" s="278"/>
      <c r="N1434" s="278"/>
      <c r="O1434" s="278"/>
      <c r="P1434" s="278"/>
      <c r="Q1434" s="278"/>
      <c r="R1434" s="278"/>
      <c r="S1434" s="278"/>
      <c r="T1434" s="278"/>
      <c r="U1434" s="279"/>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8">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3"/>
      <c r="M1435" s="278"/>
      <c r="N1435" s="278"/>
      <c r="O1435" s="278"/>
      <c r="P1435" s="278"/>
      <c r="Q1435" s="278"/>
      <c r="R1435" s="278"/>
      <c r="S1435" s="278"/>
      <c r="T1435" s="278"/>
      <c r="U1435" s="279"/>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7"/>
    </row>
    <row r="1436" spans="1:53" ht="16.5" thickBot="1" x14ac:dyDescent="0.3">
      <c r="A1436" s="88"/>
      <c r="B1436" s="319" t="s">
        <v>373</v>
      </c>
      <c r="C1436" s="320"/>
      <c r="D1436" s="79"/>
      <c r="E1436" s="80"/>
      <c r="F1436" s="80"/>
      <c r="G1436" s="81"/>
      <c r="H1436" s="191"/>
      <c r="I1436" s="191"/>
      <c r="J1436" s="191"/>
      <c r="K1436" s="82"/>
      <c r="L1436" s="319" t="s">
        <v>306</v>
      </c>
      <c r="M1436" s="330"/>
      <c r="N1436" s="330"/>
      <c r="O1436" s="330"/>
      <c r="P1436" s="330"/>
      <c r="Q1436" s="330"/>
      <c r="R1436" s="330"/>
      <c r="S1436" s="330"/>
      <c r="T1436" s="330"/>
      <c r="U1436" s="320"/>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7"/>
    </row>
    <row r="1437" spans="1:53" ht="16.5" thickBot="1" x14ac:dyDescent="0.3">
      <c r="A1437" s="88"/>
      <c r="B1437" s="319" t="s">
        <v>307</v>
      </c>
      <c r="C1437" s="320"/>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5"/>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5" t="s">
        <v>210</v>
      </c>
      <c r="N1440" s="195" t="s">
        <v>211</v>
      </c>
      <c r="O1440" s="195" t="s">
        <v>212</v>
      </c>
      <c r="P1440" s="195" t="s">
        <v>213</v>
      </c>
      <c r="Q1440" s="195" t="s">
        <v>214</v>
      </c>
      <c r="R1440" s="195" t="s">
        <v>215</v>
      </c>
      <c r="S1440" s="195" t="s">
        <v>216</v>
      </c>
      <c r="T1440" s="195" t="s">
        <v>217</v>
      </c>
      <c r="U1440" s="195" t="s">
        <v>218</v>
      </c>
      <c r="V1440" s="195" t="s">
        <v>219</v>
      </c>
      <c r="W1440" s="113" t="s">
        <v>220</v>
      </c>
      <c r="X1440" s="195" t="s">
        <v>221</v>
      </c>
      <c r="Y1440" s="25"/>
      <c r="Z1440" s="25"/>
      <c r="AA1440" s="25"/>
      <c r="AB1440" s="25"/>
      <c r="AC1440" s="25"/>
      <c r="AD1440" s="25"/>
      <c r="BA1440" s="225"/>
    </row>
    <row r="1441" spans="1:53" ht="16.5" thickTop="1" thickBot="1" x14ac:dyDescent="0.3">
      <c r="A1441" s="88"/>
      <c r="B1441" s="312" t="s">
        <v>222</v>
      </c>
      <c r="C1441" s="313"/>
      <c r="D1441" s="314" t="s">
        <v>223</v>
      </c>
      <c r="E1441" s="305"/>
      <c r="F1441" s="88"/>
      <c r="G1441" s="315" t="s">
        <v>224</v>
      </c>
      <c r="H1441" s="316"/>
      <c r="I1441" s="28">
        <f>SUM(E1452:E1476)</f>
        <v>0</v>
      </c>
      <c r="J1441" s="317" t="s">
        <v>225</v>
      </c>
      <c r="K1441" s="318"/>
      <c r="L1441" s="305"/>
      <c r="M1441" s="195">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5" t="s">
        <v>226</v>
      </c>
      <c r="AA1441" s="296"/>
      <c r="AB1441" s="297"/>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5"/>
    </row>
    <row r="1442" spans="1:53" ht="16.5" customHeight="1" thickTop="1" thickBot="1" x14ac:dyDescent="0.3">
      <c r="A1442" s="88"/>
      <c r="B1442" s="29" t="s">
        <v>228</v>
      </c>
      <c r="C1442" s="30">
        <v>0</v>
      </c>
      <c r="D1442" s="31" t="s">
        <v>229</v>
      </c>
      <c r="E1442" s="66" t="str">
        <f>TEXT(IF('Cable Calculator'!FW7="","",'Cable Calculator'!FW7),)</f>
        <v/>
      </c>
      <c r="F1442" s="88"/>
      <c r="G1442" s="304" t="s">
        <v>230</v>
      </c>
      <c r="H1442" s="305"/>
      <c r="I1442" s="33">
        <f>E1443-I1441</f>
        <v>0</v>
      </c>
      <c r="J1442" s="289" t="s">
        <v>231</v>
      </c>
      <c r="K1442" s="290"/>
      <c r="L1442" s="34">
        <f>I1446</f>
        <v>0</v>
      </c>
      <c r="M1442" s="195">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8" t="s">
        <v>232</v>
      </c>
      <c r="AA1442" s="300" t="s">
        <v>233</v>
      </c>
      <c r="AB1442" s="301"/>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6"/>
    </row>
    <row r="1443" spans="1:53" ht="16.5" thickTop="1" thickBot="1" x14ac:dyDescent="0.3">
      <c r="A1443" s="88"/>
      <c r="B1443" s="36" t="s">
        <v>235</v>
      </c>
      <c r="C1443" s="37">
        <v>0</v>
      </c>
      <c r="D1443" s="38" t="s">
        <v>236</v>
      </c>
      <c r="E1443" s="32"/>
      <c r="F1443" s="88"/>
      <c r="G1443" s="291" t="s">
        <v>237</v>
      </c>
      <c r="H1443" s="292"/>
      <c r="I1443" s="35">
        <f>IF(E1443=0,0,12-(MOD(I1441,12)))</f>
        <v>0</v>
      </c>
      <c r="J1443" s="289" t="s">
        <v>238</v>
      </c>
      <c r="K1443" s="290"/>
      <c r="L1443" s="39">
        <f>I1447-I1441</f>
        <v>0</v>
      </c>
      <c r="M1443" s="195">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9"/>
      <c r="AA1443" s="302"/>
      <c r="AB1443" s="303"/>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6"/>
    </row>
    <row r="1444" spans="1:53" ht="16.5" customHeight="1" thickTop="1" thickBot="1" x14ac:dyDescent="0.3">
      <c r="A1444" s="88"/>
      <c r="B1444" s="40" t="s">
        <v>240</v>
      </c>
      <c r="C1444" s="30">
        <v>0</v>
      </c>
      <c r="D1444" s="41" t="s">
        <v>241</v>
      </c>
      <c r="E1444" s="42"/>
      <c r="F1444" s="88"/>
      <c r="G1444" s="321" t="s">
        <v>242</v>
      </c>
      <c r="H1444" s="43" t="s">
        <v>243</v>
      </c>
      <c r="I1444" s="35">
        <f>IF(E1444&lt;&gt;0,1,0)</f>
        <v>0</v>
      </c>
      <c r="J1444" s="291" t="s">
        <v>244</v>
      </c>
      <c r="K1444" s="292"/>
      <c r="L1444" s="44" t="str">
        <f>'Cable Calculator'!FW3</f>
        <v/>
      </c>
      <c r="M1444" s="195">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6"/>
    </row>
    <row r="1445" spans="1:53" ht="16.5" thickTop="1" thickBot="1" x14ac:dyDescent="0.3">
      <c r="A1445" s="88"/>
      <c r="B1445" s="29" t="s">
        <v>246</v>
      </c>
      <c r="C1445" s="37">
        <v>0</v>
      </c>
      <c r="D1445" s="41" t="s">
        <v>247</v>
      </c>
      <c r="E1445" s="42"/>
      <c r="F1445" s="88"/>
      <c r="G1445" s="322"/>
      <c r="H1445" s="47" t="s">
        <v>248</v>
      </c>
      <c r="I1445" s="35">
        <f>IF(E1444&lt;&gt;0,E1444,0)</f>
        <v>0</v>
      </c>
      <c r="J1445" s="193"/>
      <c r="K1445" s="194"/>
      <c r="L1445" s="48"/>
      <c r="M1445" s="195">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6"/>
    </row>
    <row r="1446" spans="1:53" ht="16.5" customHeight="1" thickTop="1" thickBot="1" x14ac:dyDescent="0.3">
      <c r="A1446" s="88"/>
      <c r="B1446" s="36" t="s">
        <v>249</v>
      </c>
      <c r="C1446" s="30">
        <v>0</v>
      </c>
      <c r="D1446" s="49" t="s">
        <v>250</v>
      </c>
      <c r="E1446" s="50">
        <f>E1443/12</f>
        <v>0</v>
      </c>
      <c r="F1446" s="88"/>
      <c r="G1446" s="321" t="s">
        <v>251</v>
      </c>
      <c r="H1446" s="51" t="s">
        <v>252</v>
      </c>
      <c r="I1446" s="112">
        <f>E1445</f>
        <v>0</v>
      </c>
      <c r="J1446" s="323" t="s">
        <v>253</v>
      </c>
      <c r="K1446" s="324"/>
      <c r="L1446" s="325"/>
      <c r="M1446" s="52" t="s">
        <v>254</v>
      </c>
      <c r="N1446" s="106"/>
      <c r="O1446" s="106"/>
      <c r="P1446" s="191"/>
      <c r="Q1446" s="191"/>
      <c r="R1446" s="191"/>
      <c r="S1446" s="191"/>
      <c r="T1446" s="191"/>
      <c r="U1446" s="191"/>
      <c r="V1446" s="191"/>
      <c r="W1446" s="53">
        <f>SUM(P1446:U1446)</f>
        <v>0</v>
      </c>
      <c r="X1446" s="54"/>
      <c r="Y1446" s="25"/>
      <c r="Z1446" s="45">
        <v>3</v>
      </c>
      <c r="AA1446" s="46">
        <v>25</v>
      </c>
      <c r="AB1446" s="46">
        <v>36</v>
      </c>
      <c r="AC1446" s="25"/>
      <c r="AD1446" s="25"/>
      <c r="BA1446" s="226"/>
    </row>
    <row r="1447" spans="1:53" ht="16.5" thickTop="1" thickBot="1" x14ac:dyDescent="0.3">
      <c r="A1447" s="88"/>
      <c r="B1447" s="36" t="s">
        <v>255</v>
      </c>
      <c r="C1447" s="30">
        <v>0</v>
      </c>
      <c r="D1447" s="31" t="s">
        <v>256</v>
      </c>
      <c r="E1447" s="101" t="str">
        <f>IF('Cable Calculator'!FW5="","",'Cable Calculator'!FW5)</f>
        <v/>
      </c>
      <c r="F1447" s="88"/>
      <c r="G1447" s="322"/>
      <c r="H1447" s="47" t="s">
        <v>257</v>
      </c>
      <c r="I1447" s="35" t="str">
        <f>IF(E1445="","0",IF(AND(E1442="EUC",E1443=432), I1446+(203-E1444),IF(E1445=0,0,(E1445+(E1443-E1444)-1))))</f>
        <v>0</v>
      </c>
      <c r="J1447" s="286" t="str">
        <f>IFERROR(IF(OR(E1442="EUC",E1442="SS"),"---",IF(OR(P1441,S1441),"NO 2F Tethers for RPX!",IF(OR(P1443,S1443),"NO 6F Tethers for RPX!","---"))),"---")</f>
        <v>---</v>
      </c>
      <c r="K1447" s="287"/>
      <c r="L1447" s="288"/>
      <c r="M1447" s="286" t="str">
        <f>IF(E1444&gt;60,"Dead Count &gt;60: Consider Downsize","---")</f>
        <v>---</v>
      </c>
      <c r="N1447" s="287"/>
      <c r="O1447" s="287"/>
      <c r="P1447" s="287"/>
      <c r="Q1447" s="287"/>
      <c r="R1447" s="287"/>
      <c r="S1447" s="287"/>
      <c r="T1447" s="287"/>
      <c r="U1447" s="288"/>
      <c r="V1447" s="100"/>
      <c r="W1447" s="54">
        <f>SUM(P1447:U1447)</f>
        <v>0</v>
      </c>
      <c r="X1447" s="54"/>
      <c r="Y1447" s="25"/>
      <c r="Z1447" s="45">
        <v>4</v>
      </c>
      <c r="AA1447" s="46">
        <v>37</v>
      </c>
      <c r="AB1447" s="46">
        <v>48</v>
      </c>
      <c r="AC1447" s="25"/>
      <c r="AD1447" s="25"/>
      <c r="BA1447" s="226"/>
    </row>
    <row r="1448" spans="1:53" ht="16.5" thickTop="1" thickBot="1" x14ac:dyDescent="0.3">
      <c r="A1448" s="88"/>
      <c r="B1448" s="55" t="s">
        <v>258</v>
      </c>
      <c r="C1448" s="56">
        <f>SUM(C1442:C1447)+I1441</f>
        <v>0</v>
      </c>
      <c r="D1448" s="31" t="s">
        <v>259</v>
      </c>
      <c r="E1448" s="101" t="str">
        <f>IF(AS1442="Y","DBL",IF(AS1443="Y","TRPL",IF(AS1444="Y","QUAD","")))</f>
        <v/>
      </c>
      <c r="F1448" s="88"/>
      <c r="G1448" s="191"/>
      <c r="H1448" s="57"/>
      <c r="I1448" s="191"/>
      <c r="J1448" s="286"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7"/>
      <c r="L1448" s="288"/>
      <c r="M1448" s="286" t="str">
        <f>IF(AND(OR(E1442="SS",E1442="RPX",E1442="EUC",E1442="RPX-T"),(OR(C1452="",C1452="Field SPL"))),"Cannot have FlexNap cables without tethers","---")</f>
        <v>---</v>
      </c>
      <c r="N1448" s="287"/>
      <c r="O1448" s="287"/>
      <c r="P1448" s="287"/>
      <c r="Q1448" s="287"/>
      <c r="R1448" s="287"/>
      <c r="S1448" s="287"/>
      <c r="T1448" s="287"/>
      <c r="U1448" s="288"/>
      <c r="V1448" s="25"/>
      <c r="W1448" s="58"/>
      <c r="X1448" s="58"/>
      <c r="Y1448" s="25"/>
      <c r="Z1448" s="45">
        <v>5</v>
      </c>
      <c r="AA1448" s="46">
        <v>49</v>
      </c>
      <c r="AB1448" s="46">
        <v>60</v>
      </c>
      <c r="AC1448" s="25"/>
      <c r="AD1448" s="25"/>
      <c r="BA1448" s="226"/>
    </row>
    <row r="1449" spans="1:53" ht="16.5" thickTop="1" thickBot="1" x14ac:dyDescent="0.3">
      <c r="A1449" s="88"/>
      <c r="B1449" s="59"/>
      <c r="C1449" s="60"/>
      <c r="D1449" s="61"/>
      <c r="E1449" s="62"/>
      <c r="F1449" s="88"/>
      <c r="G1449" s="63"/>
      <c r="H1449" s="64"/>
      <c r="I1449" s="63"/>
      <c r="J1449" s="286" t="str">
        <f>IF(AND(OR(E1442="RPX", E1442="RPX-T", E1442="SS"),E1443=216),"NO 216 For RPX, RPX-T, OR SS CABLE","---")</f>
        <v>---</v>
      </c>
      <c r="K1449" s="287"/>
      <c r="L1449" s="288"/>
      <c r="M1449" s="286" t="str" cm="1">
        <f t="array" ref="M1449">IF(AND(E1442="",OR(C1452:C1476="FST",C1452:C1476="REV T",C1452:C1476="DBL REV",C1452:C1476="TPL REV", C1452:C1476="QD REV")),"Non-FlexNap cables cannot have tethers","---")</f>
        <v>---</v>
      </c>
      <c r="N1449" s="287"/>
      <c r="O1449" s="287"/>
      <c r="P1449" s="287"/>
      <c r="Q1449" s="287"/>
      <c r="R1449" s="287"/>
      <c r="S1449" s="287"/>
      <c r="T1449" s="287"/>
      <c r="U1449" s="288"/>
      <c r="V1449" s="25"/>
      <c r="W1449" s="58"/>
      <c r="X1449" s="58"/>
      <c r="Y1449" s="25"/>
      <c r="Z1449" s="45">
        <v>6</v>
      </c>
      <c r="AA1449" s="65">
        <v>61</v>
      </c>
      <c r="AB1449" s="65">
        <v>72</v>
      </c>
      <c r="AC1449" s="25"/>
      <c r="AD1449" s="25"/>
      <c r="BA1449" s="225"/>
    </row>
    <row r="1450" spans="1:53" ht="15.75" customHeight="1" thickBot="1" x14ac:dyDescent="0.3">
      <c r="A1450" s="88"/>
      <c r="B1450" s="321" t="s">
        <v>260</v>
      </c>
      <c r="C1450" s="293" t="s">
        <v>261</v>
      </c>
      <c r="D1450" s="293" t="s">
        <v>262</v>
      </c>
      <c r="E1450" s="306" t="s">
        <v>263</v>
      </c>
      <c r="F1450" s="293" t="s">
        <v>264</v>
      </c>
      <c r="G1450" s="308" t="s">
        <v>265</v>
      </c>
      <c r="H1450" s="308" t="s">
        <v>266</v>
      </c>
      <c r="I1450" s="308" t="s">
        <v>267</v>
      </c>
      <c r="J1450" s="310" t="s">
        <v>268</v>
      </c>
      <c r="K1450" s="293" t="s">
        <v>269</v>
      </c>
      <c r="L1450" s="280" t="s">
        <v>270</v>
      </c>
      <c r="M1450" s="282" t="s">
        <v>271</v>
      </c>
      <c r="N1450" s="282"/>
      <c r="O1450" s="282"/>
      <c r="P1450" s="282"/>
      <c r="Q1450" s="282"/>
      <c r="R1450" s="282"/>
      <c r="S1450" s="282"/>
      <c r="T1450" s="282"/>
      <c r="U1450" s="283"/>
      <c r="V1450" s="107"/>
      <c r="W1450" s="72"/>
      <c r="X1450" s="72"/>
      <c r="Y1450" s="72"/>
      <c r="Z1450" s="45">
        <v>7</v>
      </c>
      <c r="AA1450" s="65">
        <v>73</v>
      </c>
      <c r="AB1450" s="65">
        <v>84</v>
      </c>
      <c r="AC1450" s="25"/>
      <c r="AD1450" s="25"/>
      <c r="BA1450" s="227"/>
    </row>
    <row r="1451" spans="1:53" ht="15.75" thickBot="1" x14ac:dyDescent="0.3">
      <c r="A1451" s="88"/>
      <c r="B1451" s="322"/>
      <c r="C1451" s="294"/>
      <c r="D1451" s="294"/>
      <c r="E1451" s="307"/>
      <c r="F1451" s="294"/>
      <c r="G1451" s="309"/>
      <c r="H1451" s="309"/>
      <c r="I1451" s="309"/>
      <c r="J1451" s="311"/>
      <c r="K1451" s="294"/>
      <c r="L1451" s="281"/>
      <c r="M1451" s="284"/>
      <c r="N1451" s="284"/>
      <c r="O1451" s="284"/>
      <c r="P1451" s="284"/>
      <c r="Q1451" s="284"/>
      <c r="R1451" s="284"/>
      <c r="S1451" s="284"/>
      <c r="T1451" s="284"/>
      <c r="U1451" s="285"/>
      <c r="V1451" s="107"/>
      <c r="W1451" s="72"/>
      <c r="X1451" s="72"/>
      <c r="Y1451" s="72"/>
      <c r="Z1451" s="45">
        <v>8</v>
      </c>
      <c r="AA1451" s="46">
        <v>85</v>
      </c>
      <c r="AB1451" s="46">
        <v>96</v>
      </c>
      <c r="AC1451" s="25"/>
      <c r="AD1451" s="25"/>
      <c r="AI1451" s="109" t="s">
        <v>272</v>
      </c>
      <c r="AJ1451" s="109" t="s">
        <v>273</v>
      </c>
      <c r="AK1451" s="109" t="s">
        <v>274</v>
      </c>
      <c r="AL1451" s="109" t="s">
        <v>275</v>
      </c>
      <c r="BA1451" s="227"/>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2"/>
      <c r="M1452" s="278"/>
      <c r="N1452" s="278"/>
      <c r="O1452" s="278"/>
      <c r="P1452" s="278"/>
      <c r="Q1452" s="278"/>
      <c r="R1452" s="278"/>
      <c r="S1452" s="278"/>
      <c r="T1452" s="278"/>
      <c r="U1452" s="279"/>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8">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2"/>
      <c r="M1453" s="278"/>
      <c r="N1453" s="278"/>
      <c r="O1453" s="278"/>
      <c r="P1453" s="278"/>
      <c r="Q1453" s="278"/>
      <c r="R1453" s="278"/>
      <c r="S1453" s="278"/>
      <c r="T1453" s="278"/>
      <c r="U1453" s="279"/>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8">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2"/>
      <c r="M1454" s="278"/>
      <c r="N1454" s="278"/>
      <c r="O1454" s="278"/>
      <c r="P1454" s="278"/>
      <c r="Q1454" s="278"/>
      <c r="R1454" s="278"/>
      <c r="S1454" s="278"/>
      <c r="T1454" s="278"/>
      <c r="U1454" s="279"/>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8">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2"/>
      <c r="M1455" s="278"/>
      <c r="N1455" s="278"/>
      <c r="O1455" s="278"/>
      <c r="P1455" s="278"/>
      <c r="Q1455" s="278"/>
      <c r="R1455" s="278"/>
      <c r="S1455" s="278"/>
      <c r="T1455" s="278"/>
      <c r="U1455" s="279"/>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8">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2"/>
      <c r="M1456" s="278"/>
      <c r="N1456" s="278"/>
      <c r="O1456" s="278"/>
      <c r="P1456" s="278"/>
      <c r="Q1456" s="278"/>
      <c r="R1456" s="278"/>
      <c r="S1456" s="278"/>
      <c r="T1456" s="278"/>
      <c r="U1456" s="279"/>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8">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2"/>
      <c r="M1457" s="278"/>
      <c r="N1457" s="278"/>
      <c r="O1457" s="278"/>
      <c r="P1457" s="278"/>
      <c r="Q1457" s="278"/>
      <c r="R1457" s="278"/>
      <c r="S1457" s="278"/>
      <c r="T1457" s="278"/>
      <c r="U1457" s="279"/>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8">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2"/>
      <c r="M1458" s="278"/>
      <c r="N1458" s="278"/>
      <c r="O1458" s="278"/>
      <c r="P1458" s="278"/>
      <c r="Q1458" s="278"/>
      <c r="R1458" s="278"/>
      <c r="S1458" s="278"/>
      <c r="T1458" s="278"/>
      <c r="U1458" s="279"/>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8">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2"/>
      <c r="M1459" s="278"/>
      <c r="N1459" s="278"/>
      <c r="O1459" s="278"/>
      <c r="P1459" s="278"/>
      <c r="Q1459" s="278"/>
      <c r="R1459" s="278"/>
      <c r="S1459" s="278"/>
      <c r="T1459" s="278"/>
      <c r="U1459" s="279"/>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8">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2"/>
      <c r="M1460" s="278"/>
      <c r="N1460" s="278"/>
      <c r="O1460" s="278"/>
      <c r="P1460" s="278"/>
      <c r="Q1460" s="278"/>
      <c r="R1460" s="278"/>
      <c r="S1460" s="278"/>
      <c r="T1460" s="278"/>
      <c r="U1460" s="279"/>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8">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2"/>
      <c r="M1461" s="278"/>
      <c r="N1461" s="278"/>
      <c r="O1461" s="278"/>
      <c r="P1461" s="278"/>
      <c r="Q1461" s="278"/>
      <c r="R1461" s="278"/>
      <c r="S1461" s="278"/>
      <c r="T1461" s="278"/>
      <c r="U1461" s="279"/>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8">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2"/>
      <c r="M1462" s="278"/>
      <c r="N1462" s="278"/>
      <c r="O1462" s="278"/>
      <c r="P1462" s="278"/>
      <c r="Q1462" s="278"/>
      <c r="R1462" s="278"/>
      <c r="S1462" s="278"/>
      <c r="T1462" s="278"/>
      <c r="U1462" s="279"/>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8">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2"/>
      <c r="M1463" s="278"/>
      <c r="N1463" s="278"/>
      <c r="O1463" s="278"/>
      <c r="P1463" s="278"/>
      <c r="Q1463" s="278"/>
      <c r="R1463" s="278"/>
      <c r="S1463" s="278"/>
      <c r="T1463" s="278"/>
      <c r="U1463" s="279"/>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8">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2"/>
      <c r="M1464" s="278"/>
      <c r="N1464" s="278"/>
      <c r="O1464" s="278"/>
      <c r="P1464" s="278"/>
      <c r="Q1464" s="278"/>
      <c r="R1464" s="278"/>
      <c r="S1464" s="278"/>
      <c r="T1464" s="278"/>
      <c r="U1464" s="279"/>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8">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2"/>
      <c r="M1465" s="278"/>
      <c r="N1465" s="278"/>
      <c r="O1465" s="278"/>
      <c r="P1465" s="278"/>
      <c r="Q1465" s="278"/>
      <c r="R1465" s="278"/>
      <c r="S1465" s="278"/>
      <c r="T1465" s="278"/>
      <c r="U1465" s="279"/>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8">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2"/>
      <c r="M1466" s="278"/>
      <c r="N1466" s="278"/>
      <c r="O1466" s="278"/>
      <c r="P1466" s="278"/>
      <c r="Q1466" s="278"/>
      <c r="R1466" s="278"/>
      <c r="S1466" s="278"/>
      <c r="T1466" s="278"/>
      <c r="U1466" s="279"/>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8">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2"/>
      <c r="M1467" s="278"/>
      <c r="N1467" s="278"/>
      <c r="O1467" s="278"/>
      <c r="P1467" s="278"/>
      <c r="Q1467" s="278"/>
      <c r="R1467" s="278"/>
      <c r="S1467" s="278"/>
      <c r="T1467" s="278"/>
      <c r="U1467" s="279"/>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8">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2"/>
      <c r="M1468" s="278"/>
      <c r="N1468" s="278"/>
      <c r="O1468" s="278"/>
      <c r="P1468" s="278"/>
      <c r="Q1468" s="278"/>
      <c r="R1468" s="278"/>
      <c r="S1468" s="278"/>
      <c r="T1468" s="278"/>
      <c r="U1468" s="279"/>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8">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2"/>
      <c r="M1469" s="278"/>
      <c r="N1469" s="278"/>
      <c r="O1469" s="278"/>
      <c r="P1469" s="278"/>
      <c r="Q1469" s="278"/>
      <c r="R1469" s="278"/>
      <c r="S1469" s="278"/>
      <c r="T1469" s="278"/>
      <c r="U1469" s="279"/>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8">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2"/>
      <c r="M1470" s="278"/>
      <c r="N1470" s="278"/>
      <c r="O1470" s="278"/>
      <c r="P1470" s="278"/>
      <c r="Q1470" s="278"/>
      <c r="R1470" s="278"/>
      <c r="S1470" s="278"/>
      <c r="T1470" s="278"/>
      <c r="U1470" s="279"/>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8">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2"/>
      <c r="M1471" s="278"/>
      <c r="N1471" s="278"/>
      <c r="O1471" s="278"/>
      <c r="P1471" s="278"/>
      <c r="Q1471" s="278"/>
      <c r="R1471" s="278"/>
      <c r="S1471" s="278"/>
      <c r="T1471" s="278"/>
      <c r="U1471" s="279"/>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8">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2"/>
      <c r="M1472" s="278"/>
      <c r="N1472" s="278"/>
      <c r="O1472" s="278"/>
      <c r="P1472" s="278"/>
      <c r="Q1472" s="278"/>
      <c r="R1472" s="278"/>
      <c r="S1472" s="278"/>
      <c r="T1472" s="278"/>
      <c r="U1472" s="279"/>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8">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2"/>
      <c r="M1473" s="278"/>
      <c r="N1473" s="278"/>
      <c r="O1473" s="278"/>
      <c r="P1473" s="278"/>
      <c r="Q1473" s="278"/>
      <c r="R1473" s="278"/>
      <c r="S1473" s="278"/>
      <c r="T1473" s="278"/>
      <c r="U1473" s="279"/>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8">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2"/>
      <c r="M1474" s="278"/>
      <c r="N1474" s="278"/>
      <c r="O1474" s="278"/>
      <c r="P1474" s="278"/>
      <c r="Q1474" s="278"/>
      <c r="R1474" s="278"/>
      <c r="S1474" s="278"/>
      <c r="T1474" s="278"/>
      <c r="U1474" s="279"/>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8">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2"/>
      <c r="M1475" s="278"/>
      <c r="N1475" s="278"/>
      <c r="O1475" s="278"/>
      <c r="P1475" s="278"/>
      <c r="Q1475" s="278"/>
      <c r="R1475" s="278"/>
      <c r="S1475" s="278"/>
      <c r="T1475" s="278"/>
      <c r="U1475" s="279"/>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8">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3"/>
      <c r="M1476" s="278"/>
      <c r="N1476" s="278"/>
      <c r="O1476" s="278"/>
      <c r="P1476" s="278"/>
      <c r="Q1476" s="278"/>
      <c r="R1476" s="278"/>
      <c r="S1476" s="278"/>
      <c r="T1476" s="278"/>
      <c r="U1476" s="279"/>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7"/>
    </row>
    <row r="1477" spans="1:53" ht="16.5" thickBot="1" x14ac:dyDescent="0.3">
      <c r="A1477" s="88"/>
      <c r="B1477" s="319" t="s">
        <v>375</v>
      </c>
      <c r="C1477" s="320"/>
      <c r="D1477" s="79"/>
      <c r="E1477" s="80"/>
      <c r="F1477" s="80"/>
      <c r="G1477" s="81"/>
      <c r="H1477" s="191"/>
      <c r="I1477" s="191"/>
      <c r="J1477" s="191"/>
      <c r="K1477" s="82"/>
      <c r="L1477" s="319" t="s">
        <v>306</v>
      </c>
      <c r="M1477" s="330"/>
      <c r="N1477" s="330"/>
      <c r="O1477" s="330"/>
      <c r="P1477" s="330"/>
      <c r="Q1477" s="330"/>
      <c r="R1477" s="330"/>
      <c r="S1477" s="330"/>
      <c r="T1477" s="330"/>
      <c r="U1477" s="320"/>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7"/>
    </row>
    <row r="1478" spans="1:53" ht="16.5" thickBot="1" x14ac:dyDescent="0.3">
      <c r="A1478" s="88"/>
      <c r="B1478" s="319" t="s">
        <v>307</v>
      </c>
      <c r="C1478" s="320"/>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5"/>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5" t="s">
        <v>210</v>
      </c>
      <c r="N1481" s="195" t="s">
        <v>211</v>
      </c>
      <c r="O1481" s="195" t="s">
        <v>212</v>
      </c>
      <c r="P1481" s="195" t="s">
        <v>213</v>
      </c>
      <c r="Q1481" s="195" t="s">
        <v>214</v>
      </c>
      <c r="R1481" s="195" t="s">
        <v>215</v>
      </c>
      <c r="S1481" s="195" t="s">
        <v>216</v>
      </c>
      <c r="T1481" s="195" t="s">
        <v>217</v>
      </c>
      <c r="U1481" s="195" t="s">
        <v>218</v>
      </c>
      <c r="V1481" s="195" t="s">
        <v>219</v>
      </c>
      <c r="W1481" s="113" t="s">
        <v>220</v>
      </c>
      <c r="X1481" s="195" t="s">
        <v>221</v>
      </c>
      <c r="Y1481" s="25"/>
      <c r="Z1481" s="25"/>
      <c r="AA1481" s="25"/>
      <c r="AB1481" s="25"/>
      <c r="AC1481" s="25"/>
      <c r="AD1481" s="25"/>
      <c r="BA1481" s="225"/>
    </row>
    <row r="1482" spans="1:53" ht="16.5" thickTop="1" thickBot="1" x14ac:dyDescent="0.3">
      <c r="A1482" s="88"/>
      <c r="B1482" s="312" t="s">
        <v>222</v>
      </c>
      <c r="C1482" s="313"/>
      <c r="D1482" s="314" t="s">
        <v>223</v>
      </c>
      <c r="E1482" s="305"/>
      <c r="F1482" s="88"/>
      <c r="G1482" s="315" t="s">
        <v>224</v>
      </c>
      <c r="H1482" s="316"/>
      <c r="I1482" s="28">
        <f>SUM(E1493:E1517)</f>
        <v>0</v>
      </c>
      <c r="J1482" s="317" t="s">
        <v>225</v>
      </c>
      <c r="K1482" s="318"/>
      <c r="L1482" s="305"/>
      <c r="M1482" s="195">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5" t="s">
        <v>226</v>
      </c>
      <c r="AA1482" s="296"/>
      <c r="AB1482" s="297"/>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5"/>
    </row>
    <row r="1483" spans="1:53" ht="16.5" customHeight="1" thickTop="1" thickBot="1" x14ac:dyDescent="0.3">
      <c r="A1483" s="88"/>
      <c r="B1483" s="29" t="s">
        <v>228</v>
      </c>
      <c r="C1483" s="30">
        <v>0</v>
      </c>
      <c r="D1483" s="31" t="s">
        <v>229</v>
      </c>
      <c r="E1483" s="66" t="str">
        <f>TEXT(IF('Cable Calculator'!GB7="","",'Cable Calculator'!GB7),)</f>
        <v/>
      </c>
      <c r="F1483" s="88"/>
      <c r="G1483" s="304" t="s">
        <v>230</v>
      </c>
      <c r="H1483" s="305"/>
      <c r="I1483" s="33">
        <f>E1484-I1482</f>
        <v>0</v>
      </c>
      <c r="J1483" s="289" t="s">
        <v>231</v>
      </c>
      <c r="K1483" s="290"/>
      <c r="L1483" s="34">
        <f>I1487</f>
        <v>0</v>
      </c>
      <c r="M1483" s="195">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8" t="s">
        <v>232</v>
      </c>
      <c r="AA1483" s="300" t="s">
        <v>233</v>
      </c>
      <c r="AB1483" s="301"/>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6"/>
    </row>
    <row r="1484" spans="1:53" ht="16.5" thickTop="1" thickBot="1" x14ac:dyDescent="0.3">
      <c r="A1484" s="88"/>
      <c r="B1484" s="36" t="s">
        <v>235</v>
      </c>
      <c r="C1484" s="37">
        <v>0</v>
      </c>
      <c r="D1484" s="38" t="s">
        <v>236</v>
      </c>
      <c r="E1484" s="32"/>
      <c r="F1484" s="88"/>
      <c r="G1484" s="291" t="s">
        <v>237</v>
      </c>
      <c r="H1484" s="292"/>
      <c r="I1484" s="35">
        <f>IF(E1484=0,0,12-(MOD(I1482,12)))</f>
        <v>0</v>
      </c>
      <c r="J1484" s="289" t="s">
        <v>238</v>
      </c>
      <c r="K1484" s="290"/>
      <c r="L1484" s="39">
        <f>I1488-I1482</f>
        <v>0</v>
      </c>
      <c r="M1484" s="195">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9"/>
      <c r="AA1484" s="302"/>
      <c r="AB1484" s="303"/>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6"/>
    </row>
    <row r="1485" spans="1:53" ht="16.5" customHeight="1" thickTop="1" thickBot="1" x14ac:dyDescent="0.3">
      <c r="A1485" s="88"/>
      <c r="B1485" s="40" t="s">
        <v>240</v>
      </c>
      <c r="C1485" s="30">
        <v>0</v>
      </c>
      <c r="D1485" s="41" t="s">
        <v>241</v>
      </c>
      <c r="E1485" s="42"/>
      <c r="F1485" s="88"/>
      <c r="G1485" s="321" t="s">
        <v>242</v>
      </c>
      <c r="H1485" s="43" t="s">
        <v>243</v>
      </c>
      <c r="I1485" s="35">
        <f>IF(E1485&lt;&gt;0,1,0)</f>
        <v>0</v>
      </c>
      <c r="J1485" s="291" t="s">
        <v>244</v>
      </c>
      <c r="K1485" s="292"/>
      <c r="L1485" s="44" t="str">
        <f>'Cable Calculator'!GB3</f>
        <v/>
      </c>
      <c r="M1485" s="195">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6"/>
    </row>
    <row r="1486" spans="1:53" ht="16.5" thickTop="1" thickBot="1" x14ac:dyDescent="0.3">
      <c r="A1486" s="88"/>
      <c r="B1486" s="29" t="s">
        <v>246</v>
      </c>
      <c r="C1486" s="37">
        <v>0</v>
      </c>
      <c r="D1486" s="41" t="s">
        <v>247</v>
      </c>
      <c r="E1486" s="42"/>
      <c r="F1486" s="88"/>
      <c r="G1486" s="322"/>
      <c r="H1486" s="47" t="s">
        <v>248</v>
      </c>
      <c r="I1486" s="35">
        <f>IF(E1485&lt;&gt;0,E1485,0)</f>
        <v>0</v>
      </c>
      <c r="J1486" s="193"/>
      <c r="K1486" s="194"/>
      <c r="L1486" s="48"/>
      <c r="M1486" s="195">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6"/>
    </row>
    <row r="1487" spans="1:53" ht="16.5" customHeight="1" thickTop="1" thickBot="1" x14ac:dyDescent="0.3">
      <c r="A1487" s="88"/>
      <c r="B1487" s="36" t="s">
        <v>249</v>
      </c>
      <c r="C1487" s="30">
        <v>0</v>
      </c>
      <c r="D1487" s="49" t="s">
        <v>250</v>
      </c>
      <c r="E1487" s="50">
        <f>E1484/12</f>
        <v>0</v>
      </c>
      <c r="F1487" s="88"/>
      <c r="G1487" s="321" t="s">
        <v>251</v>
      </c>
      <c r="H1487" s="51" t="s">
        <v>252</v>
      </c>
      <c r="I1487" s="112">
        <f>E1486</f>
        <v>0</v>
      </c>
      <c r="J1487" s="323" t="s">
        <v>253</v>
      </c>
      <c r="K1487" s="324"/>
      <c r="L1487" s="325"/>
      <c r="M1487" s="52" t="s">
        <v>254</v>
      </c>
      <c r="N1487" s="106"/>
      <c r="O1487" s="106"/>
      <c r="P1487" s="191"/>
      <c r="Q1487" s="191"/>
      <c r="R1487" s="191"/>
      <c r="S1487" s="191"/>
      <c r="T1487" s="191"/>
      <c r="U1487" s="191"/>
      <c r="V1487" s="191"/>
      <c r="W1487" s="53">
        <f>SUM(P1487:U1487)</f>
        <v>0</v>
      </c>
      <c r="X1487" s="54"/>
      <c r="Y1487" s="25"/>
      <c r="Z1487" s="45">
        <v>3</v>
      </c>
      <c r="AA1487" s="46">
        <v>25</v>
      </c>
      <c r="AB1487" s="46">
        <v>36</v>
      </c>
      <c r="AC1487" s="25"/>
      <c r="AD1487" s="25"/>
      <c r="BA1487" s="226"/>
    </row>
    <row r="1488" spans="1:53" ht="16.5" thickTop="1" thickBot="1" x14ac:dyDescent="0.3">
      <c r="A1488" s="88"/>
      <c r="B1488" s="36" t="s">
        <v>255</v>
      </c>
      <c r="C1488" s="30">
        <v>0</v>
      </c>
      <c r="D1488" s="31" t="s">
        <v>256</v>
      </c>
      <c r="E1488" s="101" t="str">
        <f>IF('Cable Calculator'!GB5="","",'Cable Calculator'!GB5)</f>
        <v/>
      </c>
      <c r="F1488" s="88"/>
      <c r="G1488" s="322"/>
      <c r="H1488" s="47" t="s">
        <v>257</v>
      </c>
      <c r="I1488" s="35" t="str">
        <f>IF(E1486="","0",IF(AND(E1483="EUC",E1484=432), I1487+(203-E1485),IF(E1486=0,0,(E1486+(E1484-E1485)-1))))</f>
        <v>0</v>
      </c>
      <c r="J1488" s="286" t="str">
        <f>IFERROR(IF(OR(E1483="EUC",E1483="SS"),"---",IF(OR(P1482,S1482),"NO 2F Tethers for RPX!",IF(OR(P1484,S1484),"NO 6F Tethers for RPX!","---"))),"---")</f>
        <v>---</v>
      </c>
      <c r="K1488" s="287"/>
      <c r="L1488" s="288"/>
      <c r="M1488" s="286" t="str">
        <f>IF(E1485&gt;60,"Dead Count &gt;60: Consider Downsize","---")</f>
        <v>---</v>
      </c>
      <c r="N1488" s="287"/>
      <c r="O1488" s="287"/>
      <c r="P1488" s="287"/>
      <c r="Q1488" s="287"/>
      <c r="R1488" s="287"/>
      <c r="S1488" s="287"/>
      <c r="T1488" s="287"/>
      <c r="U1488" s="288"/>
      <c r="V1488" s="100"/>
      <c r="W1488" s="54">
        <f>SUM(P1488:U1488)</f>
        <v>0</v>
      </c>
      <c r="X1488" s="54"/>
      <c r="Y1488" s="25"/>
      <c r="Z1488" s="45">
        <v>4</v>
      </c>
      <c r="AA1488" s="46">
        <v>37</v>
      </c>
      <c r="AB1488" s="46">
        <v>48</v>
      </c>
      <c r="AC1488" s="25"/>
      <c r="AD1488" s="25"/>
      <c r="BA1488" s="226"/>
    </row>
    <row r="1489" spans="1:53" ht="16.5" thickTop="1" thickBot="1" x14ac:dyDescent="0.3">
      <c r="A1489" s="88"/>
      <c r="B1489" s="55" t="s">
        <v>258</v>
      </c>
      <c r="C1489" s="56">
        <f>SUM(C1483:C1488)+I1482</f>
        <v>0</v>
      </c>
      <c r="D1489" s="31" t="s">
        <v>259</v>
      </c>
      <c r="E1489" s="101" t="str">
        <f>IF(AS1483="Y","DBL",IF(AS1484="Y","TRPL",IF(AS1485="Y","QUAD","")))</f>
        <v/>
      </c>
      <c r="F1489" s="88"/>
      <c r="G1489" s="191"/>
      <c r="H1489" s="57"/>
      <c r="I1489" s="191"/>
      <c r="J1489" s="286"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7"/>
      <c r="L1489" s="288"/>
      <c r="M1489" s="286" t="str">
        <f>IF(AND(OR(E1483="SS",E1483="RPX",E1483="EUC",E1483="RPX-T"),(OR(C1493="",C1493="Field SPL"))),"Cannot have FlexNap cables without tethers","---")</f>
        <v>---</v>
      </c>
      <c r="N1489" s="287"/>
      <c r="O1489" s="287"/>
      <c r="P1489" s="287"/>
      <c r="Q1489" s="287"/>
      <c r="R1489" s="287"/>
      <c r="S1489" s="287"/>
      <c r="T1489" s="287"/>
      <c r="U1489" s="288"/>
      <c r="V1489" s="25"/>
      <c r="W1489" s="58"/>
      <c r="X1489" s="58"/>
      <c r="Y1489" s="25"/>
      <c r="Z1489" s="45">
        <v>5</v>
      </c>
      <c r="AA1489" s="46">
        <v>49</v>
      </c>
      <c r="AB1489" s="46">
        <v>60</v>
      </c>
      <c r="AC1489" s="25"/>
      <c r="AD1489" s="25"/>
      <c r="BA1489" s="226"/>
    </row>
    <row r="1490" spans="1:53" ht="16.5" thickTop="1" thickBot="1" x14ac:dyDescent="0.3">
      <c r="A1490" s="88"/>
      <c r="B1490" s="59"/>
      <c r="C1490" s="60"/>
      <c r="D1490" s="61"/>
      <c r="E1490" s="62"/>
      <c r="F1490" s="88"/>
      <c r="G1490" s="63"/>
      <c r="H1490" s="64"/>
      <c r="I1490" s="63"/>
      <c r="J1490" s="286" t="str">
        <f>IF(AND(OR(E1483="RPX", E1483="RPX-T", E1483="SS"),E1484=216),"NO 216 For RPX, RPX-T, OR SS CABLE","---")</f>
        <v>---</v>
      </c>
      <c r="K1490" s="287"/>
      <c r="L1490" s="288"/>
      <c r="M1490" s="286" t="str" cm="1">
        <f t="array" ref="M1490">IF(AND(E1483="",OR(C1493:C1517="FST",C1493:C1517="REV T",C1493:C1517="DBL REV",C1493:C1517="TPL REV", C1493:C1517="QD REV")),"Non-FlexNap cables cannot have tethers","---")</f>
        <v>---</v>
      </c>
      <c r="N1490" s="287"/>
      <c r="O1490" s="287"/>
      <c r="P1490" s="287"/>
      <c r="Q1490" s="287"/>
      <c r="R1490" s="287"/>
      <c r="S1490" s="287"/>
      <c r="T1490" s="287"/>
      <c r="U1490" s="288"/>
      <c r="V1490" s="25"/>
      <c r="W1490" s="58"/>
      <c r="X1490" s="58"/>
      <c r="Y1490" s="25"/>
      <c r="Z1490" s="45">
        <v>6</v>
      </c>
      <c r="AA1490" s="65">
        <v>61</v>
      </c>
      <c r="AB1490" s="65">
        <v>72</v>
      </c>
      <c r="AC1490" s="25"/>
      <c r="AD1490" s="25"/>
      <c r="BA1490" s="225"/>
    </row>
    <row r="1491" spans="1:53" ht="15.75" customHeight="1" thickBot="1" x14ac:dyDescent="0.3">
      <c r="A1491" s="88"/>
      <c r="B1491" s="321" t="s">
        <v>260</v>
      </c>
      <c r="C1491" s="293" t="s">
        <v>261</v>
      </c>
      <c r="D1491" s="293" t="s">
        <v>262</v>
      </c>
      <c r="E1491" s="306" t="s">
        <v>263</v>
      </c>
      <c r="F1491" s="293" t="s">
        <v>264</v>
      </c>
      <c r="G1491" s="308" t="s">
        <v>265</v>
      </c>
      <c r="H1491" s="308" t="s">
        <v>266</v>
      </c>
      <c r="I1491" s="308" t="s">
        <v>267</v>
      </c>
      <c r="J1491" s="310" t="s">
        <v>268</v>
      </c>
      <c r="K1491" s="293" t="s">
        <v>269</v>
      </c>
      <c r="L1491" s="280" t="s">
        <v>270</v>
      </c>
      <c r="M1491" s="282" t="s">
        <v>271</v>
      </c>
      <c r="N1491" s="282"/>
      <c r="O1491" s="282"/>
      <c r="P1491" s="282"/>
      <c r="Q1491" s="282"/>
      <c r="R1491" s="282"/>
      <c r="S1491" s="282"/>
      <c r="T1491" s="282"/>
      <c r="U1491" s="283"/>
      <c r="V1491" s="107"/>
      <c r="W1491" s="72"/>
      <c r="X1491" s="72"/>
      <c r="Y1491" s="72"/>
      <c r="Z1491" s="45">
        <v>7</v>
      </c>
      <c r="AA1491" s="65">
        <v>73</v>
      </c>
      <c r="AB1491" s="65">
        <v>84</v>
      </c>
      <c r="AC1491" s="25"/>
      <c r="AD1491" s="25"/>
      <c r="BA1491" s="227"/>
    </row>
    <row r="1492" spans="1:53" ht="15.75" thickBot="1" x14ac:dyDescent="0.3">
      <c r="A1492" s="88"/>
      <c r="B1492" s="322"/>
      <c r="C1492" s="294"/>
      <c r="D1492" s="294"/>
      <c r="E1492" s="307"/>
      <c r="F1492" s="294"/>
      <c r="G1492" s="309"/>
      <c r="H1492" s="309"/>
      <c r="I1492" s="309"/>
      <c r="J1492" s="311"/>
      <c r="K1492" s="294"/>
      <c r="L1492" s="281"/>
      <c r="M1492" s="284"/>
      <c r="N1492" s="284"/>
      <c r="O1492" s="284"/>
      <c r="P1492" s="284"/>
      <c r="Q1492" s="284"/>
      <c r="R1492" s="284"/>
      <c r="S1492" s="284"/>
      <c r="T1492" s="284"/>
      <c r="U1492" s="285"/>
      <c r="V1492" s="107"/>
      <c r="W1492" s="72"/>
      <c r="X1492" s="72"/>
      <c r="Y1492" s="72"/>
      <c r="Z1492" s="45">
        <v>8</v>
      </c>
      <c r="AA1492" s="46">
        <v>85</v>
      </c>
      <c r="AB1492" s="46">
        <v>96</v>
      </c>
      <c r="AC1492" s="25"/>
      <c r="AD1492" s="25"/>
      <c r="AI1492" s="109" t="s">
        <v>272</v>
      </c>
      <c r="AJ1492" s="109" t="s">
        <v>273</v>
      </c>
      <c r="AK1492" s="109" t="s">
        <v>274</v>
      </c>
      <c r="AL1492" s="109" t="s">
        <v>275</v>
      </c>
      <c r="BA1492" s="227"/>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2"/>
      <c r="M1493" s="278"/>
      <c r="N1493" s="278"/>
      <c r="O1493" s="278"/>
      <c r="P1493" s="278"/>
      <c r="Q1493" s="278"/>
      <c r="R1493" s="278"/>
      <c r="S1493" s="278"/>
      <c r="T1493" s="278"/>
      <c r="U1493" s="279"/>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8">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2"/>
      <c r="M1494" s="278"/>
      <c r="N1494" s="278"/>
      <c r="O1494" s="278"/>
      <c r="P1494" s="278"/>
      <c r="Q1494" s="278"/>
      <c r="R1494" s="278"/>
      <c r="S1494" s="278"/>
      <c r="T1494" s="278"/>
      <c r="U1494" s="279"/>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8">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2"/>
      <c r="M1495" s="278"/>
      <c r="N1495" s="278"/>
      <c r="O1495" s="278"/>
      <c r="P1495" s="278"/>
      <c r="Q1495" s="278"/>
      <c r="R1495" s="278"/>
      <c r="S1495" s="278"/>
      <c r="T1495" s="278"/>
      <c r="U1495" s="279"/>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8">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2"/>
      <c r="M1496" s="278"/>
      <c r="N1496" s="278"/>
      <c r="O1496" s="278"/>
      <c r="P1496" s="278"/>
      <c r="Q1496" s="278"/>
      <c r="R1496" s="278"/>
      <c r="S1496" s="278"/>
      <c r="T1496" s="278"/>
      <c r="U1496" s="279"/>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8">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2"/>
      <c r="M1497" s="278"/>
      <c r="N1497" s="278"/>
      <c r="O1497" s="278"/>
      <c r="P1497" s="278"/>
      <c r="Q1497" s="278"/>
      <c r="R1497" s="278"/>
      <c r="S1497" s="278"/>
      <c r="T1497" s="278"/>
      <c r="U1497" s="279"/>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8">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2"/>
      <c r="M1498" s="278"/>
      <c r="N1498" s="278"/>
      <c r="O1498" s="278"/>
      <c r="P1498" s="278"/>
      <c r="Q1498" s="278"/>
      <c r="R1498" s="278"/>
      <c r="S1498" s="278"/>
      <c r="T1498" s="278"/>
      <c r="U1498" s="279"/>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8">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2"/>
      <c r="M1499" s="278"/>
      <c r="N1499" s="278"/>
      <c r="O1499" s="278"/>
      <c r="P1499" s="278"/>
      <c r="Q1499" s="278"/>
      <c r="R1499" s="278"/>
      <c r="S1499" s="278"/>
      <c r="T1499" s="278"/>
      <c r="U1499" s="279"/>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8">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2"/>
      <c r="M1500" s="278"/>
      <c r="N1500" s="278"/>
      <c r="O1500" s="278"/>
      <c r="P1500" s="278"/>
      <c r="Q1500" s="278"/>
      <c r="R1500" s="278"/>
      <c r="S1500" s="278"/>
      <c r="T1500" s="278"/>
      <c r="U1500" s="279"/>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8">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2"/>
      <c r="M1501" s="278"/>
      <c r="N1501" s="278"/>
      <c r="O1501" s="278"/>
      <c r="P1501" s="278"/>
      <c r="Q1501" s="278"/>
      <c r="R1501" s="278"/>
      <c r="S1501" s="278"/>
      <c r="T1501" s="278"/>
      <c r="U1501" s="279"/>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8">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2"/>
      <c r="M1502" s="278"/>
      <c r="N1502" s="278"/>
      <c r="O1502" s="278"/>
      <c r="P1502" s="278"/>
      <c r="Q1502" s="278"/>
      <c r="R1502" s="278"/>
      <c r="S1502" s="278"/>
      <c r="T1502" s="278"/>
      <c r="U1502" s="279"/>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8">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2"/>
      <c r="M1503" s="278"/>
      <c r="N1503" s="278"/>
      <c r="O1503" s="278"/>
      <c r="P1503" s="278"/>
      <c r="Q1503" s="278"/>
      <c r="R1503" s="278"/>
      <c r="S1503" s="278"/>
      <c r="T1503" s="278"/>
      <c r="U1503" s="279"/>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8">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2"/>
      <c r="M1504" s="278"/>
      <c r="N1504" s="278"/>
      <c r="O1504" s="278"/>
      <c r="P1504" s="278"/>
      <c r="Q1504" s="278"/>
      <c r="R1504" s="278"/>
      <c r="S1504" s="278"/>
      <c r="T1504" s="278"/>
      <c r="U1504" s="279"/>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8">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2"/>
      <c r="M1505" s="278"/>
      <c r="N1505" s="278"/>
      <c r="O1505" s="278"/>
      <c r="P1505" s="278"/>
      <c r="Q1505" s="278"/>
      <c r="R1505" s="278"/>
      <c r="S1505" s="278"/>
      <c r="T1505" s="278"/>
      <c r="U1505" s="279"/>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8">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2"/>
      <c r="M1506" s="278"/>
      <c r="N1506" s="278"/>
      <c r="O1506" s="278"/>
      <c r="P1506" s="278"/>
      <c r="Q1506" s="278"/>
      <c r="R1506" s="278"/>
      <c r="S1506" s="278"/>
      <c r="T1506" s="278"/>
      <c r="U1506" s="279"/>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8">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2"/>
      <c r="M1507" s="278"/>
      <c r="N1507" s="278"/>
      <c r="O1507" s="278"/>
      <c r="P1507" s="278"/>
      <c r="Q1507" s="278"/>
      <c r="R1507" s="278"/>
      <c r="S1507" s="278"/>
      <c r="T1507" s="278"/>
      <c r="U1507" s="279"/>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8">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2"/>
      <c r="M1508" s="278"/>
      <c r="N1508" s="278"/>
      <c r="O1508" s="278"/>
      <c r="P1508" s="278"/>
      <c r="Q1508" s="278"/>
      <c r="R1508" s="278"/>
      <c r="S1508" s="278"/>
      <c r="T1508" s="278"/>
      <c r="U1508" s="279"/>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8">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2"/>
      <c r="M1509" s="278"/>
      <c r="N1509" s="278"/>
      <c r="O1509" s="278"/>
      <c r="P1509" s="278"/>
      <c r="Q1509" s="278"/>
      <c r="R1509" s="278"/>
      <c r="S1509" s="278"/>
      <c r="T1509" s="278"/>
      <c r="U1509" s="279"/>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8">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2"/>
      <c r="M1510" s="278"/>
      <c r="N1510" s="278"/>
      <c r="O1510" s="278"/>
      <c r="P1510" s="278"/>
      <c r="Q1510" s="278"/>
      <c r="R1510" s="278"/>
      <c r="S1510" s="278"/>
      <c r="T1510" s="278"/>
      <c r="U1510" s="279"/>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8">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2"/>
      <c r="M1511" s="278"/>
      <c r="N1511" s="278"/>
      <c r="O1511" s="278"/>
      <c r="P1511" s="278"/>
      <c r="Q1511" s="278"/>
      <c r="R1511" s="278"/>
      <c r="S1511" s="278"/>
      <c r="T1511" s="278"/>
      <c r="U1511" s="279"/>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8">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2"/>
      <c r="M1512" s="278"/>
      <c r="N1512" s="278"/>
      <c r="O1512" s="278"/>
      <c r="P1512" s="278"/>
      <c r="Q1512" s="278"/>
      <c r="R1512" s="278"/>
      <c r="S1512" s="278"/>
      <c r="T1512" s="278"/>
      <c r="U1512" s="279"/>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8">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2"/>
      <c r="M1513" s="278"/>
      <c r="N1513" s="278"/>
      <c r="O1513" s="278"/>
      <c r="P1513" s="278"/>
      <c r="Q1513" s="278"/>
      <c r="R1513" s="278"/>
      <c r="S1513" s="278"/>
      <c r="T1513" s="278"/>
      <c r="U1513" s="279"/>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8">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2"/>
      <c r="M1514" s="278"/>
      <c r="N1514" s="278"/>
      <c r="O1514" s="278"/>
      <c r="P1514" s="278"/>
      <c r="Q1514" s="278"/>
      <c r="R1514" s="278"/>
      <c r="S1514" s="278"/>
      <c r="T1514" s="278"/>
      <c r="U1514" s="279"/>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8">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2"/>
      <c r="M1515" s="278"/>
      <c r="N1515" s="278"/>
      <c r="O1515" s="278"/>
      <c r="P1515" s="278"/>
      <c r="Q1515" s="278"/>
      <c r="R1515" s="278"/>
      <c r="S1515" s="278"/>
      <c r="T1515" s="278"/>
      <c r="U1515" s="279"/>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8">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2"/>
      <c r="M1516" s="278"/>
      <c r="N1516" s="278"/>
      <c r="O1516" s="278"/>
      <c r="P1516" s="278"/>
      <c r="Q1516" s="278"/>
      <c r="R1516" s="278"/>
      <c r="S1516" s="278"/>
      <c r="T1516" s="278"/>
      <c r="U1516" s="279"/>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8">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3"/>
      <c r="M1517" s="278"/>
      <c r="N1517" s="278"/>
      <c r="O1517" s="278"/>
      <c r="P1517" s="278"/>
      <c r="Q1517" s="278"/>
      <c r="R1517" s="278"/>
      <c r="S1517" s="278"/>
      <c r="T1517" s="278"/>
      <c r="U1517" s="279"/>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7"/>
    </row>
    <row r="1518" spans="1:53" ht="16.5" thickBot="1" x14ac:dyDescent="0.3">
      <c r="A1518" s="88"/>
      <c r="B1518" s="319" t="s">
        <v>377</v>
      </c>
      <c r="C1518" s="320"/>
      <c r="D1518" s="79"/>
      <c r="E1518" s="80"/>
      <c r="F1518" s="80"/>
      <c r="G1518" s="81"/>
      <c r="H1518" s="191"/>
      <c r="I1518" s="191"/>
      <c r="J1518" s="191"/>
      <c r="K1518" s="82"/>
      <c r="L1518" s="319" t="s">
        <v>306</v>
      </c>
      <c r="M1518" s="330"/>
      <c r="N1518" s="330"/>
      <c r="O1518" s="330"/>
      <c r="P1518" s="330"/>
      <c r="Q1518" s="330"/>
      <c r="R1518" s="330"/>
      <c r="S1518" s="330"/>
      <c r="T1518" s="330"/>
      <c r="U1518" s="320"/>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7"/>
    </row>
    <row r="1519" spans="1:53" ht="16.5" thickBot="1" x14ac:dyDescent="0.3">
      <c r="A1519" s="88"/>
      <c r="B1519" s="319" t="s">
        <v>307</v>
      </c>
      <c r="C1519" s="320"/>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5"/>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5" t="s">
        <v>210</v>
      </c>
      <c r="N1522" s="195" t="s">
        <v>211</v>
      </c>
      <c r="O1522" s="195" t="s">
        <v>212</v>
      </c>
      <c r="P1522" s="195" t="s">
        <v>213</v>
      </c>
      <c r="Q1522" s="195" t="s">
        <v>214</v>
      </c>
      <c r="R1522" s="195" t="s">
        <v>215</v>
      </c>
      <c r="S1522" s="195" t="s">
        <v>216</v>
      </c>
      <c r="T1522" s="195" t="s">
        <v>217</v>
      </c>
      <c r="U1522" s="195" t="s">
        <v>218</v>
      </c>
      <c r="V1522" s="195" t="s">
        <v>219</v>
      </c>
      <c r="W1522" s="113" t="s">
        <v>220</v>
      </c>
      <c r="X1522" s="195" t="s">
        <v>221</v>
      </c>
      <c r="Y1522" s="25"/>
      <c r="Z1522" s="25"/>
      <c r="AA1522" s="25"/>
      <c r="AB1522" s="25"/>
      <c r="AC1522" s="25"/>
      <c r="AD1522" s="25"/>
      <c r="BA1522" s="225"/>
    </row>
    <row r="1523" spans="1:53" ht="16.5" thickTop="1" thickBot="1" x14ac:dyDescent="0.3">
      <c r="A1523" s="88"/>
      <c r="B1523" s="312" t="s">
        <v>222</v>
      </c>
      <c r="C1523" s="313"/>
      <c r="D1523" s="314" t="s">
        <v>223</v>
      </c>
      <c r="E1523" s="305"/>
      <c r="F1523" s="88"/>
      <c r="G1523" s="315" t="s">
        <v>224</v>
      </c>
      <c r="H1523" s="316"/>
      <c r="I1523" s="28">
        <f>SUM(E1534:E1558)</f>
        <v>0</v>
      </c>
      <c r="J1523" s="317" t="s">
        <v>225</v>
      </c>
      <c r="K1523" s="318"/>
      <c r="L1523" s="305"/>
      <c r="M1523" s="195">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5" t="s">
        <v>226</v>
      </c>
      <c r="AA1523" s="296"/>
      <c r="AB1523" s="297"/>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5"/>
    </row>
    <row r="1524" spans="1:53" ht="16.5" customHeight="1" thickTop="1" thickBot="1" x14ac:dyDescent="0.3">
      <c r="A1524" s="88"/>
      <c r="B1524" s="29" t="s">
        <v>228</v>
      </c>
      <c r="C1524" s="30">
        <v>0</v>
      </c>
      <c r="D1524" s="31" t="s">
        <v>229</v>
      </c>
      <c r="E1524" s="66" t="str">
        <f>TEXT(IF('Cable Calculator'!GG7="","",'Cable Calculator'!GG7),)</f>
        <v/>
      </c>
      <c r="F1524" s="88"/>
      <c r="G1524" s="304" t="s">
        <v>230</v>
      </c>
      <c r="H1524" s="305"/>
      <c r="I1524" s="33">
        <f>E1525-I1523</f>
        <v>0</v>
      </c>
      <c r="J1524" s="289" t="s">
        <v>231</v>
      </c>
      <c r="K1524" s="290"/>
      <c r="L1524" s="34">
        <f>I1528</f>
        <v>0</v>
      </c>
      <c r="M1524" s="195">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8" t="s">
        <v>232</v>
      </c>
      <c r="AA1524" s="300" t="s">
        <v>233</v>
      </c>
      <c r="AB1524" s="301"/>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6"/>
    </row>
    <row r="1525" spans="1:53" ht="16.5" thickTop="1" thickBot="1" x14ac:dyDescent="0.3">
      <c r="A1525" s="88"/>
      <c r="B1525" s="36" t="s">
        <v>235</v>
      </c>
      <c r="C1525" s="37">
        <v>0</v>
      </c>
      <c r="D1525" s="38" t="s">
        <v>236</v>
      </c>
      <c r="E1525" s="32"/>
      <c r="F1525" s="88"/>
      <c r="G1525" s="291" t="s">
        <v>237</v>
      </c>
      <c r="H1525" s="292"/>
      <c r="I1525" s="35">
        <f>IF(E1525=0,0,12-(MOD(I1523,12)))</f>
        <v>0</v>
      </c>
      <c r="J1525" s="289" t="s">
        <v>238</v>
      </c>
      <c r="K1525" s="290"/>
      <c r="L1525" s="39">
        <f>I1529-I1523</f>
        <v>0</v>
      </c>
      <c r="M1525" s="195">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9"/>
      <c r="AA1525" s="302"/>
      <c r="AB1525" s="303"/>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6"/>
    </row>
    <row r="1526" spans="1:53" ht="16.5" customHeight="1" thickTop="1" thickBot="1" x14ac:dyDescent="0.3">
      <c r="A1526" s="88"/>
      <c r="B1526" s="40" t="s">
        <v>240</v>
      </c>
      <c r="C1526" s="30">
        <v>0</v>
      </c>
      <c r="D1526" s="41" t="s">
        <v>241</v>
      </c>
      <c r="E1526" s="42"/>
      <c r="F1526" s="88"/>
      <c r="G1526" s="321" t="s">
        <v>242</v>
      </c>
      <c r="H1526" s="43" t="s">
        <v>243</v>
      </c>
      <c r="I1526" s="35">
        <f>IF(E1526&lt;&gt;0,1,0)</f>
        <v>0</v>
      </c>
      <c r="J1526" s="291" t="s">
        <v>244</v>
      </c>
      <c r="K1526" s="292"/>
      <c r="L1526" s="44" t="str">
        <f>'Cable Calculator'!GG3</f>
        <v/>
      </c>
      <c r="M1526" s="195">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6"/>
    </row>
    <row r="1527" spans="1:53" ht="16.5" thickTop="1" thickBot="1" x14ac:dyDescent="0.3">
      <c r="A1527" s="88"/>
      <c r="B1527" s="29" t="s">
        <v>246</v>
      </c>
      <c r="C1527" s="37">
        <v>0</v>
      </c>
      <c r="D1527" s="41" t="s">
        <v>247</v>
      </c>
      <c r="E1527" s="42"/>
      <c r="F1527" s="88"/>
      <c r="G1527" s="322"/>
      <c r="H1527" s="47" t="s">
        <v>248</v>
      </c>
      <c r="I1527" s="35">
        <f>IF(E1526&lt;&gt;0,E1526,0)</f>
        <v>0</v>
      </c>
      <c r="J1527" s="193"/>
      <c r="K1527" s="194"/>
      <c r="L1527" s="48"/>
      <c r="M1527" s="195">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6"/>
    </row>
    <row r="1528" spans="1:53" ht="16.5" customHeight="1" thickTop="1" thickBot="1" x14ac:dyDescent="0.3">
      <c r="A1528" s="88"/>
      <c r="B1528" s="36" t="s">
        <v>249</v>
      </c>
      <c r="C1528" s="30">
        <v>0</v>
      </c>
      <c r="D1528" s="49" t="s">
        <v>250</v>
      </c>
      <c r="E1528" s="50">
        <f>E1525/12</f>
        <v>0</v>
      </c>
      <c r="F1528" s="88"/>
      <c r="G1528" s="321" t="s">
        <v>251</v>
      </c>
      <c r="H1528" s="51" t="s">
        <v>252</v>
      </c>
      <c r="I1528" s="112">
        <f>E1527</f>
        <v>0</v>
      </c>
      <c r="J1528" s="323" t="s">
        <v>253</v>
      </c>
      <c r="K1528" s="324"/>
      <c r="L1528" s="325"/>
      <c r="M1528" s="52" t="s">
        <v>254</v>
      </c>
      <c r="N1528" s="106"/>
      <c r="O1528" s="106"/>
      <c r="P1528" s="191"/>
      <c r="Q1528" s="191"/>
      <c r="R1528" s="191"/>
      <c r="S1528" s="191"/>
      <c r="T1528" s="191"/>
      <c r="U1528" s="191"/>
      <c r="V1528" s="191"/>
      <c r="W1528" s="53">
        <f>SUM(P1528:U1528)</f>
        <v>0</v>
      </c>
      <c r="X1528" s="54"/>
      <c r="Y1528" s="25"/>
      <c r="Z1528" s="45">
        <v>3</v>
      </c>
      <c r="AA1528" s="46">
        <v>25</v>
      </c>
      <c r="AB1528" s="46">
        <v>36</v>
      </c>
      <c r="AC1528" s="25"/>
      <c r="AD1528" s="25"/>
      <c r="BA1528" s="226"/>
    </row>
    <row r="1529" spans="1:53" ht="16.5" thickTop="1" thickBot="1" x14ac:dyDescent="0.3">
      <c r="A1529" s="88"/>
      <c r="B1529" s="36" t="s">
        <v>255</v>
      </c>
      <c r="C1529" s="30">
        <v>0</v>
      </c>
      <c r="D1529" s="31" t="s">
        <v>256</v>
      </c>
      <c r="E1529" s="101" t="str">
        <f>IF('Cable Calculator'!GG5="","",'Cable Calculator'!GG5)</f>
        <v/>
      </c>
      <c r="F1529" s="88"/>
      <c r="G1529" s="322"/>
      <c r="H1529" s="47" t="s">
        <v>257</v>
      </c>
      <c r="I1529" s="35" t="str">
        <f>IF(E1527="","0",IF(AND(E1524="EUC",E1525=432), I1528+(203-E1526),IF(E1527=0,0,(E1527+(E1525-E1526)-1))))</f>
        <v>0</v>
      </c>
      <c r="J1529" s="286" t="str">
        <f>IFERROR(IF(OR(E1524="EUC",E1524="SS"),"---",IF(OR(P1523,S1523),"NO 2F Tethers for RPX!",IF(OR(P1525,S1525),"NO 6F Tethers for RPX!","---"))),"---")</f>
        <v>---</v>
      </c>
      <c r="K1529" s="287"/>
      <c r="L1529" s="288"/>
      <c r="M1529" s="286" t="str">
        <f>IF(E1526&gt;60,"Dead Count &gt;60: Consider Downsize","---")</f>
        <v>---</v>
      </c>
      <c r="N1529" s="287"/>
      <c r="O1529" s="287"/>
      <c r="P1529" s="287"/>
      <c r="Q1529" s="287"/>
      <c r="R1529" s="287"/>
      <c r="S1529" s="287"/>
      <c r="T1529" s="287"/>
      <c r="U1529" s="288"/>
      <c r="V1529" s="100"/>
      <c r="W1529" s="54">
        <f>SUM(P1529:U1529)</f>
        <v>0</v>
      </c>
      <c r="X1529" s="54"/>
      <c r="Y1529" s="25"/>
      <c r="Z1529" s="45">
        <v>4</v>
      </c>
      <c r="AA1529" s="46">
        <v>37</v>
      </c>
      <c r="AB1529" s="46">
        <v>48</v>
      </c>
      <c r="AC1529" s="25"/>
      <c r="AD1529" s="25"/>
      <c r="BA1529" s="226"/>
    </row>
    <row r="1530" spans="1:53" ht="16.5" thickTop="1" thickBot="1" x14ac:dyDescent="0.3">
      <c r="A1530" s="88"/>
      <c r="B1530" s="55" t="s">
        <v>258</v>
      </c>
      <c r="C1530" s="56">
        <f>SUM(C1524:C1529)+I1523</f>
        <v>0</v>
      </c>
      <c r="D1530" s="31" t="s">
        <v>259</v>
      </c>
      <c r="E1530" s="101" t="str">
        <f>IF(AS1524="Y","DBL",IF(AS1525="Y","TRPL",IF(AS1526="Y","QUAD","")))</f>
        <v/>
      </c>
      <c r="F1530" s="88"/>
      <c r="G1530" s="191"/>
      <c r="H1530" s="57"/>
      <c r="I1530" s="191"/>
      <c r="J1530" s="286"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7"/>
      <c r="L1530" s="288"/>
      <c r="M1530" s="286" t="str">
        <f>IF(AND(OR(E1524="SS",E1524="RPX",E1524="EUC",E1524="RPX-T"),(OR(C1534="",C1534="Field SPL"))),"Cannot have FlexNap cables without tethers","---")</f>
        <v>---</v>
      </c>
      <c r="N1530" s="287"/>
      <c r="O1530" s="287"/>
      <c r="P1530" s="287"/>
      <c r="Q1530" s="287"/>
      <c r="R1530" s="287"/>
      <c r="S1530" s="287"/>
      <c r="T1530" s="287"/>
      <c r="U1530" s="288"/>
      <c r="V1530" s="25"/>
      <c r="W1530" s="58"/>
      <c r="X1530" s="58"/>
      <c r="Y1530" s="25"/>
      <c r="Z1530" s="45">
        <v>5</v>
      </c>
      <c r="AA1530" s="46">
        <v>49</v>
      </c>
      <c r="AB1530" s="46">
        <v>60</v>
      </c>
      <c r="AC1530" s="25"/>
      <c r="AD1530" s="25"/>
      <c r="BA1530" s="226"/>
    </row>
    <row r="1531" spans="1:53" ht="16.5" thickTop="1" thickBot="1" x14ac:dyDescent="0.3">
      <c r="A1531" s="88"/>
      <c r="B1531" s="59"/>
      <c r="C1531" s="60"/>
      <c r="D1531" s="61"/>
      <c r="E1531" s="62"/>
      <c r="F1531" s="88"/>
      <c r="G1531" s="63"/>
      <c r="H1531" s="64"/>
      <c r="I1531" s="63"/>
      <c r="J1531" s="286" t="str">
        <f>IF(AND(OR(E1524="RPX", E1524="RPX-T", E1524="SS"),E1525=216),"NO 216 For RPX, RPX-T, OR SS CABLE","---")</f>
        <v>---</v>
      </c>
      <c r="K1531" s="287"/>
      <c r="L1531" s="288"/>
      <c r="M1531" s="286" t="str" cm="1">
        <f t="array" ref="M1531">IF(AND(E1524="",OR(C1534:C1558="FST",C1534:C1558="REV T",C1534:C1558="DBL REV",C1534:C1558="TPL REV", C1534:C1558="QD REV")),"Non-FlexNap cables cannot have tethers","---")</f>
        <v>---</v>
      </c>
      <c r="N1531" s="287"/>
      <c r="O1531" s="287"/>
      <c r="P1531" s="287"/>
      <c r="Q1531" s="287"/>
      <c r="R1531" s="287"/>
      <c r="S1531" s="287"/>
      <c r="T1531" s="287"/>
      <c r="U1531" s="288"/>
      <c r="V1531" s="25"/>
      <c r="W1531" s="58"/>
      <c r="X1531" s="58"/>
      <c r="Y1531" s="25"/>
      <c r="Z1531" s="45">
        <v>6</v>
      </c>
      <c r="AA1531" s="65">
        <v>61</v>
      </c>
      <c r="AB1531" s="65">
        <v>72</v>
      </c>
      <c r="AC1531" s="25"/>
      <c r="AD1531" s="25"/>
      <c r="BA1531" s="225"/>
    </row>
    <row r="1532" spans="1:53" ht="15.75" customHeight="1" thickBot="1" x14ac:dyDescent="0.3">
      <c r="A1532" s="88"/>
      <c r="B1532" s="321" t="s">
        <v>260</v>
      </c>
      <c r="C1532" s="293" t="s">
        <v>261</v>
      </c>
      <c r="D1532" s="293" t="s">
        <v>262</v>
      </c>
      <c r="E1532" s="306" t="s">
        <v>263</v>
      </c>
      <c r="F1532" s="293" t="s">
        <v>264</v>
      </c>
      <c r="G1532" s="308" t="s">
        <v>265</v>
      </c>
      <c r="H1532" s="308" t="s">
        <v>266</v>
      </c>
      <c r="I1532" s="308" t="s">
        <v>267</v>
      </c>
      <c r="J1532" s="310" t="s">
        <v>268</v>
      </c>
      <c r="K1532" s="293" t="s">
        <v>269</v>
      </c>
      <c r="L1532" s="280" t="s">
        <v>270</v>
      </c>
      <c r="M1532" s="282" t="s">
        <v>271</v>
      </c>
      <c r="N1532" s="282"/>
      <c r="O1532" s="282"/>
      <c r="P1532" s="282"/>
      <c r="Q1532" s="282"/>
      <c r="R1532" s="282"/>
      <c r="S1532" s="282"/>
      <c r="T1532" s="282"/>
      <c r="U1532" s="283"/>
      <c r="V1532" s="107"/>
      <c r="W1532" s="72"/>
      <c r="X1532" s="72"/>
      <c r="Y1532" s="72"/>
      <c r="Z1532" s="45">
        <v>7</v>
      </c>
      <c r="AA1532" s="65">
        <v>73</v>
      </c>
      <c r="AB1532" s="65">
        <v>84</v>
      </c>
      <c r="AC1532" s="25"/>
      <c r="AD1532" s="25"/>
      <c r="BA1532" s="227"/>
    </row>
    <row r="1533" spans="1:53" ht="15.75" thickBot="1" x14ac:dyDescent="0.3">
      <c r="A1533" s="88"/>
      <c r="B1533" s="322"/>
      <c r="C1533" s="294"/>
      <c r="D1533" s="294"/>
      <c r="E1533" s="307"/>
      <c r="F1533" s="294"/>
      <c r="G1533" s="309"/>
      <c r="H1533" s="309"/>
      <c r="I1533" s="309"/>
      <c r="J1533" s="311"/>
      <c r="K1533" s="294"/>
      <c r="L1533" s="281"/>
      <c r="M1533" s="284"/>
      <c r="N1533" s="284"/>
      <c r="O1533" s="284"/>
      <c r="P1533" s="284"/>
      <c r="Q1533" s="284"/>
      <c r="R1533" s="284"/>
      <c r="S1533" s="284"/>
      <c r="T1533" s="284"/>
      <c r="U1533" s="285"/>
      <c r="V1533" s="107"/>
      <c r="W1533" s="72"/>
      <c r="X1533" s="72"/>
      <c r="Y1533" s="72"/>
      <c r="Z1533" s="45">
        <v>8</v>
      </c>
      <c r="AA1533" s="46">
        <v>85</v>
      </c>
      <c r="AB1533" s="46">
        <v>96</v>
      </c>
      <c r="AC1533" s="25"/>
      <c r="AD1533" s="25"/>
      <c r="AI1533" s="109" t="s">
        <v>272</v>
      </c>
      <c r="AJ1533" s="109" t="s">
        <v>273</v>
      </c>
      <c r="AK1533" s="109" t="s">
        <v>274</v>
      </c>
      <c r="AL1533" s="109" t="s">
        <v>275</v>
      </c>
      <c r="BA1533" s="227"/>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2"/>
      <c r="M1534" s="278"/>
      <c r="N1534" s="278"/>
      <c r="O1534" s="278"/>
      <c r="P1534" s="278"/>
      <c r="Q1534" s="278"/>
      <c r="R1534" s="278"/>
      <c r="S1534" s="278"/>
      <c r="T1534" s="278"/>
      <c r="U1534" s="279"/>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8">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2"/>
      <c r="M1535" s="278"/>
      <c r="N1535" s="278"/>
      <c r="O1535" s="278"/>
      <c r="P1535" s="278"/>
      <c r="Q1535" s="278"/>
      <c r="R1535" s="278"/>
      <c r="S1535" s="278"/>
      <c r="T1535" s="278"/>
      <c r="U1535" s="279"/>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8">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2"/>
      <c r="M1536" s="278"/>
      <c r="N1536" s="278"/>
      <c r="O1536" s="278"/>
      <c r="P1536" s="278"/>
      <c r="Q1536" s="278"/>
      <c r="R1536" s="278"/>
      <c r="S1536" s="278"/>
      <c r="T1536" s="278"/>
      <c r="U1536" s="279"/>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8">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2"/>
      <c r="M1537" s="278"/>
      <c r="N1537" s="278"/>
      <c r="O1537" s="278"/>
      <c r="P1537" s="278"/>
      <c r="Q1537" s="278"/>
      <c r="R1537" s="278"/>
      <c r="S1537" s="278"/>
      <c r="T1537" s="278"/>
      <c r="U1537" s="279"/>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8">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2"/>
      <c r="M1538" s="278"/>
      <c r="N1538" s="278"/>
      <c r="O1538" s="278"/>
      <c r="P1538" s="278"/>
      <c r="Q1538" s="278"/>
      <c r="R1538" s="278"/>
      <c r="S1538" s="278"/>
      <c r="T1538" s="278"/>
      <c r="U1538" s="279"/>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8">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2"/>
      <c r="M1539" s="278"/>
      <c r="N1539" s="278"/>
      <c r="O1539" s="278"/>
      <c r="P1539" s="278"/>
      <c r="Q1539" s="278"/>
      <c r="R1539" s="278"/>
      <c r="S1539" s="278"/>
      <c r="T1539" s="278"/>
      <c r="U1539" s="279"/>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8">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2"/>
      <c r="M1540" s="278"/>
      <c r="N1540" s="278"/>
      <c r="O1540" s="278"/>
      <c r="P1540" s="278"/>
      <c r="Q1540" s="278"/>
      <c r="R1540" s="278"/>
      <c r="S1540" s="278"/>
      <c r="T1540" s="278"/>
      <c r="U1540" s="279"/>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8">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2"/>
      <c r="M1541" s="278"/>
      <c r="N1541" s="278"/>
      <c r="O1541" s="278"/>
      <c r="P1541" s="278"/>
      <c r="Q1541" s="278"/>
      <c r="R1541" s="278"/>
      <c r="S1541" s="278"/>
      <c r="T1541" s="278"/>
      <c r="U1541" s="279"/>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8">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2"/>
      <c r="M1542" s="278"/>
      <c r="N1542" s="278"/>
      <c r="O1542" s="278"/>
      <c r="P1542" s="278"/>
      <c r="Q1542" s="278"/>
      <c r="R1542" s="278"/>
      <c r="S1542" s="278"/>
      <c r="T1542" s="278"/>
      <c r="U1542" s="279"/>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8">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2"/>
      <c r="M1543" s="278"/>
      <c r="N1543" s="278"/>
      <c r="O1543" s="278"/>
      <c r="P1543" s="278"/>
      <c r="Q1543" s="278"/>
      <c r="R1543" s="278"/>
      <c r="S1543" s="278"/>
      <c r="T1543" s="278"/>
      <c r="U1543" s="279"/>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8">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2"/>
      <c r="M1544" s="278"/>
      <c r="N1544" s="278"/>
      <c r="O1544" s="278"/>
      <c r="P1544" s="278"/>
      <c r="Q1544" s="278"/>
      <c r="R1544" s="278"/>
      <c r="S1544" s="278"/>
      <c r="T1544" s="278"/>
      <c r="U1544" s="279"/>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8">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2"/>
      <c r="M1545" s="278"/>
      <c r="N1545" s="278"/>
      <c r="O1545" s="278"/>
      <c r="P1545" s="278"/>
      <c r="Q1545" s="278"/>
      <c r="R1545" s="278"/>
      <c r="S1545" s="278"/>
      <c r="T1545" s="278"/>
      <c r="U1545" s="279"/>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8">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2"/>
      <c r="M1546" s="278"/>
      <c r="N1546" s="278"/>
      <c r="O1546" s="278"/>
      <c r="P1546" s="278"/>
      <c r="Q1546" s="278"/>
      <c r="R1546" s="278"/>
      <c r="S1546" s="278"/>
      <c r="T1546" s="278"/>
      <c r="U1546" s="279"/>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8">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2"/>
      <c r="M1547" s="278"/>
      <c r="N1547" s="278"/>
      <c r="O1547" s="278"/>
      <c r="P1547" s="278"/>
      <c r="Q1547" s="278"/>
      <c r="R1547" s="278"/>
      <c r="S1547" s="278"/>
      <c r="T1547" s="278"/>
      <c r="U1547" s="279"/>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8">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2"/>
      <c r="M1548" s="278"/>
      <c r="N1548" s="278"/>
      <c r="O1548" s="278"/>
      <c r="P1548" s="278"/>
      <c r="Q1548" s="278"/>
      <c r="R1548" s="278"/>
      <c r="S1548" s="278"/>
      <c r="T1548" s="278"/>
      <c r="U1548" s="279"/>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8">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2"/>
      <c r="M1549" s="278"/>
      <c r="N1549" s="278"/>
      <c r="O1549" s="278"/>
      <c r="P1549" s="278"/>
      <c r="Q1549" s="278"/>
      <c r="R1549" s="278"/>
      <c r="S1549" s="278"/>
      <c r="T1549" s="278"/>
      <c r="U1549" s="279"/>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8">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2"/>
      <c r="M1550" s="278"/>
      <c r="N1550" s="278"/>
      <c r="O1550" s="278"/>
      <c r="P1550" s="278"/>
      <c r="Q1550" s="278"/>
      <c r="R1550" s="278"/>
      <c r="S1550" s="278"/>
      <c r="T1550" s="278"/>
      <c r="U1550" s="279"/>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8">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2"/>
      <c r="M1551" s="278"/>
      <c r="N1551" s="278"/>
      <c r="O1551" s="278"/>
      <c r="P1551" s="278"/>
      <c r="Q1551" s="278"/>
      <c r="R1551" s="278"/>
      <c r="S1551" s="278"/>
      <c r="T1551" s="278"/>
      <c r="U1551" s="279"/>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8">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2"/>
      <c r="M1552" s="278"/>
      <c r="N1552" s="278"/>
      <c r="O1552" s="278"/>
      <c r="P1552" s="278"/>
      <c r="Q1552" s="278"/>
      <c r="R1552" s="278"/>
      <c r="S1552" s="278"/>
      <c r="T1552" s="278"/>
      <c r="U1552" s="279"/>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8">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2"/>
      <c r="M1553" s="278"/>
      <c r="N1553" s="278"/>
      <c r="O1553" s="278"/>
      <c r="P1553" s="278"/>
      <c r="Q1553" s="278"/>
      <c r="R1553" s="278"/>
      <c r="S1553" s="278"/>
      <c r="T1553" s="278"/>
      <c r="U1553" s="279"/>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8">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2"/>
      <c r="M1554" s="278"/>
      <c r="N1554" s="278"/>
      <c r="O1554" s="278"/>
      <c r="P1554" s="278"/>
      <c r="Q1554" s="278"/>
      <c r="R1554" s="278"/>
      <c r="S1554" s="278"/>
      <c r="T1554" s="278"/>
      <c r="U1554" s="279"/>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8">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2"/>
      <c r="M1555" s="278"/>
      <c r="N1555" s="278"/>
      <c r="O1555" s="278"/>
      <c r="P1555" s="278"/>
      <c r="Q1555" s="278"/>
      <c r="R1555" s="278"/>
      <c r="S1555" s="278"/>
      <c r="T1555" s="278"/>
      <c r="U1555" s="279"/>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8">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2"/>
      <c r="M1556" s="278"/>
      <c r="N1556" s="278"/>
      <c r="O1556" s="278"/>
      <c r="P1556" s="278"/>
      <c r="Q1556" s="278"/>
      <c r="R1556" s="278"/>
      <c r="S1556" s="278"/>
      <c r="T1556" s="278"/>
      <c r="U1556" s="279"/>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8">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2"/>
      <c r="M1557" s="278"/>
      <c r="N1557" s="278"/>
      <c r="O1557" s="278"/>
      <c r="P1557" s="278"/>
      <c r="Q1557" s="278"/>
      <c r="R1557" s="278"/>
      <c r="S1557" s="278"/>
      <c r="T1557" s="278"/>
      <c r="U1557" s="279"/>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8">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3"/>
      <c r="M1558" s="278"/>
      <c r="N1558" s="278"/>
      <c r="O1558" s="278"/>
      <c r="P1558" s="278"/>
      <c r="Q1558" s="278"/>
      <c r="R1558" s="278"/>
      <c r="S1558" s="278"/>
      <c r="T1558" s="278"/>
      <c r="U1558" s="279"/>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7"/>
    </row>
    <row r="1559" spans="1:53" ht="16.5" thickBot="1" x14ac:dyDescent="0.3">
      <c r="A1559" s="88"/>
      <c r="B1559" s="319" t="s">
        <v>379</v>
      </c>
      <c r="C1559" s="320"/>
      <c r="D1559" s="79"/>
      <c r="E1559" s="80"/>
      <c r="F1559" s="80"/>
      <c r="G1559" s="81"/>
      <c r="H1559" s="191"/>
      <c r="I1559" s="191"/>
      <c r="J1559" s="191"/>
      <c r="K1559" s="82"/>
      <c r="L1559" s="319" t="s">
        <v>306</v>
      </c>
      <c r="M1559" s="330"/>
      <c r="N1559" s="330"/>
      <c r="O1559" s="330"/>
      <c r="P1559" s="330"/>
      <c r="Q1559" s="330"/>
      <c r="R1559" s="330"/>
      <c r="S1559" s="330"/>
      <c r="T1559" s="330"/>
      <c r="U1559" s="320"/>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7"/>
    </row>
    <row r="1560" spans="1:53" ht="16.5" thickBot="1" x14ac:dyDescent="0.3">
      <c r="A1560" s="88"/>
      <c r="B1560" s="319" t="s">
        <v>307</v>
      </c>
      <c r="C1560" s="320"/>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5"/>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5" t="s">
        <v>210</v>
      </c>
      <c r="N1563" s="195" t="s">
        <v>211</v>
      </c>
      <c r="O1563" s="195" t="s">
        <v>212</v>
      </c>
      <c r="P1563" s="195" t="s">
        <v>213</v>
      </c>
      <c r="Q1563" s="195" t="s">
        <v>214</v>
      </c>
      <c r="R1563" s="195" t="s">
        <v>215</v>
      </c>
      <c r="S1563" s="195" t="s">
        <v>216</v>
      </c>
      <c r="T1563" s="195" t="s">
        <v>217</v>
      </c>
      <c r="U1563" s="195" t="s">
        <v>218</v>
      </c>
      <c r="V1563" s="195" t="s">
        <v>219</v>
      </c>
      <c r="W1563" s="113" t="s">
        <v>220</v>
      </c>
      <c r="X1563" s="195" t="s">
        <v>221</v>
      </c>
      <c r="Y1563" s="25"/>
      <c r="Z1563" s="25"/>
      <c r="AA1563" s="25"/>
      <c r="AB1563" s="25"/>
      <c r="AC1563" s="25"/>
      <c r="AD1563" s="25"/>
      <c r="BA1563" s="225"/>
    </row>
    <row r="1564" spans="1:53" ht="16.5" thickTop="1" thickBot="1" x14ac:dyDescent="0.3">
      <c r="A1564" s="88"/>
      <c r="B1564" s="312" t="s">
        <v>222</v>
      </c>
      <c r="C1564" s="313"/>
      <c r="D1564" s="314" t="s">
        <v>223</v>
      </c>
      <c r="E1564" s="305"/>
      <c r="F1564" s="88"/>
      <c r="G1564" s="315" t="s">
        <v>224</v>
      </c>
      <c r="H1564" s="316"/>
      <c r="I1564" s="28">
        <f>SUM(E1575:E1599)</f>
        <v>0</v>
      </c>
      <c r="J1564" s="317" t="s">
        <v>225</v>
      </c>
      <c r="K1564" s="318"/>
      <c r="L1564" s="305"/>
      <c r="M1564" s="195">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5" t="s">
        <v>226</v>
      </c>
      <c r="AA1564" s="296"/>
      <c r="AB1564" s="297"/>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5"/>
    </row>
    <row r="1565" spans="1:53" ht="16.5" customHeight="1" thickTop="1" thickBot="1" x14ac:dyDescent="0.3">
      <c r="A1565" s="88"/>
      <c r="B1565" s="29" t="s">
        <v>228</v>
      </c>
      <c r="C1565" s="30">
        <v>0</v>
      </c>
      <c r="D1565" s="31" t="s">
        <v>229</v>
      </c>
      <c r="E1565" s="66" t="str">
        <f>TEXT(IF('Cable Calculator'!GL7="","",'Cable Calculator'!GL7),)</f>
        <v/>
      </c>
      <c r="F1565" s="88"/>
      <c r="G1565" s="304" t="s">
        <v>230</v>
      </c>
      <c r="H1565" s="305"/>
      <c r="I1565" s="33">
        <f>E1566-I1564</f>
        <v>0</v>
      </c>
      <c r="J1565" s="289" t="s">
        <v>231</v>
      </c>
      <c r="K1565" s="290"/>
      <c r="L1565" s="34">
        <f>I1569</f>
        <v>0</v>
      </c>
      <c r="M1565" s="195">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8" t="s">
        <v>232</v>
      </c>
      <c r="AA1565" s="300" t="s">
        <v>233</v>
      </c>
      <c r="AB1565" s="301"/>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6"/>
    </row>
    <row r="1566" spans="1:53" ht="16.5" thickTop="1" thickBot="1" x14ac:dyDescent="0.3">
      <c r="A1566" s="88"/>
      <c r="B1566" s="36" t="s">
        <v>235</v>
      </c>
      <c r="C1566" s="37">
        <v>0</v>
      </c>
      <c r="D1566" s="38" t="s">
        <v>236</v>
      </c>
      <c r="E1566" s="32"/>
      <c r="F1566" s="88"/>
      <c r="G1566" s="291" t="s">
        <v>237</v>
      </c>
      <c r="H1566" s="292"/>
      <c r="I1566" s="35">
        <f>IF(E1566=0,0,12-(MOD(I1564,12)))</f>
        <v>0</v>
      </c>
      <c r="J1566" s="289" t="s">
        <v>238</v>
      </c>
      <c r="K1566" s="290"/>
      <c r="L1566" s="39">
        <f>I1570-I1564</f>
        <v>0</v>
      </c>
      <c r="M1566" s="195">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9"/>
      <c r="AA1566" s="302"/>
      <c r="AB1566" s="303"/>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6"/>
    </row>
    <row r="1567" spans="1:53" ht="16.5" customHeight="1" thickTop="1" thickBot="1" x14ac:dyDescent="0.3">
      <c r="A1567" s="88"/>
      <c r="B1567" s="40" t="s">
        <v>240</v>
      </c>
      <c r="C1567" s="30">
        <v>0</v>
      </c>
      <c r="D1567" s="41" t="s">
        <v>241</v>
      </c>
      <c r="E1567" s="42"/>
      <c r="F1567" s="88"/>
      <c r="G1567" s="321" t="s">
        <v>242</v>
      </c>
      <c r="H1567" s="43" t="s">
        <v>243</v>
      </c>
      <c r="I1567" s="35">
        <f>IF(E1567&lt;&gt;0,1,0)</f>
        <v>0</v>
      </c>
      <c r="J1567" s="291" t="s">
        <v>244</v>
      </c>
      <c r="K1567" s="292"/>
      <c r="L1567" s="44" t="str">
        <f>'Cable Calculator'!GL3</f>
        <v/>
      </c>
      <c r="M1567" s="195">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6"/>
    </row>
    <row r="1568" spans="1:53" ht="16.5" thickTop="1" thickBot="1" x14ac:dyDescent="0.3">
      <c r="A1568" s="88"/>
      <c r="B1568" s="29" t="s">
        <v>246</v>
      </c>
      <c r="C1568" s="37">
        <v>0</v>
      </c>
      <c r="D1568" s="41" t="s">
        <v>247</v>
      </c>
      <c r="E1568" s="42"/>
      <c r="F1568" s="88"/>
      <c r="G1568" s="322"/>
      <c r="H1568" s="47" t="s">
        <v>248</v>
      </c>
      <c r="I1568" s="35">
        <f>IF(E1567&lt;&gt;0,E1567,0)</f>
        <v>0</v>
      </c>
      <c r="J1568" s="193"/>
      <c r="K1568" s="194"/>
      <c r="L1568" s="48"/>
      <c r="M1568" s="195">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6"/>
    </row>
    <row r="1569" spans="1:53" ht="16.5" customHeight="1" thickTop="1" thickBot="1" x14ac:dyDescent="0.3">
      <c r="A1569" s="88"/>
      <c r="B1569" s="36" t="s">
        <v>249</v>
      </c>
      <c r="C1569" s="30">
        <v>0</v>
      </c>
      <c r="D1569" s="49" t="s">
        <v>250</v>
      </c>
      <c r="E1569" s="50">
        <f>E1566/12</f>
        <v>0</v>
      </c>
      <c r="F1569" s="88"/>
      <c r="G1569" s="321" t="s">
        <v>251</v>
      </c>
      <c r="H1569" s="51" t="s">
        <v>252</v>
      </c>
      <c r="I1569" s="112">
        <f>E1568</f>
        <v>0</v>
      </c>
      <c r="J1569" s="323" t="s">
        <v>253</v>
      </c>
      <c r="K1569" s="324"/>
      <c r="L1569" s="325"/>
      <c r="M1569" s="52" t="s">
        <v>254</v>
      </c>
      <c r="N1569" s="106"/>
      <c r="O1569" s="106"/>
      <c r="P1569" s="191"/>
      <c r="Q1569" s="191"/>
      <c r="R1569" s="191"/>
      <c r="S1569" s="191"/>
      <c r="T1569" s="191"/>
      <c r="U1569" s="191"/>
      <c r="V1569" s="191"/>
      <c r="W1569" s="53">
        <f>SUM(P1569:U1569)</f>
        <v>0</v>
      </c>
      <c r="X1569" s="54"/>
      <c r="Y1569" s="25"/>
      <c r="Z1569" s="45">
        <v>3</v>
      </c>
      <c r="AA1569" s="46">
        <v>25</v>
      </c>
      <c r="AB1569" s="46">
        <v>36</v>
      </c>
      <c r="AC1569" s="25"/>
      <c r="AD1569" s="25"/>
      <c r="BA1569" s="226"/>
    </row>
    <row r="1570" spans="1:53" ht="16.5" thickTop="1" thickBot="1" x14ac:dyDescent="0.3">
      <c r="A1570" s="88"/>
      <c r="B1570" s="36" t="s">
        <v>255</v>
      </c>
      <c r="C1570" s="30">
        <v>0</v>
      </c>
      <c r="D1570" s="31" t="s">
        <v>256</v>
      </c>
      <c r="E1570" s="101" t="str">
        <f>IF('Cable Calculator'!GL5="","",'Cable Calculator'!GL5)</f>
        <v/>
      </c>
      <c r="F1570" s="88"/>
      <c r="G1570" s="322"/>
      <c r="H1570" s="47" t="s">
        <v>257</v>
      </c>
      <c r="I1570" s="35" t="str">
        <f>IF(E1568="","0",IF(AND(E1565="EUC",E1566=432), I1569+(203-E1567),IF(E1568=0,0,(E1568+(E1566-E1567)-1))))</f>
        <v>0</v>
      </c>
      <c r="J1570" s="286" t="str">
        <f>IFERROR(IF(OR(E1565="EUC",E1565="SS"),"---",IF(OR(P1564,S1564),"NO 2F Tethers for RPX!",IF(OR(P1566,S1566),"NO 6F Tethers for RPX!","---"))),"---")</f>
        <v>---</v>
      </c>
      <c r="K1570" s="287"/>
      <c r="L1570" s="288"/>
      <c r="M1570" s="286" t="str">
        <f>IF(E1567&gt;60,"Dead Count &gt;60: Consider Downsize","---")</f>
        <v>---</v>
      </c>
      <c r="N1570" s="287"/>
      <c r="O1570" s="287"/>
      <c r="P1570" s="287"/>
      <c r="Q1570" s="287"/>
      <c r="R1570" s="287"/>
      <c r="S1570" s="287"/>
      <c r="T1570" s="287"/>
      <c r="U1570" s="288"/>
      <c r="V1570" s="100"/>
      <c r="W1570" s="54">
        <f>SUM(P1570:U1570)</f>
        <v>0</v>
      </c>
      <c r="X1570" s="54"/>
      <c r="Y1570" s="25"/>
      <c r="Z1570" s="45">
        <v>4</v>
      </c>
      <c r="AA1570" s="46">
        <v>37</v>
      </c>
      <c r="AB1570" s="46">
        <v>48</v>
      </c>
      <c r="AC1570" s="25"/>
      <c r="AD1570" s="25"/>
      <c r="BA1570" s="226"/>
    </row>
    <row r="1571" spans="1:53" ht="16.5" thickTop="1" thickBot="1" x14ac:dyDescent="0.3">
      <c r="A1571" s="88"/>
      <c r="B1571" s="55" t="s">
        <v>258</v>
      </c>
      <c r="C1571" s="56">
        <f>SUM(C1565:C1570)+I1564</f>
        <v>0</v>
      </c>
      <c r="D1571" s="31" t="s">
        <v>259</v>
      </c>
      <c r="E1571" s="101" t="str">
        <f>IF(AS1565="Y","DBL",IF(AS1566="Y","TRPL",IF(AS1567="Y","QUAD","")))</f>
        <v/>
      </c>
      <c r="F1571" s="88"/>
      <c r="G1571" s="191"/>
      <c r="H1571" s="57"/>
      <c r="I1571" s="191"/>
      <c r="J1571" s="286"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7"/>
      <c r="L1571" s="288"/>
      <c r="M1571" s="286" t="str">
        <f>IF(AND(OR(E1565="SS",E1565="RPX",E1565="EUC",E1565="RPX-T"),(OR(C1575="",C1575="Field SPL"))),"Cannot have FlexNap cables without tethers","---")</f>
        <v>---</v>
      </c>
      <c r="N1571" s="287"/>
      <c r="O1571" s="287"/>
      <c r="P1571" s="287"/>
      <c r="Q1571" s="287"/>
      <c r="R1571" s="287"/>
      <c r="S1571" s="287"/>
      <c r="T1571" s="287"/>
      <c r="U1571" s="288"/>
      <c r="V1571" s="25"/>
      <c r="W1571" s="58"/>
      <c r="X1571" s="58"/>
      <c r="Y1571" s="25"/>
      <c r="Z1571" s="45">
        <v>5</v>
      </c>
      <c r="AA1571" s="46">
        <v>49</v>
      </c>
      <c r="AB1571" s="46">
        <v>60</v>
      </c>
      <c r="AC1571" s="25"/>
      <c r="AD1571" s="25"/>
      <c r="BA1571" s="226"/>
    </row>
    <row r="1572" spans="1:53" ht="16.5" thickTop="1" thickBot="1" x14ac:dyDescent="0.3">
      <c r="A1572" s="88"/>
      <c r="B1572" s="59"/>
      <c r="C1572" s="60"/>
      <c r="D1572" s="61"/>
      <c r="E1572" s="62"/>
      <c r="F1572" s="88"/>
      <c r="G1572" s="63"/>
      <c r="H1572" s="64"/>
      <c r="I1572" s="63"/>
      <c r="J1572" s="286" t="str">
        <f>IF(AND(OR(E1565="RPX", E1565="RPX-T", E1565="SS"),E1566=216),"NO 216 For RPX, RPX-T, OR SS CABLE","---")</f>
        <v>---</v>
      </c>
      <c r="K1572" s="287"/>
      <c r="L1572" s="288"/>
      <c r="M1572" s="286" t="str" cm="1">
        <f t="array" ref="M1572">IF(AND(E1565="",OR(C1575:C1599="FST",C1575:C1599="REV T",C1575:C1599="DBL REV",C1575:C1599="TPL REV", C1575:C1599="QD REV")),"Non-FlexNap cables cannot have tethers","---")</f>
        <v>---</v>
      </c>
      <c r="N1572" s="287"/>
      <c r="O1572" s="287"/>
      <c r="P1572" s="287"/>
      <c r="Q1572" s="287"/>
      <c r="R1572" s="287"/>
      <c r="S1572" s="287"/>
      <c r="T1572" s="287"/>
      <c r="U1572" s="288"/>
      <c r="V1572" s="25"/>
      <c r="W1572" s="58"/>
      <c r="X1572" s="58"/>
      <c r="Y1572" s="25"/>
      <c r="Z1572" s="45">
        <v>6</v>
      </c>
      <c r="AA1572" s="65">
        <v>61</v>
      </c>
      <c r="AB1572" s="65">
        <v>72</v>
      </c>
      <c r="AC1572" s="25"/>
      <c r="AD1572" s="25"/>
      <c r="BA1572" s="225"/>
    </row>
    <row r="1573" spans="1:53" ht="15.75" customHeight="1" thickBot="1" x14ac:dyDescent="0.3">
      <c r="A1573" s="88"/>
      <c r="B1573" s="321" t="s">
        <v>260</v>
      </c>
      <c r="C1573" s="293" t="s">
        <v>261</v>
      </c>
      <c r="D1573" s="293" t="s">
        <v>262</v>
      </c>
      <c r="E1573" s="306" t="s">
        <v>263</v>
      </c>
      <c r="F1573" s="293" t="s">
        <v>264</v>
      </c>
      <c r="G1573" s="308" t="s">
        <v>265</v>
      </c>
      <c r="H1573" s="308" t="s">
        <v>266</v>
      </c>
      <c r="I1573" s="308" t="s">
        <v>267</v>
      </c>
      <c r="J1573" s="310" t="s">
        <v>268</v>
      </c>
      <c r="K1573" s="293" t="s">
        <v>269</v>
      </c>
      <c r="L1573" s="280" t="s">
        <v>270</v>
      </c>
      <c r="M1573" s="282" t="s">
        <v>271</v>
      </c>
      <c r="N1573" s="282"/>
      <c r="O1573" s="282"/>
      <c r="P1573" s="282"/>
      <c r="Q1573" s="282"/>
      <c r="R1573" s="282"/>
      <c r="S1573" s="282"/>
      <c r="T1573" s="282"/>
      <c r="U1573" s="283"/>
      <c r="V1573" s="107"/>
      <c r="W1573" s="72"/>
      <c r="X1573" s="72"/>
      <c r="Y1573" s="72"/>
      <c r="Z1573" s="45">
        <v>7</v>
      </c>
      <c r="AA1573" s="65">
        <v>73</v>
      </c>
      <c r="AB1573" s="65">
        <v>84</v>
      </c>
      <c r="AC1573" s="25"/>
      <c r="AD1573" s="25"/>
      <c r="BA1573" s="227"/>
    </row>
    <row r="1574" spans="1:53" ht="15.75" thickBot="1" x14ac:dyDescent="0.3">
      <c r="A1574" s="88"/>
      <c r="B1574" s="322"/>
      <c r="C1574" s="294"/>
      <c r="D1574" s="294"/>
      <c r="E1574" s="307"/>
      <c r="F1574" s="294"/>
      <c r="G1574" s="309"/>
      <c r="H1574" s="309"/>
      <c r="I1574" s="309"/>
      <c r="J1574" s="311"/>
      <c r="K1574" s="294"/>
      <c r="L1574" s="281"/>
      <c r="M1574" s="284"/>
      <c r="N1574" s="284"/>
      <c r="O1574" s="284"/>
      <c r="P1574" s="284"/>
      <c r="Q1574" s="284"/>
      <c r="R1574" s="284"/>
      <c r="S1574" s="284"/>
      <c r="T1574" s="284"/>
      <c r="U1574" s="285"/>
      <c r="V1574" s="107"/>
      <c r="W1574" s="72"/>
      <c r="X1574" s="72"/>
      <c r="Y1574" s="72"/>
      <c r="Z1574" s="45">
        <v>8</v>
      </c>
      <c r="AA1574" s="46">
        <v>85</v>
      </c>
      <c r="AB1574" s="46">
        <v>96</v>
      </c>
      <c r="AC1574" s="25"/>
      <c r="AD1574" s="25"/>
      <c r="AI1574" s="109" t="s">
        <v>272</v>
      </c>
      <c r="AJ1574" s="109" t="s">
        <v>273</v>
      </c>
      <c r="AK1574" s="109" t="s">
        <v>274</v>
      </c>
      <c r="AL1574" s="109" t="s">
        <v>275</v>
      </c>
      <c r="BA1574" s="227"/>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2"/>
      <c r="M1575" s="278"/>
      <c r="N1575" s="278"/>
      <c r="O1575" s="278"/>
      <c r="P1575" s="278"/>
      <c r="Q1575" s="278"/>
      <c r="R1575" s="278"/>
      <c r="S1575" s="278"/>
      <c r="T1575" s="278"/>
      <c r="U1575" s="279"/>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8">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2"/>
      <c r="M1576" s="278"/>
      <c r="N1576" s="278"/>
      <c r="O1576" s="278"/>
      <c r="P1576" s="278"/>
      <c r="Q1576" s="278"/>
      <c r="R1576" s="278"/>
      <c r="S1576" s="278"/>
      <c r="T1576" s="278"/>
      <c r="U1576" s="279"/>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8">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2"/>
      <c r="M1577" s="278"/>
      <c r="N1577" s="278"/>
      <c r="O1577" s="278"/>
      <c r="P1577" s="278"/>
      <c r="Q1577" s="278"/>
      <c r="R1577" s="278"/>
      <c r="S1577" s="278"/>
      <c r="T1577" s="278"/>
      <c r="U1577" s="279"/>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8">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2"/>
      <c r="M1578" s="278"/>
      <c r="N1578" s="278"/>
      <c r="O1578" s="278"/>
      <c r="P1578" s="278"/>
      <c r="Q1578" s="278"/>
      <c r="R1578" s="278"/>
      <c r="S1578" s="278"/>
      <c r="T1578" s="278"/>
      <c r="U1578" s="279"/>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8">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2"/>
      <c r="M1579" s="278"/>
      <c r="N1579" s="278"/>
      <c r="O1579" s="278"/>
      <c r="P1579" s="278"/>
      <c r="Q1579" s="278"/>
      <c r="R1579" s="278"/>
      <c r="S1579" s="278"/>
      <c r="T1579" s="278"/>
      <c r="U1579" s="279"/>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8">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2"/>
      <c r="M1580" s="278"/>
      <c r="N1580" s="278"/>
      <c r="O1580" s="278"/>
      <c r="P1580" s="278"/>
      <c r="Q1580" s="278"/>
      <c r="R1580" s="278"/>
      <c r="S1580" s="278"/>
      <c r="T1580" s="278"/>
      <c r="U1580" s="279"/>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8">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2"/>
      <c r="M1581" s="278"/>
      <c r="N1581" s="278"/>
      <c r="O1581" s="278"/>
      <c r="P1581" s="278"/>
      <c r="Q1581" s="278"/>
      <c r="R1581" s="278"/>
      <c r="S1581" s="278"/>
      <c r="T1581" s="278"/>
      <c r="U1581" s="279"/>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8">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2"/>
      <c r="M1582" s="278"/>
      <c r="N1582" s="278"/>
      <c r="O1582" s="278"/>
      <c r="P1582" s="278"/>
      <c r="Q1582" s="278"/>
      <c r="R1582" s="278"/>
      <c r="S1582" s="278"/>
      <c r="T1582" s="278"/>
      <c r="U1582" s="279"/>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8">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2"/>
      <c r="M1583" s="278"/>
      <c r="N1583" s="278"/>
      <c r="O1583" s="278"/>
      <c r="P1583" s="278"/>
      <c r="Q1583" s="278"/>
      <c r="R1583" s="278"/>
      <c r="S1583" s="278"/>
      <c r="T1583" s="278"/>
      <c r="U1583" s="279"/>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8">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2"/>
      <c r="M1584" s="278"/>
      <c r="N1584" s="278"/>
      <c r="O1584" s="278"/>
      <c r="P1584" s="278"/>
      <c r="Q1584" s="278"/>
      <c r="R1584" s="278"/>
      <c r="S1584" s="278"/>
      <c r="T1584" s="278"/>
      <c r="U1584" s="279"/>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8">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2"/>
      <c r="M1585" s="278"/>
      <c r="N1585" s="278"/>
      <c r="O1585" s="278"/>
      <c r="P1585" s="278"/>
      <c r="Q1585" s="278"/>
      <c r="R1585" s="278"/>
      <c r="S1585" s="278"/>
      <c r="T1585" s="278"/>
      <c r="U1585" s="279"/>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8">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2"/>
      <c r="M1586" s="278"/>
      <c r="N1586" s="278"/>
      <c r="O1586" s="278"/>
      <c r="P1586" s="278"/>
      <c r="Q1586" s="278"/>
      <c r="R1586" s="278"/>
      <c r="S1586" s="278"/>
      <c r="T1586" s="278"/>
      <c r="U1586" s="279"/>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8">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2"/>
      <c r="M1587" s="278"/>
      <c r="N1587" s="278"/>
      <c r="O1587" s="278"/>
      <c r="P1587" s="278"/>
      <c r="Q1587" s="278"/>
      <c r="R1587" s="278"/>
      <c r="S1587" s="278"/>
      <c r="T1587" s="278"/>
      <c r="U1587" s="279"/>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8">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2"/>
      <c r="M1588" s="278"/>
      <c r="N1588" s="278"/>
      <c r="O1588" s="278"/>
      <c r="P1588" s="278"/>
      <c r="Q1588" s="278"/>
      <c r="R1588" s="278"/>
      <c r="S1588" s="278"/>
      <c r="T1588" s="278"/>
      <c r="U1588" s="279"/>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8">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2"/>
      <c r="M1589" s="278"/>
      <c r="N1589" s="278"/>
      <c r="O1589" s="278"/>
      <c r="P1589" s="278"/>
      <c r="Q1589" s="278"/>
      <c r="R1589" s="278"/>
      <c r="S1589" s="278"/>
      <c r="T1589" s="278"/>
      <c r="U1589" s="279"/>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8">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2"/>
      <c r="M1590" s="278"/>
      <c r="N1590" s="278"/>
      <c r="O1590" s="278"/>
      <c r="P1590" s="278"/>
      <c r="Q1590" s="278"/>
      <c r="R1590" s="278"/>
      <c r="S1590" s="278"/>
      <c r="T1590" s="278"/>
      <c r="U1590" s="279"/>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8">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2"/>
      <c r="M1591" s="278"/>
      <c r="N1591" s="278"/>
      <c r="O1591" s="278"/>
      <c r="P1591" s="278"/>
      <c r="Q1591" s="278"/>
      <c r="R1591" s="278"/>
      <c r="S1591" s="278"/>
      <c r="T1591" s="278"/>
      <c r="U1591" s="279"/>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8">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2"/>
      <c r="M1592" s="278"/>
      <c r="N1592" s="278"/>
      <c r="O1592" s="278"/>
      <c r="P1592" s="278"/>
      <c r="Q1592" s="278"/>
      <c r="R1592" s="278"/>
      <c r="S1592" s="278"/>
      <c r="T1592" s="278"/>
      <c r="U1592" s="279"/>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8">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2"/>
      <c r="M1593" s="278"/>
      <c r="N1593" s="278"/>
      <c r="O1593" s="278"/>
      <c r="P1593" s="278"/>
      <c r="Q1593" s="278"/>
      <c r="R1593" s="278"/>
      <c r="S1593" s="278"/>
      <c r="T1593" s="278"/>
      <c r="U1593" s="279"/>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8">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2"/>
      <c r="M1594" s="278"/>
      <c r="N1594" s="278"/>
      <c r="O1594" s="278"/>
      <c r="P1594" s="278"/>
      <c r="Q1594" s="278"/>
      <c r="R1594" s="278"/>
      <c r="S1594" s="278"/>
      <c r="T1594" s="278"/>
      <c r="U1594" s="279"/>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8">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2"/>
      <c r="M1595" s="278"/>
      <c r="N1595" s="278"/>
      <c r="O1595" s="278"/>
      <c r="P1595" s="278"/>
      <c r="Q1595" s="278"/>
      <c r="R1595" s="278"/>
      <c r="S1595" s="278"/>
      <c r="T1595" s="278"/>
      <c r="U1595" s="279"/>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8">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2"/>
      <c r="M1596" s="278"/>
      <c r="N1596" s="278"/>
      <c r="O1596" s="278"/>
      <c r="P1596" s="278"/>
      <c r="Q1596" s="278"/>
      <c r="R1596" s="278"/>
      <c r="S1596" s="278"/>
      <c r="T1596" s="278"/>
      <c r="U1596" s="279"/>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8">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2"/>
      <c r="M1597" s="278"/>
      <c r="N1597" s="278"/>
      <c r="O1597" s="278"/>
      <c r="P1597" s="278"/>
      <c r="Q1597" s="278"/>
      <c r="R1597" s="278"/>
      <c r="S1597" s="278"/>
      <c r="T1597" s="278"/>
      <c r="U1597" s="279"/>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8">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2"/>
      <c r="M1598" s="278"/>
      <c r="N1598" s="278"/>
      <c r="O1598" s="278"/>
      <c r="P1598" s="278"/>
      <c r="Q1598" s="278"/>
      <c r="R1598" s="278"/>
      <c r="S1598" s="278"/>
      <c r="T1598" s="278"/>
      <c r="U1598" s="279"/>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8">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3"/>
      <c r="M1599" s="278"/>
      <c r="N1599" s="278"/>
      <c r="O1599" s="278"/>
      <c r="P1599" s="278"/>
      <c r="Q1599" s="278"/>
      <c r="R1599" s="278"/>
      <c r="S1599" s="278"/>
      <c r="T1599" s="278"/>
      <c r="U1599" s="279"/>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7"/>
    </row>
    <row r="1600" spans="1:53" ht="16.5" thickBot="1" x14ac:dyDescent="0.3">
      <c r="A1600" s="88"/>
      <c r="B1600" s="319" t="s">
        <v>381</v>
      </c>
      <c r="C1600" s="320"/>
      <c r="D1600" s="79"/>
      <c r="E1600" s="80"/>
      <c r="F1600" s="80"/>
      <c r="G1600" s="81"/>
      <c r="H1600" s="191"/>
      <c r="I1600" s="191"/>
      <c r="J1600" s="191"/>
      <c r="K1600" s="82"/>
      <c r="L1600" s="319" t="s">
        <v>306</v>
      </c>
      <c r="M1600" s="330"/>
      <c r="N1600" s="330"/>
      <c r="O1600" s="330"/>
      <c r="P1600" s="330"/>
      <c r="Q1600" s="330"/>
      <c r="R1600" s="330"/>
      <c r="S1600" s="330"/>
      <c r="T1600" s="330"/>
      <c r="U1600" s="320"/>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7"/>
    </row>
    <row r="1601" spans="1:53" ht="16.5" thickBot="1" x14ac:dyDescent="0.3">
      <c r="A1601" s="88"/>
      <c r="B1601" s="319" t="s">
        <v>307</v>
      </c>
      <c r="C1601" s="320"/>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5"/>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5" t="s">
        <v>210</v>
      </c>
      <c r="N1604" s="195" t="s">
        <v>211</v>
      </c>
      <c r="O1604" s="195" t="s">
        <v>212</v>
      </c>
      <c r="P1604" s="195" t="s">
        <v>213</v>
      </c>
      <c r="Q1604" s="195" t="s">
        <v>214</v>
      </c>
      <c r="R1604" s="195" t="s">
        <v>215</v>
      </c>
      <c r="S1604" s="195" t="s">
        <v>216</v>
      </c>
      <c r="T1604" s="195" t="s">
        <v>217</v>
      </c>
      <c r="U1604" s="195" t="s">
        <v>218</v>
      </c>
      <c r="V1604" s="195" t="s">
        <v>219</v>
      </c>
      <c r="W1604" s="113" t="s">
        <v>220</v>
      </c>
      <c r="X1604" s="195" t="s">
        <v>221</v>
      </c>
      <c r="Y1604" s="25"/>
      <c r="Z1604" s="25"/>
      <c r="AA1604" s="25"/>
      <c r="AB1604" s="25"/>
      <c r="AC1604" s="25"/>
      <c r="AD1604" s="25"/>
      <c r="BA1604" s="225"/>
    </row>
    <row r="1605" spans="1:53" ht="16.5" thickTop="1" thickBot="1" x14ac:dyDescent="0.3">
      <c r="A1605" s="88"/>
      <c r="B1605" s="312" t="s">
        <v>222</v>
      </c>
      <c r="C1605" s="313"/>
      <c r="D1605" s="314" t="s">
        <v>223</v>
      </c>
      <c r="E1605" s="305"/>
      <c r="F1605" s="88"/>
      <c r="G1605" s="315" t="s">
        <v>224</v>
      </c>
      <c r="H1605" s="316"/>
      <c r="I1605" s="28">
        <f>SUM(E1616:E1640)</f>
        <v>0</v>
      </c>
      <c r="J1605" s="317" t="s">
        <v>225</v>
      </c>
      <c r="K1605" s="318"/>
      <c r="L1605" s="305"/>
      <c r="M1605" s="195">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5" t="s">
        <v>226</v>
      </c>
      <c r="AA1605" s="296"/>
      <c r="AB1605" s="297"/>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5"/>
    </row>
    <row r="1606" spans="1:53" ht="16.5" customHeight="1" thickTop="1" thickBot="1" x14ac:dyDescent="0.3">
      <c r="A1606" s="88"/>
      <c r="B1606" s="29" t="s">
        <v>228</v>
      </c>
      <c r="C1606" s="30">
        <v>0</v>
      </c>
      <c r="D1606" s="31" t="s">
        <v>229</v>
      </c>
      <c r="E1606" s="66" t="str">
        <f>TEXT(IF('Cable Calculator'!GQ7="","",'Cable Calculator'!GQ7),)</f>
        <v/>
      </c>
      <c r="F1606" s="88"/>
      <c r="G1606" s="304" t="s">
        <v>230</v>
      </c>
      <c r="H1606" s="305"/>
      <c r="I1606" s="33">
        <f>E1607-I1605</f>
        <v>0</v>
      </c>
      <c r="J1606" s="289" t="s">
        <v>231</v>
      </c>
      <c r="K1606" s="290"/>
      <c r="L1606" s="34">
        <f>I1610</f>
        <v>0</v>
      </c>
      <c r="M1606" s="195">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8" t="s">
        <v>232</v>
      </c>
      <c r="AA1606" s="300" t="s">
        <v>233</v>
      </c>
      <c r="AB1606" s="301"/>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6"/>
    </row>
    <row r="1607" spans="1:53" ht="16.5" thickTop="1" thickBot="1" x14ac:dyDescent="0.3">
      <c r="A1607" s="88"/>
      <c r="B1607" s="36" t="s">
        <v>235</v>
      </c>
      <c r="C1607" s="37">
        <v>0</v>
      </c>
      <c r="D1607" s="38" t="s">
        <v>236</v>
      </c>
      <c r="E1607" s="32"/>
      <c r="F1607" s="88"/>
      <c r="G1607" s="291" t="s">
        <v>237</v>
      </c>
      <c r="H1607" s="292"/>
      <c r="I1607" s="35">
        <f>IF(E1607=0,0,12-(MOD(I1605,12)))</f>
        <v>0</v>
      </c>
      <c r="J1607" s="289" t="s">
        <v>238</v>
      </c>
      <c r="K1607" s="290"/>
      <c r="L1607" s="39">
        <f>I1611-I1605</f>
        <v>0</v>
      </c>
      <c r="M1607" s="195">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9"/>
      <c r="AA1607" s="302"/>
      <c r="AB1607" s="303"/>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6"/>
    </row>
    <row r="1608" spans="1:53" ht="16.5" customHeight="1" thickTop="1" thickBot="1" x14ac:dyDescent="0.3">
      <c r="A1608" s="88"/>
      <c r="B1608" s="40" t="s">
        <v>240</v>
      </c>
      <c r="C1608" s="30">
        <v>0</v>
      </c>
      <c r="D1608" s="41" t="s">
        <v>241</v>
      </c>
      <c r="E1608" s="42"/>
      <c r="F1608" s="88"/>
      <c r="G1608" s="321" t="s">
        <v>242</v>
      </c>
      <c r="H1608" s="43" t="s">
        <v>243</v>
      </c>
      <c r="I1608" s="35">
        <f>IF(E1608&lt;&gt;0,1,0)</f>
        <v>0</v>
      </c>
      <c r="J1608" s="291" t="s">
        <v>244</v>
      </c>
      <c r="K1608" s="292"/>
      <c r="L1608" s="44" t="str">
        <f>'Cable Calculator'!GQ3</f>
        <v/>
      </c>
      <c r="M1608" s="195">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6"/>
    </row>
    <row r="1609" spans="1:53" ht="16.5" thickTop="1" thickBot="1" x14ac:dyDescent="0.3">
      <c r="A1609" s="88"/>
      <c r="B1609" s="29" t="s">
        <v>246</v>
      </c>
      <c r="C1609" s="37">
        <v>0</v>
      </c>
      <c r="D1609" s="41" t="s">
        <v>247</v>
      </c>
      <c r="E1609" s="42"/>
      <c r="F1609" s="88"/>
      <c r="G1609" s="322"/>
      <c r="H1609" s="47" t="s">
        <v>248</v>
      </c>
      <c r="I1609" s="35">
        <f>IF(E1608&lt;&gt;0,E1608,0)</f>
        <v>0</v>
      </c>
      <c r="J1609" s="193"/>
      <c r="K1609" s="194"/>
      <c r="L1609" s="48"/>
      <c r="M1609" s="195">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6"/>
    </row>
    <row r="1610" spans="1:53" ht="16.5" customHeight="1" thickTop="1" thickBot="1" x14ac:dyDescent="0.3">
      <c r="A1610" s="88"/>
      <c r="B1610" s="36" t="s">
        <v>249</v>
      </c>
      <c r="C1610" s="30">
        <v>0</v>
      </c>
      <c r="D1610" s="49" t="s">
        <v>250</v>
      </c>
      <c r="E1610" s="50">
        <f>E1607/12</f>
        <v>0</v>
      </c>
      <c r="F1610" s="88"/>
      <c r="G1610" s="321" t="s">
        <v>251</v>
      </c>
      <c r="H1610" s="51" t="s">
        <v>252</v>
      </c>
      <c r="I1610" s="112">
        <f>E1609</f>
        <v>0</v>
      </c>
      <c r="J1610" s="323" t="s">
        <v>253</v>
      </c>
      <c r="K1610" s="324"/>
      <c r="L1610" s="325"/>
      <c r="M1610" s="52" t="s">
        <v>254</v>
      </c>
      <c r="N1610" s="106"/>
      <c r="O1610" s="106"/>
      <c r="P1610" s="191"/>
      <c r="Q1610" s="191"/>
      <c r="R1610" s="191"/>
      <c r="S1610" s="191"/>
      <c r="T1610" s="191"/>
      <c r="U1610" s="191"/>
      <c r="V1610" s="191"/>
      <c r="W1610" s="53">
        <f>SUM(P1610:U1610)</f>
        <v>0</v>
      </c>
      <c r="X1610" s="54"/>
      <c r="Y1610" s="25"/>
      <c r="Z1610" s="45">
        <v>3</v>
      </c>
      <c r="AA1610" s="46">
        <v>25</v>
      </c>
      <c r="AB1610" s="46">
        <v>36</v>
      </c>
      <c r="AC1610" s="25"/>
      <c r="AD1610" s="25"/>
      <c r="BA1610" s="226"/>
    </row>
    <row r="1611" spans="1:53" ht="16.5" thickTop="1" thickBot="1" x14ac:dyDescent="0.3">
      <c r="A1611" s="88"/>
      <c r="B1611" s="36" t="s">
        <v>255</v>
      </c>
      <c r="C1611" s="30">
        <v>0</v>
      </c>
      <c r="D1611" s="31" t="s">
        <v>256</v>
      </c>
      <c r="E1611" s="101" t="str">
        <f>IF('Cable Calculator'!GQ5="","",'Cable Calculator'!GQ5)</f>
        <v/>
      </c>
      <c r="F1611" s="88"/>
      <c r="G1611" s="322"/>
      <c r="H1611" s="47" t="s">
        <v>257</v>
      </c>
      <c r="I1611" s="35" t="str">
        <f>IF(E1609="","0",IF(AND(E1606="EUC",E1607=432), I1610+(203-E1608),IF(E1609=0,0,(E1609+(E1607-E1608)-1))))</f>
        <v>0</v>
      </c>
      <c r="J1611" s="286" t="str">
        <f>IFERROR(IF(OR(E1606="EUC",E1606="SS"),"---",IF(OR(P1605,S1605),"NO 2F Tethers for RPX!",IF(OR(P1607,S1607),"NO 6F Tethers for RPX!","---"))),"---")</f>
        <v>---</v>
      </c>
      <c r="K1611" s="287"/>
      <c r="L1611" s="288"/>
      <c r="M1611" s="286" t="str">
        <f>IF(E1608&gt;60,"Dead Count &gt;60: Consider Downsize","---")</f>
        <v>---</v>
      </c>
      <c r="N1611" s="287"/>
      <c r="O1611" s="287"/>
      <c r="P1611" s="287"/>
      <c r="Q1611" s="287"/>
      <c r="R1611" s="287"/>
      <c r="S1611" s="287"/>
      <c r="T1611" s="287"/>
      <c r="U1611" s="288"/>
      <c r="V1611" s="100"/>
      <c r="W1611" s="54">
        <f>SUM(P1611:U1611)</f>
        <v>0</v>
      </c>
      <c r="X1611" s="54"/>
      <c r="Y1611" s="25"/>
      <c r="Z1611" s="45">
        <v>4</v>
      </c>
      <c r="AA1611" s="46">
        <v>37</v>
      </c>
      <c r="AB1611" s="46">
        <v>48</v>
      </c>
      <c r="AC1611" s="25"/>
      <c r="AD1611" s="25"/>
      <c r="BA1611" s="226"/>
    </row>
    <row r="1612" spans="1:53" ht="16.5" thickTop="1" thickBot="1" x14ac:dyDescent="0.3">
      <c r="A1612" s="88"/>
      <c r="B1612" s="55" t="s">
        <v>258</v>
      </c>
      <c r="C1612" s="56">
        <f>SUM(C1606:C1611)+I1605</f>
        <v>0</v>
      </c>
      <c r="D1612" s="31" t="s">
        <v>259</v>
      </c>
      <c r="E1612" s="101" t="str">
        <f>IF(AS1606="Y","DBL",IF(AS1607="Y","TRPL",IF(AS1608="Y","QUAD","")))</f>
        <v/>
      </c>
      <c r="F1612" s="88"/>
      <c r="G1612" s="191"/>
      <c r="H1612" s="57"/>
      <c r="I1612" s="191"/>
      <c r="J1612" s="286"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7"/>
      <c r="L1612" s="288"/>
      <c r="M1612" s="286" t="str">
        <f>IF(AND(OR(E1606="SS",E1606="RPX",E1606="EUC",E1606="RPX-T"),(OR(C1616="",C1616="Field SPL"))),"Cannot have FlexNap cables without tethers","---")</f>
        <v>---</v>
      </c>
      <c r="N1612" s="287"/>
      <c r="O1612" s="287"/>
      <c r="P1612" s="287"/>
      <c r="Q1612" s="287"/>
      <c r="R1612" s="287"/>
      <c r="S1612" s="287"/>
      <c r="T1612" s="287"/>
      <c r="U1612" s="288"/>
      <c r="V1612" s="25"/>
      <c r="W1612" s="58"/>
      <c r="X1612" s="58"/>
      <c r="Y1612" s="25"/>
      <c r="Z1612" s="45">
        <v>5</v>
      </c>
      <c r="AA1612" s="46">
        <v>49</v>
      </c>
      <c r="AB1612" s="46">
        <v>60</v>
      </c>
      <c r="AC1612" s="25"/>
      <c r="AD1612" s="25"/>
      <c r="BA1612" s="226"/>
    </row>
    <row r="1613" spans="1:53" ht="16.5" thickTop="1" thickBot="1" x14ac:dyDescent="0.3">
      <c r="A1613" s="88"/>
      <c r="B1613" s="59"/>
      <c r="C1613" s="60"/>
      <c r="D1613" s="61"/>
      <c r="E1613" s="62"/>
      <c r="F1613" s="88"/>
      <c r="G1613" s="63"/>
      <c r="H1613" s="64"/>
      <c r="I1613" s="63"/>
      <c r="J1613" s="286" t="str">
        <f>IF(AND(OR(E1606="RPX", E1606="RPX-T", E1606="SS"),E1607=216),"NO 216 For RPX, RPX-T, OR SS CABLE","---")</f>
        <v>---</v>
      </c>
      <c r="K1613" s="287"/>
      <c r="L1613" s="288"/>
      <c r="M1613" s="286" t="str" cm="1">
        <f t="array" ref="M1613">IF(AND(E1606="",OR(C1616:C1640="FST",C1616:C1640="REV T",C1616:C1640="DBL REV",C1616:C1640="TPL REV", C1616:C1640="QD REV")),"Non-FlexNap cables cannot have tethers","---")</f>
        <v>---</v>
      </c>
      <c r="N1613" s="287"/>
      <c r="O1613" s="287"/>
      <c r="P1613" s="287"/>
      <c r="Q1613" s="287"/>
      <c r="R1613" s="287"/>
      <c r="S1613" s="287"/>
      <c r="T1613" s="287"/>
      <c r="U1613" s="288"/>
      <c r="V1613" s="25"/>
      <c r="W1613" s="58"/>
      <c r="X1613" s="58"/>
      <c r="Y1613" s="25"/>
      <c r="Z1613" s="45">
        <v>6</v>
      </c>
      <c r="AA1613" s="65">
        <v>61</v>
      </c>
      <c r="AB1613" s="65">
        <v>72</v>
      </c>
      <c r="AC1613" s="25"/>
      <c r="AD1613" s="25"/>
      <c r="BA1613" s="225"/>
    </row>
    <row r="1614" spans="1:53" ht="15.75" customHeight="1" thickBot="1" x14ac:dyDescent="0.3">
      <c r="A1614" s="88"/>
      <c r="B1614" s="321" t="s">
        <v>260</v>
      </c>
      <c r="C1614" s="293" t="s">
        <v>261</v>
      </c>
      <c r="D1614" s="293" t="s">
        <v>262</v>
      </c>
      <c r="E1614" s="306" t="s">
        <v>263</v>
      </c>
      <c r="F1614" s="293" t="s">
        <v>264</v>
      </c>
      <c r="G1614" s="308" t="s">
        <v>265</v>
      </c>
      <c r="H1614" s="308" t="s">
        <v>266</v>
      </c>
      <c r="I1614" s="308" t="s">
        <v>267</v>
      </c>
      <c r="J1614" s="310" t="s">
        <v>268</v>
      </c>
      <c r="K1614" s="293" t="s">
        <v>269</v>
      </c>
      <c r="L1614" s="280" t="s">
        <v>270</v>
      </c>
      <c r="M1614" s="282" t="s">
        <v>271</v>
      </c>
      <c r="N1614" s="282"/>
      <c r="O1614" s="282"/>
      <c r="P1614" s="282"/>
      <c r="Q1614" s="282"/>
      <c r="R1614" s="282"/>
      <c r="S1614" s="282"/>
      <c r="T1614" s="282"/>
      <c r="U1614" s="283"/>
      <c r="V1614" s="107"/>
      <c r="W1614" s="72"/>
      <c r="X1614" s="72"/>
      <c r="Y1614" s="72"/>
      <c r="Z1614" s="45">
        <v>7</v>
      </c>
      <c r="AA1614" s="65">
        <v>73</v>
      </c>
      <c r="AB1614" s="65">
        <v>84</v>
      </c>
      <c r="AC1614" s="25"/>
      <c r="AD1614" s="25"/>
      <c r="BA1614" s="227"/>
    </row>
    <row r="1615" spans="1:53" ht="15.75" thickBot="1" x14ac:dyDescent="0.3">
      <c r="A1615" s="88"/>
      <c r="B1615" s="322"/>
      <c r="C1615" s="294"/>
      <c r="D1615" s="294"/>
      <c r="E1615" s="307"/>
      <c r="F1615" s="294"/>
      <c r="G1615" s="309"/>
      <c r="H1615" s="309"/>
      <c r="I1615" s="309"/>
      <c r="J1615" s="311"/>
      <c r="K1615" s="294"/>
      <c r="L1615" s="281"/>
      <c r="M1615" s="284"/>
      <c r="N1615" s="284"/>
      <c r="O1615" s="284"/>
      <c r="P1615" s="284"/>
      <c r="Q1615" s="284"/>
      <c r="R1615" s="284"/>
      <c r="S1615" s="284"/>
      <c r="T1615" s="284"/>
      <c r="U1615" s="285"/>
      <c r="V1615" s="107"/>
      <c r="W1615" s="72"/>
      <c r="X1615" s="72"/>
      <c r="Y1615" s="72"/>
      <c r="Z1615" s="45">
        <v>8</v>
      </c>
      <c r="AA1615" s="46">
        <v>85</v>
      </c>
      <c r="AB1615" s="46">
        <v>96</v>
      </c>
      <c r="AC1615" s="25"/>
      <c r="AD1615" s="25"/>
      <c r="AI1615" s="109" t="s">
        <v>272</v>
      </c>
      <c r="AJ1615" s="109" t="s">
        <v>273</v>
      </c>
      <c r="AK1615" s="109" t="s">
        <v>274</v>
      </c>
      <c r="AL1615" s="109" t="s">
        <v>275</v>
      </c>
      <c r="BA1615" s="227"/>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2"/>
      <c r="M1616" s="278"/>
      <c r="N1616" s="278"/>
      <c r="O1616" s="278"/>
      <c r="P1616" s="278"/>
      <c r="Q1616" s="278"/>
      <c r="R1616" s="278"/>
      <c r="S1616" s="278"/>
      <c r="T1616" s="278"/>
      <c r="U1616" s="279"/>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8">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2"/>
      <c r="M1617" s="278"/>
      <c r="N1617" s="278"/>
      <c r="O1617" s="278"/>
      <c r="P1617" s="278"/>
      <c r="Q1617" s="278"/>
      <c r="R1617" s="278"/>
      <c r="S1617" s="278"/>
      <c r="T1617" s="278"/>
      <c r="U1617" s="279"/>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8">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2"/>
      <c r="M1618" s="278"/>
      <c r="N1618" s="278"/>
      <c r="O1618" s="278"/>
      <c r="P1618" s="278"/>
      <c r="Q1618" s="278"/>
      <c r="R1618" s="278"/>
      <c r="S1618" s="278"/>
      <c r="T1618" s="278"/>
      <c r="U1618" s="279"/>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8">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2"/>
      <c r="M1619" s="278"/>
      <c r="N1619" s="278"/>
      <c r="O1619" s="278"/>
      <c r="P1619" s="278"/>
      <c r="Q1619" s="278"/>
      <c r="R1619" s="278"/>
      <c r="S1619" s="278"/>
      <c r="T1619" s="278"/>
      <c r="U1619" s="279"/>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8">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2"/>
      <c r="M1620" s="278"/>
      <c r="N1620" s="278"/>
      <c r="O1620" s="278"/>
      <c r="P1620" s="278"/>
      <c r="Q1620" s="278"/>
      <c r="R1620" s="278"/>
      <c r="S1620" s="278"/>
      <c r="T1620" s="278"/>
      <c r="U1620" s="279"/>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8">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2"/>
      <c r="M1621" s="278"/>
      <c r="N1621" s="278"/>
      <c r="O1621" s="278"/>
      <c r="P1621" s="278"/>
      <c r="Q1621" s="278"/>
      <c r="R1621" s="278"/>
      <c r="S1621" s="278"/>
      <c r="T1621" s="278"/>
      <c r="U1621" s="279"/>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8">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2"/>
      <c r="M1622" s="278"/>
      <c r="N1622" s="278"/>
      <c r="O1622" s="278"/>
      <c r="P1622" s="278"/>
      <c r="Q1622" s="278"/>
      <c r="R1622" s="278"/>
      <c r="S1622" s="278"/>
      <c r="T1622" s="278"/>
      <c r="U1622" s="279"/>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8">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2"/>
      <c r="M1623" s="278"/>
      <c r="N1623" s="278"/>
      <c r="O1623" s="278"/>
      <c r="P1623" s="278"/>
      <c r="Q1623" s="278"/>
      <c r="R1623" s="278"/>
      <c r="S1623" s="278"/>
      <c r="T1623" s="278"/>
      <c r="U1623" s="279"/>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8">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2"/>
      <c r="M1624" s="278"/>
      <c r="N1624" s="278"/>
      <c r="O1624" s="278"/>
      <c r="P1624" s="278"/>
      <c r="Q1624" s="278"/>
      <c r="R1624" s="278"/>
      <c r="S1624" s="278"/>
      <c r="T1624" s="278"/>
      <c r="U1624" s="279"/>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8">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2"/>
      <c r="M1625" s="278"/>
      <c r="N1625" s="278"/>
      <c r="O1625" s="278"/>
      <c r="P1625" s="278"/>
      <c r="Q1625" s="278"/>
      <c r="R1625" s="278"/>
      <c r="S1625" s="278"/>
      <c r="T1625" s="278"/>
      <c r="U1625" s="279"/>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8">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2"/>
      <c r="M1626" s="278"/>
      <c r="N1626" s="278"/>
      <c r="O1626" s="278"/>
      <c r="P1626" s="278"/>
      <c r="Q1626" s="278"/>
      <c r="R1626" s="278"/>
      <c r="S1626" s="278"/>
      <c r="T1626" s="278"/>
      <c r="U1626" s="279"/>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8">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2"/>
      <c r="M1627" s="278"/>
      <c r="N1627" s="278"/>
      <c r="O1627" s="278"/>
      <c r="P1627" s="278"/>
      <c r="Q1627" s="278"/>
      <c r="R1627" s="278"/>
      <c r="S1627" s="278"/>
      <c r="T1627" s="278"/>
      <c r="U1627" s="279"/>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8">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2"/>
      <c r="M1628" s="278"/>
      <c r="N1628" s="278"/>
      <c r="O1628" s="278"/>
      <c r="P1628" s="278"/>
      <c r="Q1628" s="278"/>
      <c r="R1628" s="278"/>
      <c r="S1628" s="278"/>
      <c r="T1628" s="278"/>
      <c r="U1628" s="279"/>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8">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2"/>
      <c r="M1629" s="278"/>
      <c r="N1629" s="278"/>
      <c r="O1629" s="278"/>
      <c r="P1629" s="278"/>
      <c r="Q1629" s="278"/>
      <c r="R1629" s="278"/>
      <c r="S1629" s="278"/>
      <c r="T1629" s="278"/>
      <c r="U1629" s="279"/>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8">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2"/>
      <c r="M1630" s="278"/>
      <c r="N1630" s="278"/>
      <c r="O1630" s="278"/>
      <c r="P1630" s="278"/>
      <c r="Q1630" s="278"/>
      <c r="R1630" s="278"/>
      <c r="S1630" s="278"/>
      <c r="T1630" s="278"/>
      <c r="U1630" s="279"/>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8">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2"/>
      <c r="M1631" s="278"/>
      <c r="N1631" s="278"/>
      <c r="O1631" s="278"/>
      <c r="P1631" s="278"/>
      <c r="Q1631" s="278"/>
      <c r="R1631" s="278"/>
      <c r="S1631" s="278"/>
      <c r="T1631" s="278"/>
      <c r="U1631" s="279"/>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8">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2"/>
      <c r="M1632" s="278"/>
      <c r="N1632" s="278"/>
      <c r="O1632" s="278"/>
      <c r="P1632" s="278"/>
      <c r="Q1632" s="278"/>
      <c r="R1632" s="278"/>
      <c r="S1632" s="278"/>
      <c r="T1632" s="278"/>
      <c r="U1632" s="279"/>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8">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2"/>
      <c r="M1633" s="278"/>
      <c r="N1633" s="278"/>
      <c r="O1633" s="278"/>
      <c r="P1633" s="278"/>
      <c r="Q1633" s="278"/>
      <c r="R1633" s="278"/>
      <c r="S1633" s="278"/>
      <c r="T1633" s="278"/>
      <c r="U1633" s="279"/>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8">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2"/>
      <c r="M1634" s="278"/>
      <c r="N1634" s="278"/>
      <c r="O1634" s="278"/>
      <c r="P1634" s="278"/>
      <c r="Q1634" s="278"/>
      <c r="R1634" s="278"/>
      <c r="S1634" s="278"/>
      <c r="T1634" s="278"/>
      <c r="U1634" s="279"/>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8">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2"/>
      <c r="M1635" s="278"/>
      <c r="N1635" s="278"/>
      <c r="O1635" s="278"/>
      <c r="P1635" s="278"/>
      <c r="Q1635" s="278"/>
      <c r="R1635" s="278"/>
      <c r="S1635" s="278"/>
      <c r="T1635" s="278"/>
      <c r="U1635" s="279"/>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8">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2"/>
      <c r="M1636" s="278"/>
      <c r="N1636" s="278"/>
      <c r="O1636" s="278"/>
      <c r="P1636" s="278"/>
      <c r="Q1636" s="278"/>
      <c r="R1636" s="278"/>
      <c r="S1636" s="278"/>
      <c r="T1636" s="278"/>
      <c r="U1636" s="279"/>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8">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2"/>
      <c r="M1637" s="278"/>
      <c r="N1637" s="278"/>
      <c r="O1637" s="278"/>
      <c r="P1637" s="278"/>
      <c r="Q1637" s="278"/>
      <c r="R1637" s="278"/>
      <c r="S1637" s="278"/>
      <c r="T1637" s="278"/>
      <c r="U1637" s="279"/>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8">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2"/>
      <c r="M1638" s="278"/>
      <c r="N1638" s="278"/>
      <c r="O1638" s="278"/>
      <c r="P1638" s="278"/>
      <c r="Q1638" s="278"/>
      <c r="R1638" s="278"/>
      <c r="S1638" s="278"/>
      <c r="T1638" s="278"/>
      <c r="U1638" s="279"/>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8">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2"/>
      <c r="M1639" s="278"/>
      <c r="N1639" s="278"/>
      <c r="O1639" s="278"/>
      <c r="P1639" s="278"/>
      <c r="Q1639" s="278"/>
      <c r="R1639" s="278"/>
      <c r="S1639" s="278"/>
      <c r="T1639" s="278"/>
      <c r="U1639" s="279"/>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8">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3"/>
      <c r="M1640" s="278"/>
      <c r="N1640" s="278"/>
      <c r="O1640" s="278"/>
      <c r="P1640" s="278"/>
      <c r="Q1640" s="278"/>
      <c r="R1640" s="278"/>
      <c r="S1640" s="278"/>
      <c r="T1640" s="278"/>
      <c r="U1640" s="279"/>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7"/>
    </row>
    <row r="1641" spans="1:53" ht="16.5" thickBot="1" x14ac:dyDescent="0.3">
      <c r="A1641" s="88"/>
      <c r="B1641" s="319" t="s">
        <v>383</v>
      </c>
      <c r="C1641" s="320"/>
      <c r="D1641" s="79"/>
      <c r="E1641" s="80"/>
      <c r="F1641" s="80"/>
      <c r="G1641" s="81"/>
      <c r="H1641" s="191"/>
      <c r="I1641" s="191"/>
      <c r="J1641" s="191"/>
      <c r="K1641" s="82"/>
      <c r="L1641" s="319" t="s">
        <v>306</v>
      </c>
      <c r="M1641" s="330"/>
      <c r="N1641" s="330"/>
      <c r="O1641" s="330"/>
      <c r="P1641" s="330"/>
      <c r="Q1641" s="330"/>
      <c r="R1641" s="330"/>
      <c r="S1641" s="330"/>
      <c r="T1641" s="330"/>
      <c r="U1641" s="320"/>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7"/>
    </row>
    <row r="1642" spans="1:53" ht="16.5" thickBot="1" x14ac:dyDescent="0.3">
      <c r="A1642" s="88"/>
      <c r="B1642" s="319" t="s">
        <v>307</v>
      </c>
      <c r="C1642" s="320"/>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5"/>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5" t="s">
        <v>210</v>
      </c>
      <c r="N1645" s="195" t="s">
        <v>211</v>
      </c>
      <c r="O1645" s="195" t="s">
        <v>212</v>
      </c>
      <c r="P1645" s="195" t="s">
        <v>213</v>
      </c>
      <c r="Q1645" s="195" t="s">
        <v>214</v>
      </c>
      <c r="R1645" s="195" t="s">
        <v>215</v>
      </c>
      <c r="S1645" s="195" t="s">
        <v>216</v>
      </c>
      <c r="T1645" s="195" t="s">
        <v>217</v>
      </c>
      <c r="U1645" s="195" t="s">
        <v>218</v>
      </c>
      <c r="V1645" s="195" t="s">
        <v>219</v>
      </c>
      <c r="W1645" s="113" t="s">
        <v>220</v>
      </c>
      <c r="X1645" s="195" t="s">
        <v>221</v>
      </c>
      <c r="Y1645" s="25"/>
      <c r="Z1645" s="25"/>
      <c r="AA1645" s="25"/>
      <c r="AB1645" s="25"/>
      <c r="AC1645" s="25"/>
      <c r="AD1645" s="25"/>
      <c r="BA1645" s="225"/>
    </row>
    <row r="1646" spans="1:53" ht="16.5" thickTop="1" thickBot="1" x14ac:dyDescent="0.3">
      <c r="A1646" s="88"/>
      <c r="B1646" s="312" t="s">
        <v>222</v>
      </c>
      <c r="C1646" s="313"/>
      <c r="D1646" s="314" t="s">
        <v>223</v>
      </c>
      <c r="E1646" s="305"/>
      <c r="F1646" s="88"/>
      <c r="G1646" s="315" t="s">
        <v>224</v>
      </c>
      <c r="H1646" s="316"/>
      <c r="I1646" s="28">
        <f>SUM(E1657:E1681)</f>
        <v>0</v>
      </c>
      <c r="J1646" s="317" t="s">
        <v>225</v>
      </c>
      <c r="K1646" s="318"/>
      <c r="L1646" s="305"/>
      <c r="M1646" s="195">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5" t="s">
        <v>226</v>
      </c>
      <c r="AA1646" s="296"/>
      <c r="AB1646" s="297"/>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5"/>
    </row>
    <row r="1647" spans="1:53" ht="16.5" customHeight="1" thickTop="1" thickBot="1" x14ac:dyDescent="0.3">
      <c r="A1647" s="88"/>
      <c r="B1647" s="29" t="s">
        <v>228</v>
      </c>
      <c r="C1647" s="30">
        <v>0</v>
      </c>
      <c r="D1647" s="31" t="s">
        <v>229</v>
      </c>
      <c r="E1647" s="66" t="str">
        <f>TEXT(IF('Cable Calculator'!GV7="","",'Cable Calculator'!GV7),)</f>
        <v/>
      </c>
      <c r="F1647" s="88"/>
      <c r="G1647" s="304" t="s">
        <v>230</v>
      </c>
      <c r="H1647" s="305"/>
      <c r="I1647" s="33">
        <f>E1648-I1646</f>
        <v>0</v>
      </c>
      <c r="J1647" s="289" t="s">
        <v>231</v>
      </c>
      <c r="K1647" s="290"/>
      <c r="L1647" s="34">
        <f>I1651</f>
        <v>0</v>
      </c>
      <c r="M1647" s="195">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8" t="s">
        <v>232</v>
      </c>
      <c r="AA1647" s="300" t="s">
        <v>233</v>
      </c>
      <c r="AB1647" s="301"/>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6"/>
    </row>
    <row r="1648" spans="1:53" ht="16.5" thickTop="1" thickBot="1" x14ac:dyDescent="0.3">
      <c r="A1648" s="88"/>
      <c r="B1648" s="36" t="s">
        <v>235</v>
      </c>
      <c r="C1648" s="37">
        <v>0</v>
      </c>
      <c r="D1648" s="38" t="s">
        <v>236</v>
      </c>
      <c r="E1648" s="32"/>
      <c r="F1648" s="88"/>
      <c r="G1648" s="291" t="s">
        <v>237</v>
      </c>
      <c r="H1648" s="292"/>
      <c r="I1648" s="35">
        <f>IF(E1648=0,0,12-(MOD(I1646,12)))</f>
        <v>0</v>
      </c>
      <c r="J1648" s="289" t="s">
        <v>238</v>
      </c>
      <c r="K1648" s="290"/>
      <c r="L1648" s="39">
        <f>I1652-I1646</f>
        <v>0</v>
      </c>
      <c r="M1648" s="195">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9"/>
      <c r="AA1648" s="302"/>
      <c r="AB1648" s="303"/>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6"/>
    </row>
    <row r="1649" spans="1:53" ht="16.5" customHeight="1" thickTop="1" thickBot="1" x14ac:dyDescent="0.3">
      <c r="A1649" s="88"/>
      <c r="B1649" s="40" t="s">
        <v>240</v>
      </c>
      <c r="C1649" s="30">
        <v>0</v>
      </c>
      <c r="D1649" s="41" t="s">
        <v>241</v>
      </c>
      <c r="E1649" s="42"/>
      <c r="F1649" s="88"/>
      <c r="G1649" s="321" t="s">
        <v>242</v>
      </c>
      <c r="H1649" s="43" t="s">
        <v>243</v>
      </c>
      <c r="I1649" s="35">
        <f>IF(E1649&lt;&gt;0,1,0)</f>
        <v>0</v>
      </c>
      <c r="J1649" s="291" t="s">
        <v>244</v>
      </c>
      <c r="K1649" s="292"/>
      <c r="L1649" s="44" t="str">
        <f>'Cable Calculator'!GV3</f>
        <v/>
      </c>
      <c r="M1649" s="195">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6"/>
    </row>
    <row r="1650" spans="1:53" ht="16.5" thickTop="1" thickBot="1" x14ac:dyDescent="0.3">
      <c r="A1650" s="88"/>
      <c r="B1650" s="29" t="s">
        <v>246</v>
      </c>
      <c r="C1650" s="37">
        <v>0</v>
      </c>
      <c r="D1650" s="41" t="s">
        <v>247</v>
      </c>
      <c r="E1650" s="42"/>
      <c r="F1650" s="88"/>
      <c r="G1650" s="322"/>
      <c r="H1650" s="47" t="s">
        <v>248</v>
      </c>
      <c r="I1650" s="35">
        <f>IF(E1649&lt;&gt;0,E1649,0)</f>
        <v>0</v>
      </c>
      <c r="J1650" s="193"/>
      <c r="K1650" s="194"/>
      <c r="L1650" s="48"/>
      <c r="M1650" s="195">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6"/>
    </row>
    <row r="1651" spans="1:53" ht="16.5" customHeight="1" thickTop="1" thickBot="1" x14ac:dyDescent="0.3">
      <c r="A1651" s="88"/>
      <c r="B1651" s="36" t="s">
        <v>249</v>
      </c>
      <c r="C1651" s="30">
        <v>0</v>
      </c>
      <c r="D1651" s="49" t="s">
        <v>250</v>
      </c>
      <c r="E1651" s="50">
        <f>E1648/12</f>
        <v>0</v>
      </c>
      <c r="F1651" s="88"/>
      <c r="G1651" s="321" t="s">
        <v>251</v>
      </c>
      <c r="H1651" s="51" t="s">
        <v>252</v>
      </c>
      <c r="I1651" s="112">
        <f>E1650</f>
        <v>0</v>
      </c>
      <c r="J1651" s="323" t="s">
        <v>253</v>
      </c>
      <c r="K1651" s="324"/>
      <c r="L1651" s="325"/>
      <c r="M1651" s="52" t="s">
        <v>254</v>
      </c>
      <c r="N1651" s="106"/>
      <c r="O1651" s="106"/>
      <c r="P1651" s="191"/>
      <c r="Q1651" s="191"/>
      <c r="R1651" s="191"/>
      <c r="S1651" s="191"/>
      <c r="T1651" s="191"/>
      <c r="U1651" s="191"/>
      <c r="V1651" s="191"/>
      <c r="W1651" s="53">
        <f>SUM(P1651:U1651)</f>
        <v>0</v>
      </c>
      <c r="X1651" s="54"/>
      <c r="Y1651" s="25"/>
      <c r="Z1651" s="45">
        <v>3</v>
      </c>
      <c r="AA1651" s="46">
        <v>25</v>
      </c>
      <c r="AB1651" s="46">
        <v>36</v>
      </c>
      <c r="AC1651" s="25"/>
      <c r="AD1651" s="25"/>
      <c r="BA1651" s="226"/>
    </row>
    <row r="1652" spans="1:53" ht="16.5" thickTop="1" thickBot="1" x14ac:dyDescent="0.3">
      <c r="A1652" s="88"/>
      <c r="B1652" s="36" t="s">
        <v>255</v>
      </c>
      <c r="C1652" s="30">
        <v>0</v>
      </c>
      <c r="D1652" s="31" t="s">
        <v>256</v>
      </c>
      <c r="E1652" s="101" t="str">
        <f>IF('Cable Calculator'!GV5="","",'Cable Calculator'!GV5)</f>
        <v/>
      </c>
      <c r="F1652" s="88"/>
      <c r="G1652" s="322"/>
      <c r="H1652" s="47" t="s">
        <v>257</v>
      </c>
      <c r="I1652" s="35" t="str">
        <f>IF(E1650="","0",IF(AND(E1647="EUC",E1648=432), I1651+(203-E1649),IF(E1650=0,0,(E1650+(E1648-E1649)-1))))</f>
        <v>0</v>
      </c>
      <c r="J1652" s="286" t="str">
        <f>IFERROR(IF(OR(E1647="EUC",E1647="SS"),"---",IF(OR(P1646,S1646),"NO 2F Tethers for RPX!",IF(OR(P1648,S1648),"NO 6F Tethers for RPX!","---"))),"---")</f>
        <v>---</v>
      </c>
      <c r="K1652" s="287"/>
      <c r="L1652" s="288"/>
      <c r="M1652" s="286" t="str">
        <f>IF(E1649&gt;60,"Dead Count &gt;60: Consider Downsize","---")</f>
        <v>---</v>
      </c>
      <c r="N1652" s="287"/>
      <c r="O1652" s="287"/>
      <c r="P1652" s="287"/>
      <c r="Q1652" s="287"/>
      <c r="R1652" s="287"/>
      <c r="S1652" s="287"/>
      <c r="T1652" s="287"/>
      <c r="U1652" s="288"/>
      <c r="V1652" s="100"/>
      <c r="W1652" s="54">
        <f>SUM(P1652:U1652)</f>
        <v>0</v>
      </c>
      <c r="X1652" s="54"/>
      <c r="Y1652" s="25"/>
      <c r="Z1652" s="45">
        <v>4</v>
      </c>
      <c r="AA1652" s="46">
        <v>37</v>
      </c>
      <c r="AB1652" s="46">
        <v>48</v>
      </c>
      <c r="AC1652" s="25"/>
      <c r="AD1652" s="25"/>
      <c r="BA1652" s="226"/>
    </row>
    <row r="1653" spans="1:53" ht="16.5" thickTop="1" thickBot="1" x14ac:dyDescent="0.3">
      <c r="A1653" s="88"/>
      <c r="B1653" s="55" t="s">
        <v>258</v>
      </c>
      <c r="C1653" s="56">
        <f>SUM(C1647:C1652)+I1646</f>
        <v>0</v>
      </c>
      <c r="D1653" s="31" t="s">
        <v>259</v>
      </c>
      <c r="E1653" s="101" t="str">
        <f>IF(AS1647="Y","DBL",IF(AS1648="Y","TRPL",IF(AS1649="Y","QUAD","")))</f>
        <v/>
      </c>
      <c r="F1653" s="88"/>
      <c r="G1653" s="191"/>
      <c r="H1653" s="57"/>
      <c r="I1653" s="191"/>
      <c r="J1653" s="286"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7"/>
      <c r="L1653" s="288"/>
      <c r="M1653" s="286" t="str">
        <f>IF(AND(OR(E1647="SS",E1647="RPX",E1647="EUC",E1647="RPX-T"),(OR(C1657="",C1657="Field SPL"))),"Cannot have FlexNap cables without tethers","---")</f>
        <v>---</v>
      </c>
      <c r="N1653" s="287"/>
      <c r="O1653" s="287"/>
      <c r="P1653" s="287"/>
      <c r="Q1653" s="287"/>
      <c r="R1653" s="287"/>
      <c r="S1653" s="287"/>
      <c r="T1653" s="287"/>
      <c r="U1653" s="288"/>
      <c r="V1653" s="25"/>
      <c r="W1653" s="58"/>
      <c r="X1653" s="58"/>
      <c r="Y1653" s="25"/>
      <c r="Z1653" s="45">
        <v>5</v>
      </c>
      <c r="AA1653" s="46">
        <v>49</v>
      </c>
      <c r="AB1653" s="46">
        <v>60</v>
      </c>
      <c r="AC1653" s="25"/>
      <c r="AD1653" s="25"/>
      <c r="BA1653" s="226"/>
    </row>
    <row r="1654" spans="1:53" ht="16.5" thickTop="1" thickBot="1" x14ac:dyDescent="0.3">
      <c r="A1654" s="88"/>
      <c r="B1654" s="59"/>
      <c r="C1654" s="60"/>
      <c r="D1654" s="61"/>
      <c r="E1654" s="62"/>
      <c r="F1654" s="88"/>
      <c r="G1654" s="63"/>
      <c r="H1654" s="64"/>
      <c r="I1654" s="63"/>
      <c r="J1654" s="286" t="str">
        <f>IF(AND(OR(E1647="RPX", E1647="RPX-T", E1647="SS"),E1648=216),"NO 216 For RPX, RPX-T, OR SS CABLE","---")</f>
        <v>---</v>
      </c>
      <c r="K1654" s="287"/>
      <c r="L1654" s="288"/>
      <c r="M1654" s="286" t="str" cm="1">
        <f t="array" ref="M1654">IF(AND(E1647="",OR(C1657:C1681="FST",C1657:C1681="REV T",C1657:C1681="DBL REV",C1657:C1681="TPL REV", C1657:C1681="QD REV")),"Non-FlexNap cables cannot have tethers","---")</f>
        <v>---</v>
      </c>
      <c r="N1654" s="287"/>
      <c r="O1654" s="287"/>
      <c r="P1654" s="287"/>
      <c r="Q1654" s="287"/>
      <c r="R1654" s="287"/>
      <c r="S1654" s="287"/>
      <c r="T1654" s="287"/>
      <c r="U1654" s="288"/>
      <c r="V1654" s="25"/>
      <c r="W1654" s="58"/>
      <c r="X1654" s="58"/>
      <c r="Y1654" s="25"/>
      <c r="Z1654" s="45">
        <v>6</v>
      </c>
      <c r="AA1654" s="65">
        <v>61</v>
      </c>
      <c r="AB1654" s="65">
        <v>72</v>
      </c>
      <c r="AC1654" s="25"/>
      <c r="AD1654" s="25"/>
      <c r="BA1654" s="225"/>
    </row>
    <row r="1655" spans="1:53" ht="15.75" customHeight="1" thickBot="1" x14ac:dyDescent="0.3">
      <c r="A1655" s="88"/>
      <c r="B1655" s="321" t="s">
        <v>260</v>
      </c>
      <c r="C1655" s="293" t="s">
        <v>261</v>
      </c>
      <c r="D1655" s="293" t="s">
        <v>262</v>
      </c>
      <c r="E1655" s="306" t="s">
        <v>263</v>
      </c>
      <c r="F1655" s="293" t="s">
        <v>264</v>
      </c>
      <c r="G1655" s="308" t="s">
        <v>265</v>
      </c>
      <c r="H1655" s="308" t="s">
        <v>266</v>
      </c>
      <c r="I1655" s="308" t="s">
        <v>267</v>
      </c>
      <c r="J1655" s="310" t="s">
        <v>268</v>
      </c>
      <c r="K1655" s="293" t="s">
        <v>269</v>
      </c>
      <c r="L1655" s="280" t="s">
        <v>270</v>
      </c>
      <c r="M1655" s="282" t="s">
        <v>271</v>
      </c>
      <c r="N1655" s="282"/>
      <c r="O1655" s="282"/>
      <c r="P1655" s="282"/>
      <c r="Q1655" s="282"/>
      <c r="R1655" s="282"/>
      <c r="S1655" s="282"/>
      <c r="T1655" s="282"/>
      <c r="U1655" s="283"/>
      <c r="V1655" s="107"/>
      <c r="W1655" s="72"/>
      <c r="X1655" s="72"/>
      <c r="Y1655" s="72"/>
      <c r="Z1655" s="45">
        <v>7</v>
      </c>
      <c r="AA1655" s="65">
        <v>73</v>
      </c>
      <c r="AB1655" s="65">
        <v>84</v>
      </c>
      <c r="AC1655" s="25"/>
      <c r="AD1655" s="25"/>
      <c r="BA1655" s="227"/>
    </row>
    <row r="1656" spans="1:53" ht="15.75" thickBot="1" x14ac:dyDescent="0.3">
      <c r="A1656" s="88"/>
      <c r="B1656" s="322"/>
      <c r="C1656" s="294"/>
      <c r="D1656" s="294"/>
      <c r="E1656" s="307"/>
      <c r="F1656" s="294"/>
      <c r="G1656" s="309"/>
      <c r="H1656" s="309"/>
      <c r="I1656" s="309"/>
      <c r="J1656" s="311"/>
      <c r="K1656" s="294"/>
      <c r="L1656" s="281"/>
      <c r="M1656" s="284"/>
      <c r="N1656" s="284"/>
      <c r="O1656" s="284"/>
      <c r="P1656" s="284"/>
      <c r="Q1656" s="284"/>
      <c r="R1656" s="284"/>
      <c r="S1656" s="284"/>
      <c r="T1656" s="284"/>
      <c r="U1656" s="285"/>
      <c r="V1656" s="107"/>
      <c r="W1656" s="72"/>
      <c r="X1656" s="72"/>
      <c r="Y1656" s="72"/>
      <c r="Z1656" s="45">
        <v>8</v>
      </c>
      <c r="AA1656" s="46">
        <v>85</v>
      </c>
      <c r="AB1656" s="46">
        <v>96</v>
      </c>
      <c r="AC1656" s="25"/>
      <c r="AD1656" s="25"/>
      <c r="AI1656" s="109" t="s">
        <v>272</v>
      </c>
      <c r="AJ1656" s="109" t="s">
        <v>273</v>
      </c>
      <c r="AK1656" s="109" t="s">
        <v>274</v>
      </c>
      <c r="AL1656" s="109" t="s">
        <v>275</v>
      </c>
      <c r="BA1656" s="227"/>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2"/>
      <c r="M1657" s="278"/>
      <c r="N1657" s="278"/>
      <c r="O1657" s="278"/>
      <c r="P1657" s="278"/>
      <c r="Q1657" s="278"/>
      <c r="R1657" s="278"/>
      <c r="S1657" s="278"/>
      <c r="T1657" s="278"/>
      <c r="U1657" s="279"/>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8">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2"/>
      <c r="M1658" s="278"/>
      <c r="N1658" s="278"/>
      <c r="O1658" s="278"/>
      <c r="P1658" s="278"/>
      <c r="Q1658" s="278"/>
      <c r="R1658" s="278"/>
      <c r="S1658" s="278"/>
      <c r="T1658" s="278"/>
      <c r="U1658" s="279"/>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8">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2"/>
      <c r="M1659" s="278"/>
      <c r="N1659" s="278"/>
      <c r="O1659" s="278"/>
      <c r="P1659" s="278"/>
      <c r="Q1659" s="278"/>
      <c r="R1659" s="278"/>
      <c r="S1659" s="278"/>
      <c r="T1659" s="278"/>
      <c r="U1659" s="279"/>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8">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2"/>
      <c r="M1660" s="278"/>
      <c r="N1660" s="278"/>
      <c r="O1660" s="278"/>
      <c r="P1660" s="278"/>
      <c r="Q1660" s="278"/>
      <c r="R1660" s="278"/>
      <c r="S1660" s="278"/>
      <c r="T1660" s="278"/>
      <c r="U1660" s="279"/>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8">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2"/>
      <c r="M1661" s="278"/>
      <c r="N1661" s="278"/>
      <c r="O1661" s="278"/>
      <c r="P1661" s="278"/>
      <c r="Q1661" s="278"/>
      <c r="R1661" s="278"/>
      <c r="S1661" s="278"/>
      <c r="T1661" s="278"/>
      <c r="U1661" s="279"/>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8">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2"/>
      <c r="M1662" s="278"/>
      <c r="N1662" s="278"/>
      <c r="O1662" s="278"/>
      <c r="P1662" s="278"/>
      <c r="Q1662" s="278"/>
      <c r="R1662" s="278"/>
      <c r="S1662" s="278"/>
      <c r="T1662" s="278"/>
      <c r="U1662" s="279"/>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8">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2"/>
      <c r="M1663" s="278"/>
      <c r="N1663" s="278"/>
      <c r="O1663" s="278"/>
      <c r="P1663" s="278"/>
      <c r="Q1663" s="278"/>
      <c r="R1663" s="278"/>
      <c r="S1663" s="278"/>
      <c r="T1663" s="278"/>
      <c r="U1663" s="279"/>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8">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2"/>
      <c r="M1664" s="278"/>
      <c r="N1664" s="278"/>
      <c r="O1664" s="278"/>
      <c r="P1664" s="278"/>
      <c r="Q1664" s="278"/>
      <c r="R1664" s="278"/>
      <c r="S1664" s="278"/>
      <c r="T1664" s="278"/>
      <c r="U1664" s="279"/>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8">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2"/>
      <c r="M1665" s="278"/>
      <c r="N1665" s="278"/>
      <c r="O1665" s="278"/>
      <c r="P1665" s="278"/>
      <c r="Q1665" s="278"/>
      <c r="R1665" s="278"/>
      <c r="S1665" s="278"/>
      <c r="T1665" s="278"/>
      <c r="U1665" s="279"/>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8">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2"/>
      <c r="M1666" s="278"/>
      <c r="N1666" s="278"/>
      <c r="O1666" s="278"/>
      <c r="P1666" s="278"/>
      <c r="Q1666" s="278"/>
      <c r="R1666" s="278"/>
      <c r="S1666" s="278"/>
      <c r="T1666" s="278"/>
      <c r="U1666" s="279"/>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8">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2"/>
      <c r="M1667" s="278"/>
      <c r="N1667" s="278"/>
      <c r="O1667" s="278"/>
      <c r="P1667" s="278"/>
      <c r="Q1667" s="278"/>
      <c r="R1667" s="278"/>
      <c r="S1667" s="278"/>
      <c r="T1667" s="278"/>
      <c r="U1667" s="279"/>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8">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2"/>
      <c r="M1668" s="278"/>
      <c r="N1668" s="278"/>
      <c r="O1668" s="278"/>
      <c r="P1668" s="278"/>
      <c r="Q1668" s="278"/>
      <c r="R1668" s="278"/>
      <c r="S1668" s="278"/>
      <c r="T1668" s="278"/>
      <c r="U1668" s="279"/>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8">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2"/>
      <c r="M1669" s="278"/>
      <c r="N1669" s="278"/>
      <c r="O1669" s="278"/>
      <c r="P1669" s="278"/>
      <c r="Q1669" s="278"/>
      <c r="R1669" s="278"/>
      <c r="S1669" s="278"/>
      <c r="T1669" s="278"/>
      <c r="U1669" s="279"/>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8">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2"/>
      <c r="M1670" s="278"/>
      <c r="N1670" s="278"/>
      <c r="O1670" s="278"/>
      <c r="P1670" s="278"/>
      <c r="Q1670" s="278"/>
      <c r="R1670" s="278"/>
      <c r="S1670" s="278"/>
      <c r="T1670" s="278"/>
      <c r="U1670" s="279"/>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8">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2"/>
      <c r="M1671" s="278"/>
      <c r="N1671" s="278"/>
      <c r="O1671" s="278"/>
      <c r="P1671" s="278"/>
      <c r="Q1671" s="278"/>
      <c r="R1671" s="278"/>
      <c r="S1671" s="278"/>
      <c r="T1671" s="278"/>
      <c r="U1671" s="279"/>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8">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2"/>
      <c r="M1672" s="278"/>
      <c r="N1672" s="278"/>
      <c r="O1672" s="278"/>
      <c r="P1672" s="278"/>
      <c r="Q1672" s="278"/>
      <c r="R1672" s="278"/>
      <c r="S1672" s="278"/>
      <c r="T1672" s="278"/>
      <c r="U1672" s="279"/>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8">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2"/>
      <c r="M1673" s="278"/>
      <c r="N1673" s="278"/>
      <c r="O1673" s="278"/>
      <c r="P1673" s="278"/>
      <c r="Q1673" s="278"/>
      <c r="R1673" s="278"/>
      <c r="S1673" s="278"/>
      <c r="T1673" s="278"/>
      <c r="U1673" s="279"/>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8">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2"/>
      <c r="M1674" s="278"/>
      <c r="N1674" s="278"/>
      <c r="O1674" s="278"/>
      <c r="P1674" s="278"/>
      <c r="Q1674" s="278"/>
      <c r="R1674" s="278"/>
      <c r="S1674" s="278"/>
      <c r="T1674" s="278"/>
      <c r="U1674" s="279"/>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8">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2"/>
      <c r="M1675" s="278"/>
      <c r="N1675" s="278"/>
      <c r="O1675" s="278"/>
      <c r="P1675" s="278"/>
      <c r="Q1675" s="278"/>
      <c r="R1675" s="278"/>
      <c r="S1675" s="278"/>
      <c r="T1675" s="278"/>
      <c r="U1675" s="279"/>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8">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2"/>
      <c r="M1676" s="278"/>
      <c r="N1676" s="278"/>
      <c r="O1676" s="278"/>
      <c r="P1676" s="278"/>
      <c r="Q1676" s="278"/>
      <c r="R1676" s="278"/>
      <c r="S1676" s="278"/>
      <c r="T1676" s="278"/>
      <c r="U1676" s="279"/>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8">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2"/>
      <c r="M1677" s="278"/>
      <c r="N1677" s="278"/>
      <c r="O1677" s="278"/>
      <c r="P1677" s="278"/>
      <c r="Q1677" s="278"/>
      <c r="R1677" s="278"/>
      <c r="S1677" s="278"/>
      <c r="T1677" s="278"/>
      <c r="U1677" s="279"/>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8">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2"/>
      <c r="M1678" s="278"/>
      <c r="N1678" s="278"/>
      <c r="O1678" s="278"/>
      <c r="P1678" s="278"/>
      <c r="Q1678" s="278"/>
      <c r="R1678" s="278"/>
      <c r="S1678" s="278"/>
      <c r="T1678" s="278"/>
      <c r="U1678" s="279"/>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8">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2"/>
      <c r="M1679" s="278"/>
      <c r="N1679" s="278"/>
      <c r="O1679" s="278"/>
      <c r="P1679" s="278"/>
      <c r="Q1679" s="278"/>
      <c r="R1679" s="278"/>
      <c r="S1679" s="278"/>
      <c r="T1679" s="278"/>
      <c r="U1679" s="279"/>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8">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2"/>
      <c r="M1680" s="278"/>
      <c r="N1680" s="278"/>
      <c r="O1680" s="278"/>
      <c r="P1680" s="278"/>
      <c r="Q1680" s="278"/>
      <c r="R1680" s="278"/>
      <c r="S1680" s="278"/>
      <c r="T1680" s="278"/>
      <c r="U1680" s="279"/>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8">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3"/>
      <c r="M1681" s="278"/>
      <c r="N1681" s="278"/>
      <c r="O1681" s="278"/>
      <c r="P1681" s="278"/>
      <c r="Q1681" s="278"/>
      <c r="R1681" s="278"/>
      <c r="S1681" s="278"/>
      <c r="T1681" s="278"/>
      <c r="U1681" s="279"/>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7"/>
    </row>
    <row r="1682" spans="1:53" ht="16.5" thickBot="1" x14ac:dyDescent="0.3">
      <c r="A1682" s="88"/>
      <c r="B1682" s="319" t="s">
        <v>385</v>
      </c>
      <c r="C1682" s="320"/>
      <c r="D1682" s="79"/>
      <c r="E1682" s="80"/>
      <c r="F1682" s="80"/>
      <c r="G1682" s="81"/>
      <c r="H1682" s="191"/>
      <c r="I1682" s="191"/>
      <c r="J1682" s="191"/>
      <c r="K1682" s="82"/>
      <c r="L1682" s="319" t="s">
        <v>306</v>
      </c>
      <c r="M1682" s="330"/>
      <c r="N1682" s="330"/>
      <c r="O1682" s="330"/>
      <c r="P1682" s="330"/>
      <c r="Q1682" s="330"/>
      <c r="R1682" s="330"/>
      <c r="S1682" s="330"/>
      <c r="T1682" s="330"/>
      <c r="U1682" s="320"/>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7"/>
    </row>
    <row r="1683" spans="1:53" ht="16.5" thickBot="1" x14ac:dyDescent="0.3">
      <c r="A1683" s="88"/>
      <c r="B1683" s="319" t="s">
        <v>307</v>
      </c>
      <c r="C1683" s="320"/>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5"/>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5" t="s">
        <v>210</v>
      </c>
      <c r="N1686" s="195" t="s">
        <v>211</v>
      </c>
      <c r="O1686" s="195" t="s">
        <v>212</v>
      </c>
      <c r="P1686" s="195" t="s">
        <v>213</v>
      </c>
      <c r="Q1686" s="195" t="s">
        <v>214</v>
      </c>
      <c r="R1686" s="195" t="s">
        <v>215</v>
      </c>
      <c r="S1686" s="195" t="s">
        <v>216</v>
      </c>
      <c r="T1686" s="195" t="s">
        <v>217</v>
      </c>
      <c r="U1686" s="195" t="s">
        <v>218</v>
      </c>
      <c r="V1686" s="195" t="s">
        <v>219</v>
      </c>
      <c r="W1686" s="113" t="s">
        <v>220</v>
      </c>
      <c r="X1686" s="195" t="s">
        <v>221</v>
      </c>
      <c r="Y1686" s="25"/>
      <c r="Z1686" s="25"/>
      <c r="AA1686" s="25"/>
      <c r="AB1686" s="25"/>
      <c r="AC1686" s="25"/>
      <c r="AD1686" s="25"/>
      <c r="BA1686" s="225"/>
    </row>
    <row r="1687" spans="1:53" ht="16.5" thickTop="1" thickBot="1" x14ac:dyDescent="0.3">
      <c r="A1687" s="88"/>
      <c r="B1687" s="312" t="s">
        <v>222</v>
      </c>
      <c r="C1687" s="313"/>
      <c r="D1687" s="314" t="s">
        <v>223</v>
      </c>
      <c r="E1687" s="305"/>
      <c r="F1687" s="88"/>
      <c r="G1687" s="315" t="s">
        <v>224</v>
      </c>
      <c r="H1687" s="316"/>
      <c r="I1687" s="28">
        <f>SUM(E1698:E1722)</f>
        <v>0</v>
      </c>
      <c r="J1687" s="317" t="s">
        <v>225</v>
      </c>
      <c r="K1687" s="318"/>
      <c r="L1687" s="305"/>
      <c r="M1687" s="195">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5" t="s">
        <v>226</v>
      </c>
      <c r="AA1687" s="296"/>
      <c r="AB1687" s="297"/>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5"/>
    </row>
    <row r="1688" spans="1:53" ht="16.5" customHeight="1" thickTop="1" thickBot="1" x14ac:dyDescent="0.3">
      <c r="A1688" s="88"/>
      <c r="B1688" s="29" t="s">
        <v>228</v>
      </c>
      <c r="C1688" s="30">
        <v>0</v>
      </c>
      <c r="D1688" s="31" t="s">
        <v>229</v>
      </c>
      <c r="E1688" s="66" t="str">
        <f>TEXT(IF('Cable Calculator'!HA7="","",'Cable Calculator'!HA7),)</f>
        <v/>
      </c>
      <c r="F1688" s="88"/>
      <c r="G1688" s="304" t="s">
        <v>230</v>
      </c>
      <c r="H1688" s="305"/>
      <c r="I1688" s="33">
        <f>E1689-I1687</f>
        <v>0</v>
      </c>
      <c r="J1688" s="289" t="s">
        <v>231</v>
      </c>
      <c r="K1688" s="290"/>
      <c r="L1688" s="34">
        <f>I1692</f>
        <v>0</v>
      </c>
      <c r="M1688" s="195">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8" t="s">
        <v>232</v>
      </c>
      <c r="AA1688" s="300" t="s">
        <v>233</v>
      </c>
      <c r="AB1688" s="301"/>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6"/>
    </row>
    <row r="1689" spans="1:53" ht="16.5" thickTop="1" thickBot="1" x14ac:dyDescent="0.3">
      <c r="A1689" s="88"/>
      <c r="B1689" s="36" t="s">
        <v>235</v>
      </c>
      <c r="C1689" s="37">
        <v>0</v>
      </c>
      <c r="D1689" s="38" t="s">
        <v>236</v>
      </c>
      <c r="E1689" s="32"/>
      <c r="F1689" s="88"/>
      <c r="G1689" s="291" t="s">
        <v>237</v>
      </c>
      <c r="H1689" s="292"/>
      <c r="I1689" s="35">
        <f>IF(E1689=0,0,12-(MOD(I1687,12)))</f>
        <v>0</v>
      </c>
      <c r="J1689" s="289" t="s">
        <v>238</v>
      </c>
      <c r="K1689" s="290"/>
      <c r="L1689" s="39">
        <f>I1693-I1687</f>
        <v>0</v>
      </c>
      <c r="M1689" s="195">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9"/>
      <c r="AA1689" s="302"/>
      <c r="AB1689" s="303"/>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6"/>
    </row>
    <row r="1690" spans="1:53" ht="16.5" customHeight="1" thickTop="1" thickBot="1" x14ac:dyDescent="0.3">
      <c r="A1690" s="88"/>
      <c r="B1690" s="40" t="s">
        <v>240</v>
      </c>
      <c r="C1690" s="30">
        <v>0</v>
      </c>
      <c r="D1690" s="41" t="s">
        <v>241</v>
      </c>
      <c r="E1690" s="42"/>
      <c r="F1690" s="88"/>
      <c r="G1690" s="321" t="s">
        <v>242</v>
      </c>
      <c r="H1690" s="43" t="s">
        <v>243</v>
      </c>
      <c r="I1690" s="35">
        <f>IF(E1690&lt;&gt;0,1,0)</f>
        <v>0</v>
      </c>
      <c r="J1690" s="291" t="s">
        <v>244</v>
      </c>
      <c r="K1690" s="292"/>
      <c r="L1690" s="44" t="str">
        <f>'Cable Calculator'!HA3</f>
        <v/>
      </c>
      <c r="M1690" s="195">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6"/>
    </row>
    <row r="1691" spans="1:53" ht="16.5" thickTop="1" thickBot="1" x14ac:dyDescent="0.3">
      <c r="A1691" s="88"/>
      <c r="B1691" s="29" t="s">
        <v>246</v>
      </c>
      <c r="C1691" s="37">
        <v>0</v>
      </c>
      <c r="D1691" s="41" t="s">
        <v>247</v>
      </c>
      <c r="E1691" s="42"/>
      <c r="F1691" s="88"/>
      <c r="G1691" s="322"/>
      <c r="H1691" s="47" t="s">
        <v>248</v>
      </c>
      <c r="I1691" s="35">
        <f>IF(E1690&lt;&gt;0,E1690,0)</f>
        <v>0</v>
      </c>
      <c r="J1691" s="193"/>
      <c r="K1691" s="194"/>
      <c r="L1691" s="48"/>
      <c r="M1691" s="195">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6"/>
    </row>
    <row r="1692" spans="1:53" ht="16.5" customHeight="1" thickTop="1" thickBot="1" x14ac:dyDescent="0.3">
      <c r="A1692" s="88"/>
      <c r="B1692" s="36" t="s">
        <v>249</v>
      </c>
      <c r="C1692" s="30">
        <v>0</v>
      </c>
      <c r="D1692" s="49" t="s">
        <v>250</v>
      </c>
      <c r="E1692" s="50">
        <f>E1689/12</f>
        <v>0</v>
      </c>
      <c r="F1692" s="88"/>
      <c r="G1692" s="321" t="s">
        <v>251</v>
      </c>
      <c r="H1692" s="51" t="s">
        <v>252</v>
      </c>
      <c r="I1692" s="112">
        <f>E1691</f>
        <v>0</v>
      </c>
      <c r="J1692" s="323" t="s">
        <v>253</v>
      </c>
      <c r="K1692" s="324"/>
      <c r="L1692" s="325"/>
      <c r="M1692" s="52" t="s">
        <v>254</v>
      </c>
      <c r="N1692" s="106"/>
      <c r="O1692" s="106"/>
      <c r="P1692" s="191"/>
      <c r="Q1692" s="191"/>
      <c r="R1692" s="191"/>
      <c r="S1692" s="191"/>
      <c r="T1692" s="191"/>
      <c r="U1692" s="191"/>
      <c r="V1692" s="191"/>
      <c r="W1692" s="53">
        <f>SUM(P1692:U1692)</f>
        <v>0</v>
      </c>
      <c r="X1692" s="54"/>
      <c r="Y1692" s="25"/>
      <c r="Z1692" s="45">
        <v>3</v>
      </c>
      <c r="AA1692" s="46">
        <v>25</v>
      </c>
      <c r="AB1692" s="46">
        <v>36</v>
      </c>
      <c r="AC1692" s="25"/>
      <c r="AD1692" s="25"/>
      <c r="BA1692" s="226"/>
    </row>
    <row r="1693" spans="1:53" ht="16.5" thickTop="1" thickBot="1" x14ac:dyDescent="0.3">
      <c r="A1693" s="88"/>
      <c r="B1693" s="36" t="s">
        <v>255</v>
      </c>
      <c r="C1693" s="30">
        <v>0</v>
      </c>
      <c r="D1693" s="31" t="s">
        <v>256</v>
      </c>
      <c r="E1693" s="101" t="str">
        <f>IF('Cable Calculator'!HA5="","",'Cable Calculator'!HA5)</f>
        <v/>
      </c>
      <c r="F1693" s="88"/>
      <c r="G1693" s="322"/>
      <c r="H1693" s="47" t="s">
        <v>257</v>
      </c>
      <c r="I1693" s="35" t="str">
        <f>IF(E1691="","0",IF(AND(E1688="EUC",E1689=432), I1692+(203-E1690),IF(E1691=0,0,(E1691+(E1689-E1690)-1))))</f>
        <v>0</v>
      </c>
      <c r="J1693" s="286" t="str">
        <f>IFERROR(IF(OR(E1688="EUC",E1688="SS"),"---",IF(OR(P1687,S1687),"NO 2F Tethers for RPX!",IF(OR(P1689,S1689),"NO 6F Tethers for RPX!","---"))),"---")</f>
        <v>---</v>
      </c>
      <c r="K1693" s="287"/>
      <c r="L1693" s="288"/>
      <c r="M1693" s="286" t="str">
        <f>IF(E1690&gt;60,"Dead Count &gt;60: Consider Downsize","---")</f>
        <v>---</v>
      </c>
      <c r="N1693" s="287"/>
      <c r="O1693" s="287"/>
      <c r="P1693" s="287"/>
      <c r="Q1693" s="287"/>
      <c r="R1693" s="287"/>
      <c r="S1693" s="287"/>
      <c r="T1693" s="287"/>
      <c r="U1693" s="288"/>
      <c r="V1693" s="100"/>
      <c r="W1693" s="54">
        <f>SUM(P1693:U1693)</f>
        <v>0</v>
      </c>
      <c r="X1693" s="54"/>
      <c r="Y1693" s="25"/>
      <c r="Z1693" s="45">
        <v>4</v>
      </c>
      <c r="AA1693" s="46">
        <v>37</v>
      </c>
      <c r="AB1693" s="46">
        <v>48</v>
      </c>
      <c r="AC1693" s="25"/>
      <c r="AD1693" s="25"/>
      <c r="BA1693" s="226"/>
    </row>
    <row r="1694" spans="1:53" ht="16.5" thickTop="1" thickBot="1" x14ac:dyDescent="0.3">
      <c r="A1694" s="88"/>
      <c r="B1694" s="55" t="s">
        <v>258</v>
      </c>
      <c r="C1694" s="56">
        <f>SUM(C1688:C1693)+I1687</f>
        <v>0</v>
      </c>
      <c r="D1694" s="31" t="s">
        <v>259</v>
      </c>
      <c r="E1694" s="101" t="str">
        <f>IF(AS1688="Y","DBL",IF(AS1689="Y","TRPL",IF(AS1690="Y","QUAD","")))</f>
        <v/>
      </c>
      <c r="F1694" s="88"/>
      <c r="G1694" s="191"/>
      <c r="H1694" s="57"/>
      <c r="I1694" s="191"/>
      <c r="J1694" s="286"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7"/>
      <c r="L1694" s="288"/>
      <c r="M1694" s="286" t="str">
        <f>IF(AND(OR(E1688="SS",E1688="RPX",E1688="EUC",E1688="RPX-T"),(OR(C1698="",C1698="Field SPL"))),"Cannot have FlexNap cables without tethers","---")</f>
        <v>---</v>
      </c>
      <c r="N1694" s="287"/>
      <c r="O1694" s="287"/>
      <c r="P1694" s="287"/>
      <c r="Q1694" s="287"/>
      <c r="R1694" s="287"/>
      <c r="S1694" s="287"/>
      <c r="T1694" s="287"/>
      <c r="U1694" s="288"/>
      <c r="V1694" s="25"/>
      <c r="W1694" s="58"/>
      <c r="X1694" s="58"/>
      <c r="Y1694" s="25"/>
      <c r="Z1694" s="45">
        <v>5</v>
      </c>
      <c r="AA1694" s="46">
        <v>49</v>
      </c>
      <c r="AB1694" s="46">
        <v>60</v>
      </c>
      <c r="AC1694" s="25"/>
      <c r="AD1694" s="25"/>
      <c r="BA1694" s="226"/>
    </row>
    <row r="1695" spans="1:53" ht="16.5" thickTop="1" thickBot="1" x14ac:dyDescent="0.3">
      <c r="A1695" s="88"/>
      <c r="B1695" s="59"/>
      <c r="C1695" s="60"/>
      <c r="D1695" s="61"/>
      <c r="E1695" s="62"/>
      <c r="F1695" s="88"/>
      <c r="G1695" s="63"/>
      <c r="H1695" s="64"/>
      <c r="I1695" s="63"/>
      <c r="J1695" s="286" t="str">
        <f>IF(AND(OR(E1688="RPX", E1688="RPX-T", E1688="SS"),E1689=216),"NO 216 For RPX, RPX-T, OR SS CABLE","---")</f>
        <v>---</v>
      </c>
      <c r="K1695" s="287"/>
      <c r="L1695" s="288"/>
      <c r="M1695" s="286" t="str" cm="1">
        <f t="array" ref="M1695">IF(AND(E1688="",OR(C1698:C1722="FST",C1698:C1722="REV T",C1698:C1722="DBL REV",C1698:C1722="TPL REV", C1698:C1722="QD REV")),"Non-FlexNap cables cannot have tethers","---")</f>
        <v>---</v>
      </c>
      <c r="N1695" s="287"/>
      <c r="O1695" s="287"/>
      <c r="P1695" s="287"/>
      <c r="Q1695" s="287"/>
      <c r="R1695" s="287"/>
      <c r="S1695" s="287"/>
      <c r="T1695" s="287"/>
      <c r="U1695" s="288"/>
      <c r="V1695" s="25"/>
      <c r="W1695" s="58"/>
      <c r="X1695" s="58"/>
      <c r="Y1695" s="25"/>
      <c r="Z1695" s="45">
        <v>6</v>
      </c>
      <c r="AA1695" s="65">
        <v>61</v>
      </c>
      <c r="AB1695" s="65">
        <v>72</v>
      </c>
      <c r="AC1695" s="25"/>
      <c r="AD1695" s="25"/>
      <c r="BA1695" s="225"/>
    </row>
    <row r="1696" spans="1:53" ht="15.75" customHeight="1" thickBot="1" x14ac:dyDescent="0.3">
      <c r="A1696" s="88"/>
      <c r="B1696" s="321" t="s">
        <v>260</v>
      </c>
      <c r="C1696" s="293" t="s">
        <v>261</v>
      </c>
      <c r="D1696" s="293" t="s">
        <v>262</v>
      </c>
      <c r="E1696" s="306" t="s">
        <v>263</v>
      </c>
      <c r="F1696" s="293" t="s">
        <v>264</v>
      </c>
      <c r="G1696" s="308" t="s">
        <v>265</v>
      </c>
      <c r="H1696" s="308" t="s">
        <v>266</v>
      </c>
      <c r="I1696" s="308" t="s">
        <v>267</v>
      </c>
      <c r="J1696" s="310" t="s">
        <v>268</v>
      </c>
      <c r="K1696" s="293" t="s">
        <v>269</v>
      </c>
      <c r="L1696" s="280" t="s">
        <v>270</v>
      </c>
      <c r="M1696" s="282" t="s">
        <v>271</v>
      </c>
      <c r="N1696" s="282"/>
      <c r="O1696" s="282"/>
      <c r="P1696" s="282"/>
      <c r="Q1696" s="282"/>
      <c r="R1696" s="282"/>
      <c r="S1696" s="282"/>
      <c r="T1696" s="282"/>
      <c r="U1696" s="283"/>
      <c r="V1696" s="107"/>
      <c r="W1696" s="72"/>
      <c r="X1696" s="72"/>
      <c r="Y1696" s="72"/>
      <c r="Z1696" s="45">
        <v>7</v>
      </c>
      <c r="AA1696" s="65">
        <v>73</v>
      </c>
      <c r="AB1696" s="65">
        <v>84</v>
      </c>
      <c r="AC1696" s="25"/>
      <c r="AD1696" s="25"/>
      <c r="BA1696" s="227"/>
    </row>
    <row r="1697" spans="1:53" ht="15.75" thickBot="1" x14ac:dyDescent="0.3">
      <c r="A1697" s="88"/>
      <c r="B1697" s="322"/>
      <c r="C1697" s="294"/>
      <c r="D1697" s="294"/>
      <c r="E1697" s="307"/>
      <c r="F1697" s="294"/>
      <c r="G1697" s="309"/>
      <c r="H1697" s="309"/>
      <c r="I1697" s="309"/>
      <c r="J1697" s="311"/>
      <c r="K1697" s="294"/>
      <c r="L1697" s="281"/>
      <c r="M1697" s="284"/>
      <c r="N1697" s="284"/>
      <c r="O1697" s="284"/>
      <c r="P1697" s="284"/>
      <c r="Q1697" s="284"/>
      <c r="R1697" s="284"/>
      <c r="S1697" s="284"/>
      <c r="T1697" s="284"/>
      <c r="U1697" s="285"/>
      <c r="V1697" s="107"/>
      <c r="W1697" s="72"/>
      <c r="X1697" s="72"/>
      <c r="Y1697" s="72"/>
      <c r="Z1697" s="45">
        <v>8</v>
      </c>
      <c r="AA1697" s="46">
        <v>85</v>
      </c>
      <c r="AB1697" s="46">
        <v>96</v>
      </c>
      <c r="AC1697" s="25"/>
      <c r="AD1697" s="25"/>
      <c r="AI1697" s="109" t="s">
        <v>272</v>
      </c>
      <c r="AJ1697" s="109" t="s">
        <v>273</v>
      </c>
      <c r="AK1697" s="109" t="s">
        <v>274</v>
      </c>
      <c r="AL1697" s="109" t="s">
        <v>275</v>
      </c>
      <c r="BA1697" s="227"/>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2"/>
      <c r="M1698" s="278"/>
      <c r="N1698" s="278"/>
      <c r="O1698" s="278"/>
      <c r="P1698" s="278"/>
      <c r="Q1698" s="278"/>
      <c r="R1698" s="278"/>
      <c r="S1698" s="278"/>
      <c r="T1698" s="278"/>
      <c r="U1698" s="279"/>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8">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2"/>
      <c r="M1699" s="278"/>
      <c r="N1699" s="278"/>
      <c r="O1699" s="278"/>
      <c r="P1699" s="278"/>
      <c r="Q1699" s="278"/>
      <c r="R1699" s="278"/>
      <c r="S1699" s="278"/>
      <c r="T1699" s="278"/>
      <c r="U1699" s="279"/>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8">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2"/>
      <c r="M1700" s="278"/>
      <c r="N1700" s="278"/>
      <c r="O1700" s="278"/>
      <c r="P1700" s="278"/>
      <c r="Q1700" s="278"/>
      <c r="R1700" s="278"/>
      <c r="S1700" s="278"/>
      <c r="T1700" s="278"/>
      <c r="U1700" s="279"/>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8">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2"/>
      <c r="M1701" s="278"/>
      <c r="N1701" s="278"/>
      <c r="O1701" s="278"/>
      <c r="P1701" s="278"/>
      <c r="Q1701" s="278"/>
      <c r="R1701" s="278"/>
      <c r="S1701" s="278"/>
      <c r="T1701" s="278"/>
      <c r="U1701" s="279"/>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8">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2"/>
      <c r="M1702" s="278"/>
      <c r="N1702" s="278"/>
      <c r="O1702" s="278"/>
      <c r="P1702" s="278"/>
      <c r="Q1702" s="278"/>
      <c r="R1702" s="278"/>
      <c r="S1702" s="278"/>
      <c r="T1702" s="278"/>
      <c r="U1702" s="279"/>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8">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2"/>
      <c r="M1703" s="278"/>
      <c r="N1703" s="278"/>
      <c r="O1703" s="278"/>
      <c r="P1703" s="278"/>
      <c r="Q1703" s="278"/>
      <c r="R1703" s="278"/>
      <c r="S1703" s="278"/>
      <c r="T1703" s="278"/>
      <c r="U1703" s="279"/>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8">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2"/>
      <c r="M1704" s="278"/>
      <c r="N1704" s="278"/>
      <c r="O1704" s="278"/>
      <c r="P1704" s="278"/>
      <c r="Q1704" s="278"/>
      <c r="R1704" s="278"/>
      <c r="S1704" s="278"/>
      <c r="T1704" s="278"/>
      <c r="U1704" s="279"/>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8">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2"/>
      <c r="M1705" s="278"/>
      <c r="N1705" s="278"/>
      <c r="O1705" s="278"/>
      <c r="P1705" s="278"/>
      <c r="Q1705" s="278"/>
      <c r="R1705" s="278"/>
      <c r="S1705" s="278"/>
      <c r="T1705" s="278"/>
      <c r="U1705" s="279"/>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8">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2"/>
      <c r="M1706" s="278"/>
      <c r="N1706" s="278"/>
      <c r="O1706" s="278"/>
      <c r="P1706" s="278"/>
      <c r="Q1706" s="278"/>
      <c r="R1706" s="278"/>
      <c r="S1706" s="278"/>
      <c r="T1706" s="278"/>
      <c r="U1706" s="279"/>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8">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2"/>
      <c r="M1707" s="278"/>
      <c r="N1707" s="278"/>
      <c r="O1707" s="278"/>
      <c r="P1707" s="278"/>
      <c r="Q1707" s="278"/>
      <c r="R1707" s="278"/>
      <c r="S1707" s="278"/>
      <c r="T1707" s="278"/>
      <c r="U1707" s="279"/>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8">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2"/>
      <c r="M1708" s="278"/>
      <c r="N1708" s="278"/>
      <c r="O1708" s="278"/>
      <c r="P1708" s="278"/>
      <c r="Q1708" s="278"/>
      <c r="R1708" s="278"/>
      <c r="S1708" s="278"/>
      <c r="T1708" s="278"/>
      <c r="U1708" s="279"/>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8">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2"/>
      <c r="M1709" s="278"/>
      <c r="N1709" s="278"/>
      <c r="O1709" s="278"/>
      <c r="P1709" s="278"/>
      <c r="Q1709" s="278"/>
      <c r="R1709" s="278"/>
      <c r="S1709" s="278"/>
      <c r="T1709" s="278"/>
      <c r="U1709" s="279"/>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8">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2"/>
      <c r="M1710" s="278"/>
      <c r="N1710" s="278"/>
      <c r="O1710" s="278"/>
      <c r="P1710" s="278"/>
      <c r="Q1710" s="278"/>
      <c r="R1710" s="278"/>
      <c r="S1710" s="278"/>
      <c r="T1710" s="278"/>
      <c r="U1710" s="279"/>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8">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2"/>
      <c r="M1711" s="278"/>
      <c r="N1711" s="278"/>
      <c r="O1711" s="278"/>
      <c r="P1711" s="278"/>
      <c r="Q1711" s="278"/>
      <c r="R1711" s="278"/>
      <c r="S1711" s="278"/>
      <c r="T1711" s="278"/>
      <c r="U1711" s="279"/>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8">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2"/>
      <c r="M1712" s="278"/>
      <c r="N1712" s="278"/>
      <c r="O1712" s="278"/>
      <c r="P1712" s="278"/>
      <c r="Q1712" s="278"/>
      <c r="R1712" s="278"/>
      <c r="S1712" s="278"/>
      <c r="T1712" s="278"/>
      <c r="U1712" s="279"/>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8">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2"/>
      <c r="M1713" s="278"/>
      <c r="N1713" s="278"/>
      <c r="O1713" s="278"/>
      <c r="P1713" s="278"/>
      <c r="Q1713" s="278"/>
      <c r="R1713" s="278"/>
      <c r="S1713" s="278"/>
      <c r="T1713" s="278"/>
      <c r="U1713" s="279"/>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8">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2"/>
      <c r="M1714" s="278"/>
      <c r="N1714" s="278"/>
      <c r="O1714" s="278"/>
      <c r="P1714" s="278"/>
      <c r="Q1714" s="278"/>
      <c r="R1714" s="278"/>
      <c r="S1714" s="278"/>
      <c r="T1714" s="278"/>
      <c r="U1714" s="279"/>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8">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2"/>
      <c r="M1715" s="278"/>
      <c r="N1715" s="278"/>
      <c r="O1715" s="278"/>
      <c r="P1715" s="278"/>
      <c r="Q1715" s="278"/>
      <c r="R1715" s="278"/>
      <c r="S1715" s="278"/>
      <c r="T1715" s="278"/>
      <c r="U1715" s="279"/>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8">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2"/>
      <c r="M1716" s="278"/>
      <c r="N1716" s="278"/>
      <c r="O1716" s="278"/>
      <c r="P1716" s="278"/>
      <c r="Q1716" s="278"/>
      <c r="R1716" s="278"/>
      <c r="S1716" s="278"/>
      <c r="T1716" s="278"/>
      <c r="U1716" s="279"/>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8">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2"/>
      <c r="M1717" s="278"/>
      <c r="N1717" s="278"/>
      <c r="O1717" s="278"/>
      <c r="P1717" s="278"/>
      <c r="Q1717" s="278"/>
      <c r="R1717" s="278"/>
      <c r="S1717" s="278"/>
      <c r="T1717" s="278"/>
      <c r="U1717" s="279"/>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8">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2"/>
      <c r="M1718" s="278"/>
      <c r="N1718" s="278"/>
      <c r="O1718" s="278"/>
      <c r="P1718" s="278"/>
      <c r="Q1718" s="278"/>
      <c r="R1718" s="278"/>
      <c r="S1718" s="278"/>
      <c r="T1718" s="278"/>
      <c r="U1718" s="279"/>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8">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2"/>
      <c r="M1719" s="278"/>
      <c r="N1719" s="278"/>
      <c r="O1719" s="278"/>
      <c r="P1719" s="278"/>
      <c r="Q1719" s="278"/>
      <c r="R1719" s="278"/>
      <c r="S1719" s="278"/>
      <c r="T1719" s="278"/>
      <c r="U1719" s="279"/>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8">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2"/>
      <c r="M1720" s="278"/>
      <c r="N1720" s="278"/>
      <c r="O1720" s="278"/>
      <c r="P1720" s="278"/>
      <c r="Q1720" s="278"/>
      <c r="R1720" s="278"/>
      <c r="S1720" s="278"/>
      <c r="T1720" s="278"/>
      <c r="U1720" s="279"/>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8">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2"/>
      <c r="M1721" s="278"/>
      <c r="N1721" s="278"/>
      <c r="O1721" s="278"/>
      <c r="P1721" s="278"/>
      <c r="Q1721" s="278"/>
      <c r="R1721" s="278"/>
      <c r="S1721" s="278"/>
      <c r="T1721" s="278"/>
      <c r="U1721" s="279"/>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8">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3"/>
      <c r="M1722" s="278"/>
      <c r="N1722" s="278"/>
      <c r="O1722" s="278"/>
      <c r="P1722" s="278"/>
      <c r="Q1722" s="278"/>
      <c r="R1722" s="278"/>
      <c r="S1722" s="278"/>
      <c r="T1722" s="278"/>
      <c r="U1722" s="279"/>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7"/>
    </row>
    <row r="1723" spans="1:53" ht="16.5" thickBot="1" x14ac:dyDescent="0.3">
      <c r="A1723" s="88"/>
      <c r="B1723" s="319" t="s">
        <v>387</v>
      </c>
      <c r="C1723" s="320"/>
      <c r="D1723" s="79"/>
      <c r="E1723" s="80"/>
      <c r="F1723" s="80"/>
      <c r="G1723" s="81"/>
      <c r="H1723" s="191"/>
      <c r="I1723" s="191"/>
      <c r="J1723" s="191"/>
      <c r="K1723" s="82"/>
      <c r="L1723" s="319" t="s">
        <v>306</v>
      </c>
      <c r="M1723" s="330"/>
      <c r="N1723" s="330"/>
      <c r="O1723" s="330"/>
      <c r="P1723" s="330"/>
      <c r="Q1723" s="330"/>
      <c r="R1723" s="330"/>
      <c r="S1723" s="330"/>
      <c r="T1723" s="330"/>
      <c r="U1723" s="320"/>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7"/>
    </row>
    <row r="1724" spans="1:53" ht="16.5" thickBot="1" x14ac:dyDescent="0.3">
      <c r="A1724" s="88"/>
      <c r="B1724" s="319" t="s">
        <v>307</v>
      </c>
      <c r="C1724" s="320"/>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5"/>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5" t="s">
        <v>210</v>
      </c>
      <c r="N1727" s="195" t="s">
        <v>211</v>
      </c>
      <c r="O1727" s="195" t="s">
        <v>212</v>
      </c>
      <c r="P1727" s="195" t="s">
        <v>213</v>
      </c>
      <c r="Q1727" s="195" t="s">
        <v>214</v>
      </c>
      <c r="R1727" s="195" t="s">
        <v>215</v>
      </c>
      <c r="S1727" s="195" t="s">
        <v>216</v>
      </c>
      <c r="T1727" s="195" t="s">
        <v>217</v>
      </c>
      <c r="U1727" s="195" t="s">
        <v>218</v>
      </c>
      <c r="V1727" s="195" t="s">
        <v>219</v>
      </c>
      <c r="W1727" s="113" t="s">
        <v>220</v>
      </c>
      <c r="X1727" s="195" t="s">
        <v>221</v>
      </c>
      <c r="Y1727" s="25"/>
      <c r="Z1727" s="25"/>
      <c r="AA1727" s="25"/>
      <c r="AB1727" s="25"/>
      <c r="AC1727" s="25"/>
      <c r="AD1727" s="25"/>
      <c r="BA1727" s="225"/>
    </row>
    <row r="1728" spans="1:53" ht="16.5" thickTop="1" thickBot="1" x14ac:dyDescent="0.3">
      <c r="A1728" s="88"/>
      <c r="B1728" s="312" t="s">
        <v>222</v>
      </c>
      <c r="C1728" s="313"/>
      <c r="D1728" s="314" t="s">
        <v>223</v>
      </c>
      <c r="E1728" s="305"/>
      <c r="F1728" s="88"/>
      <c r="G1728" s="315" t="s">
        <v>224</v>
      </c>
      <c r="H1728" s="316"/>
      <c r="I1728" s="28">
        <f>SUM(E1739:E1763)</f>
        <v>0</v>
      </c>
      <c r="J1728" s="317" t="s">
        <v>225</v>
      </c>
      <c r="K1728" s="318"/>
      <c r="L1728" s="305"/>
      <c r="M1728" s="195">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5" t="s">
        <v>226</v>
      </c>
      <c r="AA1728" s="296"/>
      <c r="AB1728" s="297"/>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5"/>
    </row>
    <row r="1729" spans="1:53" ht="16.5" customHeight="1" thickTop="1" thickBot="1" x14ac:dyDescent="0.3">
      <c r="A1729" s="88"/>
      <c r="B1729" s="29" t="s">
        <v>228</v>
      </c>
      <c r="C1729" s="30">
        <v>0</v>
      </c>
      <c r="D1729" s="31" t="s">
        <v>229</v>
      </c>
      <c r="E1729" s="66" t="str">
        <f>TEXT(IF('Cable Calculator'!HF7="","",'Cable Calculator'!HF7),)</f>
        <v/>
      </c>
      <c r="F1729" s="88"/>
      <c r="G1729" s="304" t="s">
        <v>230</v>
      </c>
      <c r="H1729" s="305"/>
      <c r="I1729" s="33">
        <f>E1730-I1728</f>
        <v>0</v>
      </c>
      <c r="J1729" s="289" t="s">
        <v>231</v>
      </c>
      <c r="K1729" s="290"/>
      <c r="L1729" s="34">
        <f>I1733</f>
        <v>0</v>
      </c>
      <c r="M1729" s="195">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8" t="s">
        <v>232</v>
      </c>
      <c r="AA1729" s="300" t="s">
        <v>233</v>
      </c>
      <c r="AB1729" s="301"/>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6"/>
    </row>
    <row r="1730" spans="1:53" ht="16.5" thickTop="1" thickBot="1" x14ac:dyDescent="0.3">
      <c r="A1730" s="88"/>
      <c r="B1730" s="36" t="s">
        <v>235</v>
      </c>
      <c r="C1730" s="37">
        <v>0</v>
      </c>
      <c r="D1730" s="38" t="s">
        <v>236</v>
      </c>
      <c r="E1730" s="32"/>
      <c r="F1730" s="88"/>
      <c r="G1730" s="291" t="s">
        <v>237</v>
      </c>
      <c r="H1730" s="292"/>
      <c r="I1730" s="35">
        <f>IF(E1730=0,0,12-(MOD(I1728,12)))</f>
        <v>0</v>
      </c>
      <c r="J1730" s="289" t="s">
        <v>238</v>
      </c>
      <c r="K1730" s="290"/>
      <c r="L1730" s="39">
        <f>I1734-I1728</f>
        <v>0</v>
      </c>
      <c r="M1730" s="195">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9"/>
      <c r="AA1730" s="302"/>
      <c r="AB1730" s="303"/>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6"/>
    </row>
    <row r="1731" spans="1:53" ht="16.5" customHeight="1" thickTop="1" thickBot="1" x14ac:dyDescent="0.3">
      <c r="A1731" s="88"/>
      <c r="B1731" s="40" t="s">
        <v>240</v>
      </c>
      <c r="C1731" s="30">
        <v>0</v>
      </c>
      <c r="D1731" s="41" t="s">
        <v>241</v>
      </c>
      <c r="E1731" s="42"/>
      <c r="F1731" s="88"/>
      <c r="G1731" s="321" t="s">
        <v>242</v>
      </c>
      <c r="H1731" s="43" t="s">
        <v>243</v>
      </c>
      <c r="I1731" s="35">
        <f>IF(E1731&lt;&gt;0,1,0)</f>
        <v>0</v>
      </c>
      <c r="J1731" s="291" t="s">
        <v>244</v>
      </c>
      <c r="K1731" s="292"/>
      <c r="L1731" s="44" t="str">
        <f>'Cable Calculator'!HF3</f>
        <v/>
      </c>
      <c r="M1731" s="195">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6"/>
    </row>
    <row r="1732" spans="1:53" ht="16.5" thickTop="1" thickBot="1" x14ac:dyDescent="0.3">
      <c r="A1732" s="88"/>
      <c r="B1732" s="29" t="s">
        <v>246</v>
      </c>
      <c r="C1732" s="37">
        <v>0</v>
      </c>
      <c r="D1732" s="41" t="s">
        <v>247</v>
      </c>
      <c r="E1732" s="42"/>
      <c r="F1732" s="88"/>
      <c r="G1732" s="322"/>
      <c r="H1732" s="47" t="s">
        <v>248</v>
      </c>
      <c r="I1732" s="35">
        <f>IF(E1731&lt;&gt;0,E1731,0)</f>
        <v>0</v>
      </c>
      <c r="J1732" s="193"/>
      <c r="K1732" s="194"/>
      <c r="L1732" s="48"/>
      <c r="M1732" s="195">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6"/>
    </row>
    <row r="1733" spans="1:53" ht="16.5" customHeight="1" thickTop="1" thickBot="1" x14ac:dyDescent="0.3">
      <c r="A1733" s="88"/>
      <c r="B1733" s="36" t="s">
        <v>249</v>
      </c>
      <c r="C1733" s="30">
        <v>0</v>
      </c>
      <c r="D1733" s="49" t="s">
        <v>250</v>
      </c>
      <c r="E1733" s="50">
        <f>E1730/12</f>
        <v>0</v>
      </c>
      <c r="F1733" s="88"/>
      <c r="G1733" s="321" t="s">
        <v>251</v>
      </c>
      <c r="H1733" s="51" t="s">
        <v>252</v>
      </c>
      <c r="I1733" s="112">
        <f>E1732</f>
        <v>0</v>
      </c>
      <c r="J1733" s="323" t="s">
        <v>253</v>
      </c>
      <c r="K1733" s="324"/>
      <c r="L1733" s="325"/>
      <c r="M1733" s="52" t="s">
        <v>254</v>
      </c>
      <c r="N1733" s="106"/>
      <c r="O1733" s="106"/>
      <c r="P1733" s="191"/>
      <c r="Q1733" s="191"/>
      <c r="R1733" s="191"/>
      <c r="S1733" s="191"/>
      <c r="T1733" s="191"/>
      <c r="U1733" s="191"/>
      <c r="V1733" s="191"/>
      <c r="W1733" s="53">
        <f>SUM(P1733:U1733)</f>
        <v>0</v>
      </c>
      <c r="X1733" s="54"/>
      <c r="Y1733" s="25"/>
      <c r="Z1733" s="45">
        <v>3</v>
      </c>
      <c r="AA1733" s="46">
        <v>25</v>
      </c>
      <c r="AB1733" s="46">
        <v>36</v>
      </c>
      <c r="AC1733" s="25"/>
      <c r="AD1733" s="25"/>
      <c r="BA1733" s="226"/>
    </row>
    <row r="1734" spans="1:53" ht="16.5" thickTop="1" thickBot="1" x14ac:dyDescent="0.3">
      <c r="A1734" s="88"/>
      <c r="B1734" s="36" t="s">
        <v>255</v>
      </c>
      <c r="C1734" s="30">
        <v>0</v>
      </c>
      <c r="D1734" s="31" t="s">
        <v>256</v>
      </c>
      <c r="E1734" s="101" t="str">
        <f>IF('Cable Calculator'!HF5="","",'Cable Calculator'!HF5)</f>
        <v/>
      </c>
      <c r="F1734" s="88"/>
      <c r="G1734" s="322"/>
      <c r="H1734" s="47" t="s">
        <v>257</v>
      </c>
      <c r="I1734" s="35" t="str">
        <f>IF(E1732="","0",IF(AND(E1729="EUC",E1730=432), I1733+(203-E1731),IF(E1732=0,0,(E1732+(E1730-E1731)-1))))</f>
        <v>0</v>
      </c>
      <c r="J1734" s="286" t="str">
        <f>IFERROR(IF(OR(E1729="EUC",E1729="SS"),"---",IF(OR(P1728,S1728),"NO 2F Tethers for RPX!",IF(OR(P1730,S1730),"NO 6F Tethers for RPX!","---"))),"---")</f>
        <v>---</v>
      </c>
      <c r="K1734" s="287"/>
      <c r="L1734" s="288"/>
      <c r="M1734" s="286" t="str">
        <f>IF(E1731&gt;60,"Dead Count &gt;60: Consider Downsize","---")</f>
        <v>---</v>
      </c>
      <c r="N1734" s="287"/>
      <c r="O1734" s="287"/>
      <c r="P1734" s="287"/>
      <c r="Q1734" s="287"/>
      <c r="R1734" s="287"/>
      <c r="S1734" s="287"/>
      <c r="T1734" s="287"/>
      <c r="U1734" s="288"/>
      <c r="V1734" s="100"/>
      <c r="W1734" s="54">
        <f>SUM(P1734:U1734)</f>
        <v>0</v>
      </c>
      <c r="X1734" s="54"/>
      <c r="Y1734" s="25"/>
      <c r="Z1734" s="45">
        <v>4</v>
      </c>
      <c r="AA1734" s="46">
        <v>37</v>
      </c>
      <c r="AB1734" s="46">
        <v>48</v>
      </c>
      <c r="AC1734" s="25"/>
      <c r="AD1734" s="25"/>
      <c r="BA1734" s="226"/>
    </row>
    <row r="1735" spans="1:53" ht="16.5" thickTop="1" thickBot="1" x14ac:dyDescent="0.3">
      <c r="A1735" s="88"/>
      <c r="B1735" s="55" t="s">
        <v>258</v>
      </c>
      <c r="C1735" s="56">
        <f>SUM(C1729:C1734)+I1728</f>
        <v>0</v>
      </c>
      <c r="D1735" s="31" t="s">
        <v>259</v>
      </c>
      <c r="E1735" s="101" t="str">
        <f>IF(AS1729="Y","DBL",IF(AS1730="Y","TRPL",IF(AS1731="Y","QUAD","")))</f>
        <v/>
      </c>
      <c r="F1735" s="88"/>
      <c r="G1735" s="191"/>
      <c r="H1735" s="57"/>
      <c r="I1735" s="191"/>
      <c r="J1735" s="286"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7"/>
      <c r="L1735" s="288"/>
      <c r="M1735" s="286" t="str">
        <f>IF(AND(OR(E1729="SS",E1729="RPX",E1729="EUC",E1729="RPX-T"),(OR(C1739="",C1739="Field SPL"))),"Cannot have FlexNap cables without tethers","---")</f>
        <v>---</v>
      </c>
      <c r="N1735" s="287"/>
      <c r="O1735" s="287"/>
      <c r="P1735" s="287"/>
      <c r="Q1735" s="287"/>
      <c r="R1735" s="287"/>
      <c r="S1735" s="287"/>
      <c r="T1735" s="287"/>
      <c r="U1735" s="288"/>
      <c r="V1735" s="25"/>
      <c r="W1735" s="58"/>
      <c r="X1735" s="58"/>
      <c r="Y1735" s="25"/>
      <c r="Z1735" s="45">
        <v>5</v>
      </c>
      <c r="AA1735" s="46">
        <v>49</v>
      </c>
      <c r="AB1735" s="46">
        <v>60</v>
      </c>
      <c r="AC1735" s="25"/>
      <c r="AD1735" s="25"/>
      <c r="BA1735" s="226"/>
    </row>
    <row r="1736" spans="1:53" ht="16.5" thickTop="1" thickBot="1" x14ac:dyDescent="0.3">
      <c r="A1736" s="88"/>
      <c r="B1736" s="59"/>
      <c r="C1736" s="60"/>
      <c r="D1736" s="61"/>
      <c r="E1736" s="62"/>
      <c r="F1736" s="88"/>
      <c r="G1736" s="63"/>
      <c r="H1736" s="64"/>
      <c r="I1736" s="63"/>
      <c r="J1736" s="286" t="str">
        <f>IF(AND(OR(E1729="RPX", E1729="RPX-T", E1729="SS"),E1730=216),"NO 216 For RPX, RPX-T, OR SS CABLE","---")</f>
        <v>---</v>
      </c>
      <c r="K1736" s="287"/>
      <c r="L1736" s="288"/>
      <c r="M1736" s="286" t="str" cm="1">
        <f t="array" ref="M1736">IF(AND(E1729="",OR(C1739:C1763="FST",C1739:C1763="REV T",C1739:C1763="DBL REV",C1739:C1763="TPL REV", C1739:C1763="QD REV")),"Non-FlexNap cables cannot have tethers","---")</f>
        <v>---</v>
      </c>
      <c r="N1736" s="287"/>
      <c r="O1736" s="287"/>
      <c r="P1736" s="287"/>
      <c r="Q1736" s="287"/>
      <c r="R1736" s="287"/>
      <c r="S1736" s="287"/>
      <c r="T1736" s="287"/>
      <c r="U1736" s="288"/>
      <c r="V1736" s="25"/>
      <c r="W1736" s="58"/>
      <c r="X1736" s="58"/>
      <c r="Y1736" s="25"/>
      <c r="Z1736" s="45">
        <v>6</v>
      </c>
      <c r="AA1736" s="65">
        <v>61</v>
      </c>
      <c r="AB1736" s="65">
        <v>72</v>
      </c>
      <c r="AC1736" s="25"/>
      <c r="AD1736" s="25"/>
      <c r="BA1736" s="225"/>
    </row>
    <row r="1737" spans="1:53" ht="15.75" customHeight="1" thickBot="1" x14ac:dyDescent="0.3">
      <c r="A1737" s="88"/>
      <c r="B1737" s="321" t="s">
        <v>260</v>
      </c>
      <c r="C1737" s="293" t="s">
        <v>261</v>
      </c>
      <c r="D1737" s="293" t="s">
        <v>262</v>
      </c>
      <c r="E1737" s="306" t="s">
        <v>263</v>
      </c>
      <c r="F1737" s="293" t="s">
        <v>264</v>
      </c>
      <c r="G1737" s="308" t="s">
        <v>265</v>
      </c>
      <c r="H1737" s="308" t="s">
        <v>266</v>
      </c>
      <c r="I1737" s="308" t="s">
        <v>267</v>
      </c>
      <c r="J1737" s="310" t="s">
        <v>268</v>
      </c>
      <c r="K1737" s="293" t="s">
        <v>269</v>
      </c>
      <c r="L1737" s="280" t="s">
        <v>270</v>
      </c>
      <c r="M1737" s="282" t="s">
        <v>271</v>
      </c>
      <c r="N1737" s="282"/>
      <c r="O1737" s="282"/>
      <c r="P1737" s="282"/>
      <c r="Q1737" s="282"/>
      <c r="R1737" s="282"/>
      <c r="S1737" s="282"/>
      <c r="T1737" s="282"/>
      <c r="U1737" s="283"/>
      <c r="V1737" s="107"/>
      <c r="W1737" s="72"/>
      <c r="X1737" s="72"/>
      <c r="Y1737" s="72"/>
      <c r="Z1737" s="45">
        <v>7</v>
      </c>
      <c r="AA1737" s="65">
        <v>73</v>
      </c>
      <c r="AB1737" s="65">
        <v>84</v>
      </c>
      <c r="AC1737" s="25"/>
      <c r="AD1737" s="25"/>
      <c r="BA1737" s="227"/>
    </row>
    <row r="1738" spans="1:53" ht="15.75" thickBot="1" x14ac:dyDescent="0.3">
      <c r="A1738" s="88"/>
      <c r="B1738" s="322"/>
      <c r="C1738" s="294"/>
      <c r="D1738" s="294"/>
      <c r="E1738" s="307"/>
      <c r="F1738" s="294"/>
      <c r="G1738" s="309"/>
      <c r="H1738" s="309"/>
      <c r="I1738" s="309"/>
      <c r="J1738" s="311"/>
      <c r="K1738" s="294"/>
      <c r="L1738" s="281"/>
      <c r="M1738" s="284"/>
      <c r="N1738" s="284"/>
      <c r="O1738" s="284"/>
      <c r="P1738" s="284"/>
      <c r="Q1738" s="284"/>
      <c r="R1738" s="284"/>
      <c r="S1738" s="284"/>
      <c r="T1738" s="284"/>
      <c r="U1738" s="285"/>
      <c r="V1738" s="107"/>
      <c r="W1738" s="72"/>
      <c r="X1738" s="72"/>
      <c r="Y1738" s="72"/>
      <c r="Z1738" s="45">
        <v>8</v>
      </c>
      <c r="AA1738" s="46">
        <v>85</v>
      </c>
      <c r="AB1738" s="46">
        <v>96</v>
      </c>
      <c r="AC1738" s="25"/>
      <c r="AD1738" s="25"/>
      <c r="AI1738" s="109" t="s">
        <v>272</v>
      </c>
      <c r="AJ1738" s="109" t="s">
        <v>273</v>
      </c>
      <c r="AK1738" s="109" t="s">
        <v>274</v>
      </c>
      <c r="AL1738" s="109" t="s">
        <v>275</v>
      </c>
      <c r="BA1738" s="227"/>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2"/>
      <c r="M1739" s="278"/>
      <c r="N1739" s="278"/>
      <c r="O1739" s="278"/>
      <c r="P1739" s="278"/>
      <c r="Q1739" s="278"/>
      <c r="R1739" s="278"/>
      <c r="S1739" s="278"/>
      <c r="T1739" s="278"/>
      <c r="U1739" s="279"/>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8">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2"/>
      <c r="M1740" s="278"/>
      <c r="N1740" s="278"/>
      <c r="O1740" s="278"/>
      <c r="P1740" s="278"/>
      <c r="Q1740" s="278"/>
      <c r="R1740" s="278"/>
      <c r="S1740" s="278"/>
      <c r="T1740" s="278"/>
      <c r="U1740" s="279"/>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8">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2"/>
      <c r="M1741" s="278"/>
      <c r="N1741" s="278"/>
      <c r="O1741" s="278"/>
      <c r="P1741" s="278"/>
      <c r="Q1741" s="278"/>
      <c r="R1741" s="278"/>
      <c r="S1741" s="278"/>
      <c r="T1741" s="278"/>
      <c r="U1741" s="279"/>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8">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2"/>
      <c r="M1742" s="278"/>
      <c r="N1742" s="278"/>
      <c r="O1742" s="278"/>
      <c r="P1742" s="278"/>
      <c r="Q1742" s="278"/>
      <c r="R1742" s="278"/>
      <c r="S1742" s="278"/>
      <c r="T1742" s="278"/>
      <c r="U1742" s="279"/>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8">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2"/>
      <c r="M1743" s="278"/>
      <c r="N1743" s="278"/>
      <c r="O1743" s="278"/>
      <c r="P1743" s="278"/>
      <c r="Q1743" s="278"/>
      <c r="R1743" s="278"/>
      <c r="S1743" s="278"/>
      <c r="T1743" s="278"/>
      <c r="U1743" s="279"/>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8">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2"/>
      <c r="M1744" s="278"/>
      <c r="N1744" s="278"/>
      <c r="O1744" s="278"/>
      <c r="P1744" s="278"/>
      <c r="Q1744" s="278"/>
      <c r="R1744" s="278"/>
      <c r="S1744" s="278"/>
      <c r="T1744" s="278"/>
      <c r="U1744" s="279"/>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8">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2"/>
      <c r="M1745" s="278"/>
      <c r="N1745" s="278"/>
      <c r="O1745" s="278"/>
      <c r="P1745" s="278"/>
      <c r="Q1745" s="278"/>
      <c r="R1745" s="278"/>
      <c r="S1745" s="278"/>
      <c r="T1745" s="278"/>
      <c r="U1745" s="279"/>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8">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2"/>
      <c r="M1746" s="278"/>
      <c r="N1746" s="278"/>
      <c r="O1746" s="278"/>
      <c r="P1746" s="278"/>
      <c r="Q1746" s="278"/>
      <c r="R1746" s="278"/>
      <c r="S1746" s="278"/>
      <c r="T1746" s="278"/>
      <c r="U1746" s="279"/>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8">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2"/>
      <c r="M1747" s="278"/>
      <c r="N1747" s="278"/>
      <c r="O1747" s="278"/>
      <c r="P1747" s="278"/>
      <c r="Q1747" s="278"/>
      <c r="R1747" s="278"/>
      <c r="S1747" s="278"/>
      <c r="T1747" s="278"/>
      <c r="U1747" s="279"/>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8">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2"/>
      <c r="M1748" s="278"/>
      <c r="N1748" s="278"/>
      <c r="O1748" s="278"/>
      <c r="P1748" s="278"/>
      <c r="Q1748" s="278"/>
      <c r="R1748" s="278"/>
      <c r="S1748" s="278"/>
      <c r="T1748" s="278"/>
      <c r="U1748" s="279"/>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8">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2"/>
      <c r="M1749" s="278"/>
      <c r="N1749" s="278"/>
      <c r="O1749" s="278"/>
      <c r="P1749" s="278"/>
      <c r="Q1749" s="278"/>
      <c r="R1749" s="278"/>
      <c r="S1749" s="278"/>
      <c r="T1749" s="278"/>
      <c r="U1749" s="279"/>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8">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2"/>
      <c r="M1750" s="278"/>
      <c r="N1750" s="278"/>
      <c r="O1750" s="278"/>
      <c r="P1750" s="278"/>
      <c r="Q1750" s="278"/>
      <c r="R1750" s="278"/>
      <c r="S1750" s="278"/>
      <c r="T1750" s="278"/>
      <c r="U1750" s="279"/>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8">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2"/>
      <c r="M1751" s="278"/>
      <c r="N1751" s="278"/>
      <c r="O1751" s="278"/>
      <c r="P1751" s="278"/>
      <c r="Q1751" s="278"/>
      <c r="R1751" s="278"/>
      <c r="S1751" s="278"/>
      <c r="T1751" s="278"/>
      <c r="U1751" s="279"/>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8">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2"/>
      <c r="M1752" s="278"/>
      <c r="N1752" s="278"/>
      <c r="O1752" s="278"/>
      <c r="P1752" s="278"/>
      <c r="Q1752" s="278"/>
      <c r="R1752" s="278"/>
      <c r="S1752" s="278"/>
      <c r="T1752" s="278"/>
      <c r="U1752" s="279"/>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8">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2"/>
      <c r="M1753" s="278"/>
      <c r="N1753" s="278"/>
      <c r="O1753" s="278"/>
      <c r="P1753" s="278"/>
      <c r="Q1753" s="278"/>
      <c r="R1753" s="278"/>
      <c r="S1753" s="278"/>
      <c r="T1753" s="278"/>
      <c r="U1753" s="279"/>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8">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2"/>
      <c r="M1754" s="278"/>
      <c r="N1754" s="278"/>
      <c r="O1754" s="278"/>
      <c r="P1754" s="278"/>
      <c r="Q1754" s="278"/>
      <c r="R1754" s="278"/>
      <c r="S1754" s="278"/>
      <c r="T1754" s="278"/>
      <c r="U1754" s="279"/>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8">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2"/>
      <c r="M1755" s="278"/>
      <c r="N1755" s="278"/>
      <c r="O1755" s="278"/>
      <c r="P1755" s="278"/>
      <c r="Q1755" s="278"/>
      <c r="R1755" s="278"/>
      <c r="S1755" s="278"/>
      <c r="T1755" s="278"/>
      <c r="U1755" s="279"/>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8">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2"/>
      <c r="M1756" s="278"/>
      <c r="N1756" s="278"/>
      <c r="O1756" s="278"/>
      <c r="P1756" s="278"/>
      <c r="Q1756" s="278"/>
      <c r="R1756" s="278"/>
      <c r="S1756" s="278"/>
      <c r="T1756" s="278"/>
      <c r="U1756" s="279"/>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8">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2"/>
      <c r="M1757" s="278"/>
      <c r="N1757" s="278"/>
      <c r="O1757" s="278"/>
      <c r="P1757" s="278"/>
      <c r="Q1757" s="278"/>
      <c r="R1757" s="278"/>
      <c r="S1757" s="278"/>
      <c r="T1757" s="278"/>
      <c r="U1757" s="279"/>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8">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2"/>
      <c r="M1758" s="278"/>
      <c r="N1758" s="278"/>
      <c r="O1758" s="278"/>
      <c r="P1758" s="278"/>
      <c r="Q1758" s="278"/>
      <c r="R1758" s="278"/>
      <c r="S1758" s="278"/>
      <c r="T1758" s="278"/>
      <c r="U1758" s="279"/>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8">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2"/>
      <c r="M1759" s="278"/>
      <c r="N1759" s="278"/>
      <c r="O1759" s="278"/>
      <c r="P1759" s="278"/>
      <c r="Q1759" s="278"/>
      <c r="R1759" s="278"/>
      <c r="S1759" s="278"/>
      <c r="T1759" s="278"/>
      <c r="U1759" s="279"/>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8">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2"/>
      <c r="M1760" s="278"/>
      <c r="N1760" s="278"/>
      <c r="O1760" s="278"/>
      <c r="P1760" s="278"/>
      <c r="Q1760" s="278"/>
      <c r="R1760" s="278"/>
      <c r="S1760" s="278"/>
      <c r="T1760" s="278"/>
      <c r="U1760" s="279"/>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8">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2"/>
      <c r="M1761" s="278"/>
      <c r="N1761" s="278"/>
      <c r="O1761" s="278"/>
      <c r="P1761" s="278"/>
      <c r="Q1761" s="278"/>
      <c r="R1761" s="278"/>
      <c r="S1761" s="278"/>
      <c r="T1761" s="278"/>
      <c r="U1761" s="279"/>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8">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2"/>
      <c r="M1762" s="278"/>
      <c r="N1762" s="278"/>
      <c r="O1762" s="278"/>
      <c r="P1762" s="278"/>
      <c r="Q1762" s="278"/>
      <c r="R1762" s="278"/>
      <c r="S1762" s="278"/>
      <c r="T1762" s="278"/>
      <c r="U1762" s="279"/>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8">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3"/>
      <c r="M1763" s="278"/>
      <c r="N1763" s="278"/>
      <c r="O1763" s="278"/>
      <c r="P1763" s="278"/>
      <c r="Q1763" s="278"/>
      <c r="R1763" s="278"/>
      <c r="S1763" s="278"/>
      <c r="T1763" s="278"/>
      <c r="U1763" s="279"/>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7"/>
    </row>
    <row r="1764" spans="1:53" ht="16.5" thickBot="1" x14ac:dyDescent="0.3">
      <c r="A1764" s="88"/>
      <c r="B1764" s="319" t="s">
        <v>389</v>
      </c>
      <c r="C1764" s="320"/>
      <c r="D1764" s="79"/>
      <c r="E1764" s="80"/>
      <c r="F1764" s="80"/>
      <c r="G1764" s="81"/>
      <c r="H1764" s="191"/>
      <c r="I1764" s="191"/>
      <c r="J1764" s="191"/>
      <c r="K1764" s="82"/>
      <c r="L1764" s="319" t="s">
        <v>306</v>
      </c>
      <c r="M1764" s="330"/>
      <c r="N1764" s="330"/>
      <c r="O1764" s="330"/>
      <c r="P1764" s="330"/>
      <c r="Q1764" s="330"/>
      <c r="R1764" s="330"/>
      <c r="S1764" s="330"/>
      <c r="T1764" s="330"/>
      <c r="U1764" s="320"/>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7"/>
    </row>
    <row r="1765" spans="1:53" ht="16.5" thickBot="1" x14ac:dyDescent="0.3">
      <c r="A1765" s="88"/>
      <c r="B1765" s="319" t="s">
        <v>307</v>
      </c>
      <c r="C1765" s="320"/>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5"/>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5" t="s">
        <v>210</v>
      </c>
      <c r="N1768" s="195" t="s">
        <v>211</v>
      </c>
      <c r="O1768" s="195" t="s">
        <v>212</v>
      </c>
      <c r="P1768" s="195" t="s">
        <v>213</v>
      </c>
      <c r="Q1768" s="195" t="s">
        <v>214</v>
      </c>
      <c r="R1768" s="195" t="s">
        <v>215</v>
      </c>
      <c r="S1768" s="195" t="s">
        <v>216</v>
      </c>
      <c r="T1768" s="195" t="s">
        <v>217</v>
      </c>
      <c r="U1768" s="195" t="s">
        <v>218</v>
      </c>
      <c r="V1768" s="195" t="s">
        <v>219</v>
      </c>
      <c r="W1768" s="113" t="s">
        <v>220</v>
      </c>
      <c r="X1768" s="195" t="s">
        <v>221</v>
      </c>
      <c r="Y1768" s="25"/>
      <c r="Z1768" s="25"/>
      <c r="AA1768" s="25"/>
      <c r="AB1768" s="25"/>
      <c r="AC1768" s="25"/>
      <c r="AD1768" s="25"/>
      <c r="BA1768" s="225"/>
    </row>
    <row r="1769" spans="1:53" ht="16.5" thickTop="1" thickBot="1" x14ac:dyDescent="0.3">
      <c r="A1769" s="88"/>
      <c r="B1769" s="312" t="s">
        <v>222</v>
      </c>
      <c r="C1769" s="313"/>
      <c r="D1769" s="314" t="s">
        <v>223</v>
      </c>
      <c r="E1769" s="305"/>
      <c r="F1769" s="88"/>
      <c r="G1769" s="315" t="s">
        <v>224</v>
      </c>
      <c r="H1769" s="316"/>
      <c r="I1769" s="28">
        <f>SUM(E1780:E1804)</f>
        <v>0</v>
      </c>
      <c r="J1769" s="317" t="s">
        <v>225</v>
      </c>
      <c r="K1769" s="318"/>
      <c r="L1769" s="305"/>
      <c r="M1769" s="195">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5" t="s">
        <v>226</v>
      </c>
      <c r="AA1769" s="296"/>
      <c r="AB1769" s="297"/>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5"/>
    </row>
    <row r="1770" spans="1:53" ht="16.5" customHeight="1" thickTop="1" thickBot="1" x14ac:dyDescent="0.3">
      <c r="A1770" s="88"/>
      <c r="B1770" s="29" t="s">
        <v>228</v>
      </c>
      <c r="C1770" s="30">
        <v>0</v>
      </c>
      <c r="D1770" s="31" t="s">
        <v>229</v>
      </c>
      <c r="E1770" s="66" t="str">
        <f>TEXT(IF('Cable Calculator'!HK7="","",'Cable Calculator'!HK7),)</f>
        <v/>
      </c>
      <c r="F1770" s="88"/>
      <c r="G1770" s="304" t="s">
        <v>230</v>
      </c>
      <c r="H1770" s="305"/>
      <c r="I1770" s="33">
        <f>E1771-I1769</f>
        <v>0</v>
      </c>
      <c r="J1770" s="289" t="s">
        <v>231</v>
      </c>
      <c r="K1770" s="290"/>
      <c r="L1770" s="34">
        <f>I1774</f>
        <v>0</v>
      </c>
      <c r="M1770" s="195">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8" t="s">
        <v>232</v>
      </c>
      <c r="AA1770" s="300" t="s">
        <v>233</v>
      </c>
      <c r="AB1770" s="301"/>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6"/>
    </row>
    <row r="1771" spans="1:53" ht="16.5" thickTop="1" thickBot="1" x14ac:dyDescent="0.3">
      <c r="A1771" s="88"/>
      <c r="B1771" s="36" t="s">
        <v>235</v>
      </c>
      <c r="C1771" s="37">
        <v>0</v>
      </c>
      <c r="D1771" s="38" t="s">
        <v>236</v>
      </c>
      <c r="E1771" s="32"/>
      <c r="F1771" s="88"/>
      <c r="G1771" s="291" t="s">
        <v>237</v>
      </c>
      <c r="H1771" s="292"/>
      <c r="I1771" s="35">
        <f>IF(E1771=0,0,12-(MOD(I1769,12)))</f>
        <v>0</v>
      </c>
      <c r="J1771" s="289" t="s">
        <v>238</v>
      </c>
      <c r="K1771" s="290"/>
      <c r="L1771" s="39">
        <f>I1775-I1769</f>
        <v>0</v>
      </c>
      <c r="M1771" s="195">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9"/>
      <c r="AA1771" s="302"/>
      <c r="AB1771" s="303"/>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6"/>
    </row>
    <row r="1772" spans="1:53" ht="16.5" customHeight="1" thickTop="1" thickBot="1" x14ac:dyDescent="0.3">
      <c r="A1772" s="88"/>
      <c r="B1772" s="40" t="s">
        <v>240</v>
      </c>
      <c r="C1772" s="30">
        <v>0</v>
      </c>
      <c r="D1772" s="41" t="s">
        <v>241</v>
      </c>
      <c r="E1772" s="42"/>
      <c r="F1772" s="88"/>
      <c r="G1772" s="321" t="s">
        <v>242</v>
      </c>
      <c r="H1772" s="43" t="s">
        <v>243</v>
      </c>
      <c r="I1772" s="35">
        <f>IF(E1772&lt;&gt;0,1,0)</f>
        <v>0</v>
      </c>
      <c r="J1772" s="291" t="s">
        <v>244</v>
      </c>
      <c r="K1772" s="292"/>
      <c r="L1772" s="44" t="str">
        <f>'Cable Calculator'!HK3</f>
        <v/>
      </c>
      <c r="M1772" s="195">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6"/>
    </row>
    <row r="1773" spans="1:53" ht="16.5" thickTop="1" thickBot="1" x14ac:dyDescent="0.3">
      <c r="A1773" s="88"/>
      <c r="B1773" s="29" t="s">
        <v>246</v>
      </c>
      <c r="C1773" s="37">
        <v>0</v>
      </c>
      <c r="D1773" s="41" t="s">
        <v>247</v>
      </c>
      <c r="E1773" s="42"/>
      <c r="F1773" s="88"/>
      <c r="G1773" s="322"/>
      <c r="H1773" s="47" t="s">
        <v>248</v>
      </c>
      <c r="I1773" s="35">
        <f>IF(E1772&lt;&gt;0,E1772,0)</f>
        <v>0</v>
      </c>
      <c r="J1773" s="193"/>
      <c r="K1773" s="194"/>
      <c r="L1773" s="48"/>
      <c r="M1773" s="195">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6"/>
    </row>
    <row r="1774" spans="1:53" ht="16.5" customHeight="1" thickTop="1" thickBot="1" x14ac:dyDescent="0.3">
      <c r="A1774" s="88"/>
      <c r="B1774" s="36" t="s">
        <v>249</v>
      </c>
      <c r="C1774" s="30">
        <v>0</v>
      </c>
      <c r="D1774" s="49" t="s">
        <v>250</v>
      </c>
      <c r="E1774" s="50">
        <f>E1771/12</f>
        <v>0</v>
      </c>
      <c r="F1774" s="88"/>
      <c r="G1774" s="321" t="s">
        <v>251</v>
      </c>
      <c r="H1774" s="51" t="s">
        <v>252</v>
      </c>
      <c r="I1774" s="112">
        <f>E1773</f>
        <v>0</v>
      </c>
      <c r="J1774" s="323" t="s">
        <v>253</v>
      </c>
      <c r="K1774" s="324"/>
      <c r="L1774" s="325"/>
      <c r="M1774" s="52" t="s">
        <v>254</v>
      </c>
      <c r="N1774" s="106"/>
      <c r="O1774" s="106"/>
      <c r="P1774" s="191"/>
      <c r="Q1774" s="191"/>
      <c r="R1774" s="191"/>
      <c r="S1774" s="191"/>
      <c r="T1774" s="191"/>
      <c r="U1774" s="191"/>
      <c r="V1774" s="191"/>
      <c r="W1774" s="53">
        <f>SUM(P1774:U1774)</f>
        <v>0</v>
      </c>
      <c r="X1774" s="54"/>
      <c r="Y1774" s="25"/>
      <c r="Z1774" s="45">
        <v>3</v>
      </c>
      <c r="AA1774" s="46">
        <v>25</v>
      </c>
      <c r="AB1774" s="46">
        <v>36</v>
      </c>
      <c r="AC1774" s="25"/>
      <c r="AD1774" s="25"/>
      <c r="BA1774" s="226"/>
    </row>
    <row r="1775" spans="1:53" ht="16.5" thickTop="1" thickBot="1" x14ac:dyDescent="0.3">
      <c r="A1775" s="88"/>
      <c r="B1775" s="36" t="s">
        <v>255</v>
      </c>
      <c r="C1775" s="30">
        <v>0</v>
      </c>
      <c r="D1775" s="31" t="s">
        <v>256</v>
      </c>
      <c r="E1775" s="101" t="str">
        <f>IF('Cable Calculator'!HK5="","",'Cable Calculator'!HK5)</f>
        <v/>
      </c>
      <c r="F1775" s="88"/>
      <c r="G1775" s="322"/>
      <c r="H1775" s="47" t="s">
        <v>257</v>
      </c>
      <c r="I1775" s="35" t="str">
        <f>IF(E1773="","0",IF(AND(E1770="EUC",E1771=432), I1774+(203-E1772),IF(E1773=0,0,(E1773+(E1771-E1772)-1))))</f>
        <v>0</v>
      </c>
      <c r="J1775" s="286" t="str">
        <f>IFERROR(IF(OR(E1770="EUC",E1770="SS"),"---",IF(OR(P1769,S1769),"NO 2F Tethers for RPX!",IF(OR(P1771,S1771),"NO 6F Tethers for RPX!","---"))),"---")</f>
        <v>---</v>
      </c>
      <c r="K1775" s="287"/>
      <c r="L1775" s="288"/>
      <c r="M1775" s="286" t="str">
        <f>IF(E1772&gt;60,"Dead Count &gt;60: Consider Downsize","---")</f>
        <v>---</v>
      </c>
      <c r="N1775" s="287"/>
      <c r="O1775" s="287"/>
      <c r="P1775" s="287"/>
      <c r="Q1775" s="287"/>
      <c r="R1775" s="287"/>
      <c r="S1775" s="287"/>
      <c r="T1775" s="287"/>
      <c r="U1775" s="288"/>
      <c r="V1775" s="100"/>
      <c r="W1775" s="54">
        <f>SUM(P1775:U1775)</f>
        <v>0</v>
      </c>
      <c r="X1775" s="54"/>
      <c r="Y1775" s="25"/>
      <c r="Z1775" s="45">
        <v>4</v>
      </c>
      <c r="AA1775" s="46">
        <v>37</v>
      </c>
      <c r="AB1775" s="46">
        <v>48</v>
      </c>
      <c r="AC1775" s="25"/>
      <c r="AD1775" s="25"/>
      <c r="BA1775" s="226"/>
    </row>
    <row r="1776" spans="1:53" ht="16.5" thickTop="1" thickBot="1" x14ac:dyDescent="0.3">
      <c r="A1776" s="88"/>
      <c r="B1776" s="55" t="s">
        <v>258</v>
      </c>
      <c r="C1776" s="56">
        <f>SUM(C1770:C1775)+I1769</f>
        <v>0</v>
      </c>
      <c r="D1776" s="31" t="s">
        <v>259</v>
      </c>
      <c r="E1776" s="101" t="str">
        <f>IF(AS1770="Y","DBL",IF(AS1771="Y","TRPL",IF(AS1772="Y","QUAD","")))</f>
        <v/>
      </c>
      <c r="F1776" s="88"/>
      <c r="G1776" s="191"/>
      <c r="H1776" s="57"/>
      <c r="I1776" s="191"/>
      <c r="J1776" s="286"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7"/>
      <c r="L1776" s="288"/>
      <c r="M1776" s="286" t="str">
        <f>IF(AND(OR(E1770="SS",E1770="RPX",E1770="EUC",E1770="RPX-T"),(OR(C1780="",C1780="Field SPL"))),"Cannot have FlexNap cables without tethers","---")</f>
        <v>---</v>
      </c>
      <c r="N1776" s="287"/>
      <c r="O1776" s="287"/>
      <c r="P1776" s="287"/>
      <c r="Q1776" s="287"/>
      <c r="R1776" s="287"/>
      <c r="S1776" s="287"/>
      <c r="T1776" s="287"/>
      <c r="U1776" s="288"/>
      <c r="V1776" s="25"/>
      <c r="W1776" s="58"/>
      <c r="X1776" s="58"/>
      <c r="Y1776" s="25"/>
      <c r="Z1776" s="45">
        <v>5</v>
      </c>
      <c r="AA1776" s="46">
        <v>49</v>
      </c>
      <c r="AB1776" s="46">
        <v>60</v>
      </c>
      <c r="AC1776" s="25"/>
      <c r="AD1776" s="25"/>
      <c r="BA1776" s="226"/>
    </row>
    <row r="1777" spans="1:53" ht="16.5" thickTop="1" thickBot="1" x14ac:dyDescent="0.3">
      <c r="A1777" s="88"/>
      <c r="B1777" s="59"/>
      <c r="C1777" s="60"/>
      <c r="D1777" s="61"/>
      <c r="E1777" s="62"/>
      <c r="F1777" s="88"/>
      <c r="G1777" s="63"/>
      <c r="H1777" s="64"/>
      <c r="I1777" s="63"/>
      <c r="J1777" s="286" t="str">
        <f>IF(AND(OR(E1770="RPX", E1770="RPX-T", E1770="SS"),E1771=216),"NO 216 For RPX, RPX-T, OR SS CABLE","---")</f>
        <v>---</v>
      </c>
      <c r="K1777" s="287"/>
      <c r="L1777" s="288"/>
      <c r="M1777" s="286" t="str" cm="1">
        <f t="array" ref="M1777">IF(AND(E1770="",OR(C1780:C1804="FST",C1780:C1804="REV T",C1780:C1804="DBL REV",C1780:C1804="TPL REV", C1780:C1804="QD REV")),"Non-FlexNap cables cannot have tethers","---")</f>
        <v>---</v>
      </c>
      <c r="N1777" s="287"/>
      <c r="O1777" s="287"/>
      <c r="P1777" s="287"/>
      <c r="Q1777" s="287"/>
      <c r="R1777" s="287"/>
      <c r="S1777" s="287"/>
      <c r="T1777" s="287"/>
      <c r="U1777" s="288"/>
      <c r="V1777" s="25"/>
      <c r="W1777" s="58"/>
      <c r="X1777" s="58"/>
      <c r="Y1777" s="25"/>
      <c r="Z1777" s="45">
        <v>6</v>
      </c>
      <c r="AA1777" s="65">
        <v>61</v>
      </c>
      <c r="AB1777" s="65">
        <v>72</v>
      </c>
      <c r="AC1777" s="25"/>
      <c r="AD1777" s="25"/>
      <c r="BA1777" s="225"/>
    </row>
    <row r="1778" spans="1:53" ht="15.75" customHeight="1" thickBot="1" x14ac:dyDescent="0.3">
      <c r="A1778" s="88"/>
      <c r="B1778" s="321" t="s">
        <v>260</v>
      </c>
      <c r="C1778" s="293" t="s">
        <v>261</v>
      </c>
      <c r="D1778" s="293" t="s">
        <v>262</v>
      </c>
      <c r="E1778" s="306" t="s">
        <v>263</v>
      </c>
      <c r="F1778" s="293" t="s">
        <v>264</v>
      </c>
      <c r="G1778" s="308" t="s">
        <v>265</v>
      </c>
      <c r="H1778" s="308" t="s">
        <v>266</v>
      </c>
      <c r="I1778" s="308" t="s">
        <v>267</v>
      </c>
      <c r="J1778" s="310" t="s">
        <v>268</v>
      </c>
      <c r="K1778" s="293" t="s">
        <v>269</v>
      </c>
      <c r="L1778" s="280" t="s">
        <v>270</v>
      </c>
      <c r="M1778" s="282" t="s">
        <v>271</v>
      </c>
      <c r="N1778" s="282"/>
      <c r="O1778" s="282"/>
      <c r="P1778" s="282"/>
      <c r="Q1778" s="282"/>
      <c r="R1778" s="282"/>
      <c r="S1778" s="282"/>
      <c r="T1778" s="282"/>
      <c r="U1778" s="283"/>
      <c r="V1778" s="107"/>
      <c r="W1778" s="72"/>
      <c r="X1778" s="72"/>
      <c r="Y1778" s="72"/>
      <c r="Z1778" s="45">
        <v>7</v>
      </c>
      <c r="AA1778" s="65">
        <v>73</v>
      </c>
      <c r="AB1778" s="65">
        <v>84</v>
      </c>
      <c r="AC1778" s="25"/>
      <c r="AD1778" s="25"/>
      <c r="BA1778" s="227"/>
    </row>
    <row r="1779" spans="1:53" ht="15.75" thickBot="1" x14ac:dyDescent="0.3">
      <c r="A1779" s="88"/>
      <c r="B1779" s="322"/>
      <c r="C1779" s="294"/>
      <c r="D1779" s="294"/>
      <c r="E1779" s="307"/>
      <c r="F1779" s="294"/>
      <c r="G1779" s="309"/>
      <c r="H1779" s="309"/>
      <c r="I1779" s="309"/>
      <c r="J1779" s="311"/>
      <c r="K1779" s="294"/>
      <c r="L1779" s="281"/>
      <c r="M1779" s="284"/>
      <c r="N1779" s="284"/>
      <c r="O1779" s="284"/>
      <c r="P1779" s="284"/>
      <c r="Q1779" s="284"/>
      <c r="R1779" s="284"/>
      <c r="S1779" s="284"/>
      <c r="T1779" s="284"/>
      <c r="U1779" s="285"/>
      <c r="V1779" s="107"/>
      <c r="W1779" s="72"/>
      <c r="X1779" s="72"/>
      <c r="Y1779" s="72"/>
      <c r="Z1779" s="45">
        <v>8</v>
      </c>
      <c r="AA1779" s="46">
        <v>85</v>
      </c>
      <c r="AB1779" s="46">
        <v>96</v>
      </c>
      <c r="AC1779" s="25"/>
      <c r="AD1779" s="25"/>
      <c r="AI1779" s="109" t="s">
        <v>272</v>
      </c>
      <c r="AJ1779" s="109" t="s">
        <v>273</v>
      </c>
      <c r="AK1779" s="109" t="s">
        <v>274</v>
      </c>
      <c r="AL1779" s="109" t="s">
        <v>275</v>
      </c>
      <c r="BA1779" s="227"/>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2"/>
      <c r="M1780" s="278"/>
      <c r="N1780" s="278"/>
      <c r="O1780" s="278"/>
      <c r="P1780" s="278"/>
      <c r="Q1780" s="278"/>
      <c r="R1780" s="278"/>
      <c r="S1780" s="278"/>
      <c r="T1780" s="278"/>
      <c r="U1780" s="279"/>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8">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2"/>
      <c r="M1781" s="278"/>
      <c r="N1781" s="278"/>
      <c r="O1781" s="278"/>
      <c r="P1781" s="278"/>
      <c r="Q1781" s="278"/>
      <c r="R1781" s="278"/>
      <c r="S1781" s="278"/>
      <c r="T1781" s="278"/>
      <c r="U1781" s="279"/>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8">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2"/>
      <c r="M1782" s="278"/>
      <c r="N1782" s="278"/>
      <c r="O1782" s="278"/>
      <c r="P1782" s="278"/>
      <c r="Q1782" s="278"/>
      <c r="R1782" s="278"/>
      <c r="S1782" s="278"/>
      <c r="T1782" s="278"/>
      <c r="U1782" s="279"/>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8">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2"/>
      <c r="M1783" s="278"/>
      <c r="N1783" s="278"/>
      <c r="O1783" s="278"/>
      <c r="P1783" s="278"/>
      <c r="Q1783" s="278"/>
      <c r="R1783" s="278"/>
      <c r="S1783" s="278"/>
      <c r="T1783" s="278"/>
      <c r="U1783" s="279"/>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8">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2"/>
      <c r="M1784" s="278"/>
      <c r="N1784" s="278"/>
      <c r="O1784" s="278"/>
      <c r="P1784" s="278"/>
      <c r="Q1784" s="278"/>
      <c r="R1784" s="278"/>
      <c r="S1784" s="278"/>
      <c r="T1784" s="278"/>
      <c r="U1784" s="279"/>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8">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2"/>
      <c r="M1785" s="278"/>
      <c r="N1785" s="278"/>
      <c r="O1785" s="278"/>
      <c r="P1785" s="278"/>
      <c r="Q1785" s="278"/>
      <c r="R1785" s="278"/>
      <c r="S1785" s="278"/>
      <c r="T1785" s="278"/>
      <c r="U1785" s="279"/>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8">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2"/>
      <c r="M1786" s="278"/>
      <c r="N1786" s="278"/>
      <c r="O1786" s="278"/>
      <c r="P1786" s="278"/>
      <c r="Q1786" s="278"/>
      <c r="R1786" s="278"/>
      <c r="S1786" s="278"/>
      <c r="T1786" s="278"/>
      <c r="U1786" s="279"/>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8">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2"/>
      <c r="M1787" s="278"/>
      <c r="N1787" s="278"/>
      <c r="O1787" s="278"/>
      <c r="P1787" s="278"/>
      <c r="Q1787" s="278"/>
      <c r="R1787" s="278"/>
      <c r="S1787" s="278"/>
      <c r="T1787" s="278"/>
      <c r="U1787" s="279"/>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8">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2"/>
      <c r="M1788" s="278"/>
      <c r="N1788" s="278"/>
      <c r="O1788" s="278"/>
      <c r="P1788" s="278"/>
      <c r="Q1788" s="278"/>
      <c r="R1788" s="278"/>
      <c r="S1788" s="278"/>
      <c r="T1788" s="278"/>
      <c r="U1788" s="279"/>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8">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2"/>
      <c r="M1789" s="278"/>
      <c r="N1789" s="278"/>
      <c r="O1789" s="278"/>
      <c r="P1789" s="278"/>
      <c r="Q1789" s="278"/>
      <c r="R1789" s="278"/>
      <c r="S1789" s="278"/>
      <c r="T1789" s="278"/>
      <c r="U1789" s="279"/>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8">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2"/>
      <c r="M1790" s="278"/>
      <c r="N1790" s="278"/>
      <c r="O1790" s="278"/>
      <c r="P1790" s="278"/>
      <c r="Q1790" s="278"/>
      <c r="R1790" s="278"/>
      <c r="S1790" s="278"/>
      <c r="T1790" s="278"/>
      <c r="U1790" s="279"/>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8">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2"/>
      <c r="M1791" s="278"/>
      <c r="N1791" s="278"/>
      <c r="O1791" s="278"/>
      <c r="P1791" s="278"/>
      <c r="Q1791" s="278"/>
      <c r="R1791" s="278"/>
      <c r="S1791" s="278"/>
      <c r="T1791" s="278"/>
      <c r="U1791" s="279"/>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8">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2"/>
      <c r="M1792" s="278"/>
      <c r="N1792" s="278"/>
      <c r="O1792" s="278"/>
      <c r="P1792" s="278"/>
      <c r="Q1792" s="278"/>
      <c r="R1792" s="278"/>
      <c r="S1792" s="278"/>
      <c r="T1792" s="278"/>
      <c r="U1792" s="279"/>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8">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2"/>
      <c r="M1793" s="278"/>
      <c r="N1793" s="278"/>
      <c r="O1793" s="278"/>
      <c r="P1793" s="278"/>
      <c r="Q1793" s="278"/>
      <c r="R1793" s="278"/>
      <c r="S1793" s="278"/>
      <c r="T1793" s="278"/>
      <c r="U1793" s="279"/>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8">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2"/>
      <c r="M1794" s="278"/>
      <c r="N1794" s="278"/>
      <c r="O1794" s="278"/>
      <c r="P1794" s="278"/>
      <c r="Q1794" s="278"/>
      <c r="R1794" s="278"/>
      <c r="S1794" s="278"/>
      <c r="T1794" s="278"/>
      <c r="U1794" s="279"/>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8">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2"/>
      <c r="M1795" s="278"/>
      <c r="N1795" s="278"/>
      <c r="O1795" s="278"/>
      <c r="P1795" s="278"/>
      <c r="Q1795" s="278"/>
      <c r="R1795" s="278"/>
      <c r="S1795" s="278"/>
      <c r="T1795" s="278"/>
      <c r="U1795" s="279"/>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8">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2"/>
      <c r="M1796" s="278"/>
      <c r="N1796" s="278"/>
      <c r="O1796" s="278"/>
      <c r="P1796" s="278"/>
      <c r="Q1796" s="278"/>
      <c r="R1796" s="278"/>
      <c r="S1796" s="278"/>
      <c r="T1796" s="278"/>
      <c r="U1796" s="279"/>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8">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2"/>
      <c r="M1797" s="278"/>
      <c r="N1797" s="278"/>
      <c r="O1797" s="278"/>
      <c r="P1797" s="278"/>
      <c r="Q1797" s="278"/>
      <c r="R1797" s="278"/>
      <c r="S1797" s="278"/>
      <c r="T1797" s="278"/>
      <c r="U1797" s="279"/>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8">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2"/>
      <c r="M1798" s="278"/>
      <c r="N1798" s="278"/>
      <c r="O1798" s="278"/>
      <c r="P1798" s="278"/>
      <c r="Q1798" s="278"/>
      <c r="R1798" s="278"/>
      <c r="S1798" s="278"/>
      <c r="T1798" s="278"/>
      <c r="U1798" s="279"/>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8">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2"/>
      <c r="M1799" s="278"/>
      <c r="N1799" s="278"/>
      <c r="O1799" s="278"/>
      <c r="P1799" s="278"/>
      <c r="Q1799" s="278"/>
      <c r="R1799" s="278"/>
      <c r="S1799" s="278"/>
      <c r="T1799" s="278"/>
      <c r="U1799" s="279"/>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8">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2"/>
      <c r="M1800" s="278"/>
      <c r="N1800" s="278"/>
      <c r="O1800" s="278"/>
      <c r="P1800" s="278"/>
      <c r="Q1800" s="278"/>
      <c r="R1800" s="278"/>
      <c r="S1800" s="278"/>
      <c r="T1800" s="278"/>
      <c r="U1800" s="279"/>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8">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2"/>
      <c r="M1801" s="278"/>
      <c r="N1801" s="278"/>
      <c r="O1801" s="278"/>
      <c r="P1801" s="278"/>
      <c r="Q1801" s="278"/>
      <c r="R1801" s="278"/>
      <c r="S1801" s="278"/>
      <c r="T1801" s="278"/>
      <c r="U1801" s="279"/>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8">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2"/>
      <c r="M1802" s="278"/>
      <c r="N1802" s="278"/>
      <c r="O1802" s="278"/>
      <c r="P1802" s="278"/>
      <c r="Q1802" s="278"/>
      <c r="R1802" s="278"/>
      <c r="S1802" s="278"/>
      <c r="T1802" s="278"/>
      <c r="U1802" s="279"/>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8">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2"/>
      <c r="M1803" s="278"/>
      <c r="N1803" s="278"/>
      <c r="O1803" s="278"/>
      <c r="P1803" s="278"/>
      <c r="Q1803" s="278"/>
      <c r="R1803" s="278"/>
      <c r="S1803" s="278"/>
      <c r="T1803" s="278"/>
      <c r="U1803" s="279"/>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8">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3"/>
      <c r="M1804" s="278"/>
      <c r="N1804" s="278"/>
      <c r="O1804" s="278"/>
      <c r="P1804" s="278"/>
      <c r="Q1804" s="278"/>
      <c r="R1804" s="278"/>
      <c r="S1804" s="278"/>
      <c r="T1804" s="278"/>
      <c r="U1804" s="279"/>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7"/>
    </row>
    <row r="1805" spans="1:53" ht="16.5" thickBot="1" x14ac:dyDescent="0.3">
      <c r="A1805" s="88"/>
      <c r="B1805" s="319" t="s">
        <v>391</v>
      </c>
      <c r="C1805" s="320"/>
      <c r="D1805" s="79"/>
      <c r="E1805" s="80"/>
      <c r="F1805" s="80"/>
      <c r="G1805" s="81"/>
      <c r="H1805" s="191"/>
      <c r="I1805" s="191"/>
      <c r="J1805" s="191"/>
      <c r="K1805" s="82"/>
      <c r="L1805" s="319" t="s">
        <v>306</v>
      </c>
      <c r="M1805" s="330"/>
      <c r="N1805" s="330"/>
      <c r="O1805" s="330"/>
      <c r="P1805" s="330"/>
      <c r="Q1805" s="330"/>
      <c r="R1805" s="330"/>
      <c r="S1805" s="330"/>
      <c r="T1805" s="330"/>
      <c r="U1805" s="320"/>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7"/>
    </row>
    <row r="1806" spans="1:53" ht="16.5" thickBot="1" x14ac:dyDescent="0.3">
      <c r="A1806" s="88"/>
      <c r="B1806" s="319" t="s">
        <v>307</v>
      </c>
      <c r="C1806" s="320"/>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5"/>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5" t="s">
        <v>210</v>
      </c>
      <c r="N1809" s="195" t="s">
        <v>211</v>
      </c>
      <c r="O1809" s="195" t="s">
        <v>212</v>
      </c>
      <c r="P1809" s="195" t="s">
        <v>213</v>
      </c>
      <c r="Q1809" s="195" t="s">
        <v>214</v>
      </c>
      <c r="R1809" s="195" t="s">
        <v>215</v>
      </c>
      <c r="S1809" s="195" t="s">
        <v>216</v>
      </c>
      <c r="T1809" s="195" t="s">
        <v>217</v>
      </c>
      <c r="U1809" s="195" t="s">
        <v>218</v>
      </c>
      <c r="V1809" s="195" t="s">
        <v>219</v>
      </c>
      <c r="W1809" s="113" t="s">
        <v>220</v>
      </c>
      <c r="X1809" s="195" t="s">
        <v>221</v>
      </c>
      <c r="Y1809" s="25"/>
      <c r="Z1809" s="25"/>
      <c r="AA1809" s="25"/>
      <c r="AB1809" s="25"/>
      <c r="AC1809" s="25"/>
      <c r="AD1809" s="25"/>
      <c r="BA1809" s="225"/>
    </row>
    <row r="1810" spans="1:53" ht="16.5" thickTop="1" thickBot="1" x14ac:dyDescent="0.3">
      <c r="A1810" s="88"/>
      <c r="B1810" s="312" t="s">
        <v>222</v>
      </c>
      <c r="C1810" s="313"/>
      <c r="D1810" s="314" t="s">
        <v>223</v>
      </c>
      <c r="E1810" s="305"/>
      <c r="F1810" s="88"/>
      <c r="G1810" s="315" t="s">
        <v>224</v>
      </c>
      <c r="H1810" s="316"/>
      <c r="I1810" s="28">
        <f>SUM(E1821:E1845)</f>
        <v>0</v>
      </c>
      <c r="J1810" s="317" t="s">
        <v>225</v>
      </c>
      <c r="K1810" s="318"/>
      <c r="L1810" s="305"/>
      <c r="M1810" s="195">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5" t="s">
        <v>226</v>
      </c>
      <c r="AA1810" s="296"/>
      <c r="AB1810" s="297"/>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5"/>
    </row>
    <row r="1811" spans="1:53" ht="16.5" customHeight="1" thickTop="1" thickBot="1" x14ac:dyDescent="0.3">
      <c r="A1811" s="88"/>
      <c r="B1811" s="29" t="s">
        <v>228</v>
      </c>
      <c r="C1811" s="30">
        <v>0</v>
      </c>
      <c r="D1811" s="31" t="s">
        <v>229</v>
      </c>
      <c r="E1811" s="66" t="str">
        <f>TEXT(IF('Cable Calculator'!HP7="","",'Cable Calculator'!HP7),)</f>
        <v/>
      </c>
      <c r="F1811" s="88"/>
      <c r="G1811" s="304" t="s">
        <v>230</v>
      </c>
      <c r="H1811" s="305"/>
      <c r="I1811" s="33">
        <f>E1812-I1810</f>
        <v>0</v>
      </c>
      <c r="J1811" s="289" t="s">
        <v>231</v>
      </c>
      <c r="K1811" s="290"/>
      <c r="L1811" s="34">
        <f>I1815</f>
        <v>0</v>
      </c>
      <c r="M1811" s="195">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8" t="s">
        <v>232</v>
      </c>
      <c r="AA1811" s="300" t="s">
        <v>233</v>
      </c>
      <c r="AB1811" s="301"/>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6"/>
    </row>
    <row r="1812" spans="1:53" ht="16.5" thickTop="1" thickBot="1" x14ac:dyDescent="0.3">
      <c r="A1812" s="88"/>
      <c r="B1812" s="36" t="s">
        <v>235</v>
      </c>
      <c r="C1812" s="37">
        <v>0</v>
      </c>
      <c r="D1812" s="38" t="s">
        <v>236</v>
      </c>
      <c r="E1812" s="32"/>
      <c r="F1812" s="88"/>
      <c r="G1812" s="291" t="s">
        <v>237</v>
      </c>
      <c r="H1812" s="292"/>
      <c r="I1812" s="35">
        <f>IF(E1812=0,0,12-(MOD(I1810,12)))</f>
        <v>0</v>
      </c>
      <c r="J1812" s="289" t="s">
        <v>238</v>
      </c>
      <c r="K1812" s="290"/>
      <c r="L1812" s="39">
        <f>I1816-I1810</f>
        <v>0</v>
      </c>
      <c r="M1812" s="195">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9"/>
      <c r="AA1812" s="302"/>
      <c r="AB1812" s="303"/>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6"/>
    </row>
    <row r="1813" spans="1:53" ht="16.5" customHeight="1" thickTop="1" thickBot="1" x14ac:dyDescent="0.3">
      <c r="A1813" s="88"/>
      <c r="B1813" s="40" t="s">
        <v>240</v>
      </c>
      <c r="C1813" s="30">
        <v>0</v>
      </c>
      <c r="D1813" s="41" t="s">
        <v>241</v>
      </c>
      <c r="E1813" s="42"/>
      <c r="F1813" s="88"/>
      <c r="G1813" s="321" t="s">
        <v>242</v>
      </c>
      <c r="H1813" s="43" t="s">
        <v>243</v>
      </c>
      <c r="I1813" s="35">
        <f>IF(E1813&lt;&gt;0,1,0)</f>
        <v>0</v>
      </c>
      <c r="J1813" s="291" t="s">
        <v>244</v>
      </c>
      <c r="K1813" s="292"/>
      <c r="L1813" s="44" t="str">
        <f>'Cable Calculator'!HP3</f>
        <v/>
      </c>
      <c r="M1813" s="195">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6"/>
    </row>
    <row r="1814" spans="1:53" ht="16.5" thickTop="1" thickBot="1" x14ac:dyDescent="0.3">
      <c r="A1814" s="88"/>
      <c r="B1814" s="29" t="s">
        <v>246</v>
      </c>
      <c r="C1814" s="37">
        <v>0</v>
      </c>
      <c r="D1814" s="41" t="s">
        <v>247</v>
      </c>
      <c r="E1814" s="42"/>
      <c r="F1814" s="88"/>
      <c r="G1814" s="322"/>
      <c r="H1814" s="47" t="s">
        <v>248</v>
      </c>
      <c r="I1814" s="35">
        <f>IF(E1813&lt;&gt;0,E1813,0)</f>
        <v>0</v>
      </c>
      <c r="J1814" s="193"/>
      <c r="K1814" s="194"/>
      <c r="L1814" s="48"/>
      <c r="M1814" s="195">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6"/>
    </row>
    <row r="1815" spans="1:53" ht="16.5" customHeight="1" thickTop="1" thickBot="1" x14ac:dyDescent="0.3">
      <c r="A1815" s="88"/>
      <c r="B1815" s="36" t="s">
        <v>249</v>
      </c>
      <c r="C1815" s="30">
        <v>0</v>
      </c>
      <c r="D1815" s="49" t="s">
        <v>250</v>
      </c>
      <c r="E1815" s="50">
        <f>E1812/12</f>
        <v>0</v>
      </c>
      <c r="F1815" s="88"/>
      <c r="G1815" s="321" t="s">
        <v>251</v>
      </c>
      <c r="H1815" s="51" t="s">
        <v>252</v>
      </c>
      <c r="I1815" s="112">
        <f>E1814</f>
        <v>0</v>
      </c>
      <c r="J1815" s="323" t="s">
        <v>253</v>
      </c>
      <c r="K1815" s="324"/>
      <c r="L1815" s="325"/>
      <c r="M1815" s="52" t="s">
        <v>254</v>
      </c>
      <c r="N1815" s="106"/>
      <c r="O1815" s="106"/>
      <c r="P1815" s="191"/>
      <c r="Q1815" s="191"/>
      <c r="R1815" s="191"/>
      <c r="S1815" s="191"/>
      <c r="T1815" s="191"/>
      <c r="U1815" s="191"/>
      <c r="V1815" s="191"/>
      <c r="W1815" s="53">
        <f>SUM(P1815:U1815)</f>
        <v>0</v>
      </c>
      <c r="X1815" s="54"/>
      <c r="Y1815" s="25"/>
      <c r="Z1815" s="45">
        <v>3</v>
      </c>
      <c r="AA1815" s="46">
        <v>25</v>
      </c>
      <c r="AB1815" s="46">
        <v>36</v>
      </c>
      <c r="AC1815" s="25"/>
      <c r="AD1815" s="25"/>
      <c r="BA1815" s="226"/>
    </row>
    <row r="1816" spans="1:53" ht="16.5" thickTop="1" thickBot="1" x14ac:dyDescent="0.3">
      <c r="A1816" s="88"/>
      <c r="B1816" s="36" t="s">
        <v>255</v>
      </c>
      <c r="C1816" s="30">
        <v>0</v>
      </c>
      <c r="D1816" s="31" t="s">
        <v>256</v>
      </c>
      <c r="E1816" s="101" t="str">
        <f>IF('Cable Calculator'!HP5="","",'Cable Calculator'!HP5)</f>
        <v/>
      </c>
      <c r="F1816" s="88"/>
      <c r="G1816" s="322"/>
      <c r="H1816" s="47" t="s">
        <v>257</v>
      </c>
      <c r="I1816" s="35" t="str">
        <f>IF(E1814="","0",IF(AND(E1811="EUC",E1812=432), I1815+(203-E1813),IF(E1814=0,0,(E1814+(E1812-E1813)-1))))</f>
        <v>0</v>
      </c>
      <c r="J1816" s="286" t="str">
        <f>IFERROR(IF(OR(E1811="EUC",E1811="SS"),"---",IF(OR(P1810,S1810),"NO 2F Tethers for RPX!",IF(OR(P1812,S1812),"NO 6F Tethers for RPX!","---"))),"---")</f>
        <v>---</v>
      </c>
      <c r="K1816" s="287"/>
      <c r="L1816" s="288"/>
      <c r="M1816" s="286" t="str">
        <f>IF(E1813&gt;60,"Dead Count &gt;60: Consider Downsize","---")</f>
        <v>---</v>
      </c>
      <c r="N1816" s="287"/>
      <c r="O1816" s="287"/>
      <c r="P1816" s="287"/>
      <c r="Q1816" s="287"/>
      <c r="R1816" s="287"/>
      <c r="S1816" s="287"/>
      <c r="T1816" s="287"/>
      <c r="U1816" s="288"/>
      <c r="V1816" s="100"/>
      <c r="W1816" s="54">
        <f>SUM(P1816:U1816)</f>
        <v>0</v>
      </c>
      <c r="X1816" s="54"/>
      <c r="Y1816" s="25"/>
      <c r="Z1816" s="45">
        <v>4</v>
      </c>
      <c r="AA1816" s="46">
        <v>37</v>
      </c>
      <c r="AB1816" s="46">
        <v>48</v>
      </c>
      <c r="AC1816" s="25"/>
      <c r="AD1816" s="25"/>
      <c r="BA1816" s="226"/>
    </row>
    <row r="1817" spans="1:53" ht="16.5" thickTop="1" thickBot="1" x14ac:dyDescent="0.3">
      <c r="A1817" s="88"/>
      <c r="B1817" s="55" t="s">
        <v>258</v>
      </c>
      <c r="C1817" s="56">
        <f>SUM(C1811:C1816)+I1810</f>
        <v>0</v>
      </c>
      <c r="D1817" s="31" t="s">
        <v>259</v>
      </c>
      <c r="E1817" s="101" t="str">
        <f>IF(AS1811="Y","DBL",IF(AS1812="Y","TRPL",IF(AS1813="Y","QUAD","")))</f>
        <v/>
      </c>
      <c r="F1817" s="88"/>
      <c r="G1817" s="191"/>
      <c r="H1817" s="57"/>
      <c r="I1817" s="191"/>
      <c r="J1817" s="286"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7"/>
      <c r="L1817" s="288"/>
      <c r="M1817" s="286" t="str">
        <f>IF(AND(OR(E1811="SS",E1811="RPX",E1811="EUC",E1811="RPX-T"),(OR(C1821="",C1821="Field SPL"))),"Cannot have FlexNap cables without tethers","---")</f>
        <v>---</v>
      </c>
      <c r="N1817" s="287"/>
      <c r="O1817" s="287"/>
      <c r="P1817" s="287"/>
      <c r="Q1817" s="287"/>
      <c r="R1817" s="287"/>
      <c r="S1817" s="287"/>
      <c r="T1817" s="287"/>
      <c r="U1817" s="288"/>
      <c r="V1817" s="25"/>
      <c r="W1817" s="58"/>
      <c r="X1817" s="58"/>
      <c r="Y1817" s="25"/>
      <c r="Z1817" s="45">
        <v>5</v>
      </c>
      <c r="AA1817" s="46">
        <v>49</v>
      </c>
      <c r="AB1817" s="46">
        <v>60</v>
      </c>
      <c r="AC1817" s="25"/>
      <c r="AD1817" s="25"/>
      <c r="BA1817" s="226"/>
    </row>
    <row r="1818" spans="1:53" ht="16.5" thickTop="1" thickBot="1" x14ac:dyDescent="0.3">
      <c r="A1818" s="88"/>
      <c r="B1818" s="59"/>
      <c r="C1818" s="60"/>
      <c r="D1818" s="61"/>
      <c r="E1818" s="62"/>
      <c r="F1818" s="88"/>
      <c r="G1818" s="63"/>
      <c r="H1818" s="64"/>
      <c r="I1818" s="63"/>
      <c r="J1818" s="286" t="str">
        <f>IF(AND(OR(E1811="RPX", E1811="RPX-T", E1811="SS"),E1812=216),"NO 216 For RPX, RPX-T, OR SS CABLE","---")</f>
        <v>---</v>
      </c>
      <c r="K1818" s="287"/>
      <c r="L1818" s="288"/>
      <c r="M1818" s="286" t="str" cm="1">
        <f t="array" ref="M1818">IF(AND(E1811="",OR(C1821:C1845="FST",C1821:C1845="REV T",C1821:C1845="DBL REV",C1821:C1845="TPL REV", C1821:C1845="QD REV")),"Non-FlexNap cables cannot have tethers","---")</f>
        <v>---</v>
      </c>
      <c r="N1818" s="287"/>
      <c r="O1818" s="287"/>
      <c r="P1818" s="287"/>
      <c r="Q1818" s="287"/>
      <c r="R1818" s="287"/>
      <c r="S1818" s="287"/>
      <c r="T1818" s="287"/>
      <c r="U1818" s="288"/>
      <c r="V1818" s="25"/>
      <c r="W1818" s="58"/>
      <c r="X1818" s="58"/>
      <c r="Y1818" s="25"/>
      <c r="Z1818" s="45">
        <v>6</v>
      </c>
      <c r="AA1818" s="65">
        <v>61</v>
      </c>
      <c r="AB1818" s="65">
        <v>72</v>
      </c>
      <c r="AC1818" s="25"/>
      <c r="AD1818" s="25"/>
      <c r="BA1818" s="225"/>
    </row>
    <row r="1819" spans="1:53" ht="15.75" customHeight="1" thickBot="1" x14ac:dyDescent="0.3">
      <c r="A1819" s="88"/>
      <c r="B1819" s="321" t="s">
        <v>260</v>
      </c>
      <c r="C1819" s="293" t="s">
        <v>261</v>
      </c>
      <c r="D1819" s="293" t="s">
        <v>262</v>
      </c>
      <c r="E1819" s="306" t="s">
        <v>263</v>
      </c>
      <c r="F1819" s="293" t="s">
        <v>264</v>
      </c>
      <c r="G1819" s="308" t="s">
        <v>265</v>
      </c>
      <c r="H1819" s="308" t="s">
        <v>266</v>
      </c>
      <c r="I1819" s="308" t="s">
        <v>267</v>
      </c>
      <c r="J1819" s="310" t="s">
        <v>268</v>
      </c>
      <c r="K1819" s="293" t="s">
        <v>269</v>
      </c>
      <c r="L1819" s="280" t="s">
        <v>270</v>
      </c>
      <c r="M1819" s="282" t="s">
        <v>271</v>
      </c>
      <c r="N1819" s="282"/>
      <c r="O1819" s="282"/>
      <c r="P1819" s="282"/>
      <c r="Q1819" s="282"/>
      <c r="R1819" s="282"/>
      <c r="S1819" s="282"/>
      <c r="T1819" s="282"/>
      <c r="U1819" s="283"/>
      <c r="V1819" s="107"/>
      <c r="W1819" s="72"/>
      <c r="X1819" s="72"/>
      <c r="Y1819" s="72"/>
      <c r="Z1819" s="45">
        <v>7</v>
      </c>
      <c r="AA1819" s="65">
        <v>73</v>
      </c>
      <c r="AB1819" s="65">
        <v>84</v>
      </c>
      <c r="AC1819" s="25"/>
      <c r="AD1819" s="25"/>
      <c r="BA1819" s="227"/>
    </row>
    <row r="1820" spans="1:53" ht="15.75" thickBot="1" x14ac:dyDescent="0.3">
      <c r="A1820" s="88"/>
      <c r="B1820" s="322"/>
      <c r="C1820" s="294"/>
      <c r="D1820" s="294"/>
      <c r="E1820" s="307"/>
      <c r="F1820" s="294"/>
      <c r="G1820" s="309"/>
      <c r="H1820" s="309"/>
      <c r="I1820" s="309"/>
      <c r="J1820" s="311"/>
      <c r="K1820" s="294"/>
      <c r="L1820" s="281"/>
      <c r="M1820" s="284"/>
      <c r="N1820" s="284"/>
      <c r="O1820" s="284"/>
      <c r="P1820" s="284"/>
      <c r="Q1820" s="284"/>
      <c r="R1820" s="284"/>
      <c r="S1820" s="284"/>
      <c r="T1820" s="284"/>
      <c r="U1820" s="285"/>
      <c r="V1820" s="107"/>
      <c r="W1820" s="72"/>
      <c r="X1820" s="72"/>
      <c r="Y1820" s="72"/>
      <c r="Z1820" s="45">
        <v>8</v>
      </c>
      <c r="AA1820" s="46">
        <v>85</v>
      </c>
      <c r="AB1820" s="46">
        <v>96</v>
      </c>
      <c r="AC1820" s="25"/>
      <c r="AD1820" s="25"/>
      <c r="AI1820" s="109" t="s">
        <v>272</v>
      </c>
      <c r="AJ1820" s="109" t="s">
        <v>273</v>
      </c>
      <c r="AK1820" s="109" t="s">
        <v>274</v>
      </c>
      <c r="AL1820" s="109" t="s">
        <v>275</v>
      </c>
      <c r="BA1820" s="227"/>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2"/>
      <c r="M1821" s="278"/>
      <c r="N1821" s="278"/>
      <c r="O1821" s="278"/>
      <c r="P1821" s="278"/>
      <c r="Q1821" s="278"/>
      <c r="R1821" s="278"/>
      <c r="S1821" s="278"/>
      <c r="T1821" s="278"/>
      <c r="U1821" s="279"/>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8">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2"/>
      <c r="M1822" s="278"/>
      <c r="N1822" s="278"/>
      <c r="O1822" s="278"/>
      <c r="P1822" s="278"/>
      <c r="Q1822" s="278"/>
      <c r="R1822" s="278"/>
      <c r="S1822" s="278"/>
      <c r="T1822" s="278"/>
      <c r="U1822" s="279"/>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8">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2"/>
      <c r="M1823" s="278"/>
      <c r="N1823" s="278"/>
      <c r="O1823" s="278"/>
      <c r="P1823" s="278"/>
      <c r="Q1823" s="278"/>
      <c r="R1823" s="278"/>
      <c r="S1823" s="278"/>
      <c r="T1823" s="278"/>
      <c r="U1823" s="279"/>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8">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2"/>
      <c r="M1824" s="278"/>
      <c r="N1824" s="278"/>
      <c r="O1824" s="278"/>
      <c r="P1824" s="278"/>
      <c r="Q1824" s="278"/>
      <c r="R1824" s="278"/>
      <c r="S1824" s="278"/>
      <c r="T1824" s="278"/>
      <c r="U1824" s="279"/>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8">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2"/>
      <c r="M1825" s="278"/>
      <c r="N1825" s="278"/>
      <c r="O1825" s="278"/>
      <c r="P1825" s="278"/>
      <c r="Q1825" s="278"/>
      <c r="R1825" s="278"/>
      <c r="S1825" s="278"/>
      <c r="T1825" s="278"/>
      <c r="U1825" s="279"/>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8">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2"/>
      <c r="M1826" s="278"/>
      <c r="N1826" s="278"/>
      <c r="O1826" s="278"/>
      <c r="P1826" s="278"/>
      <c r="Q1826" s="278"/>
      <c r="R1826" s="278"/>
      <c r="S1826" s="278"/>
      <c r="T1826" s="278"/>
      <c r="U1826" s="279"/>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8">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2"/>
      <c r="M1827" s="278"/>
      <c r="N1827" s="278"/>
      <c r="O1827" s="278"/>
      <c r="P1827" s="278"/>
      <c r="Q1827" s="278"/>
      <c r="R1827" s="278"/>
      <c r="S1827" s="278"/>
      <c r="T1827" s="278"/>
      <c r="U1827" s="279"/>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8">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2"/>
      <c r="M1828" s="278"/>
      <c r="N1828" s="278"/>
      <c r="O1828" s="278"/>
      <c r="P1828" s="278"/>
      <c r="Q1828" s="278"/>
      <c r="R1828" s="278"/>
      <c r="S1828" s="278"/>
      <c r="T1828" s="278"/>
      <c r="U1828" s="279"/>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8">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2"/>
      <c r="M1829" s="278"/>
      <c r="N1829" s="278"/>
      <c r="O1829" s="278"/>
      <c r="P1829" s="278"/>
      <c r="Q1829" s="278"/>
      <c r="R1829" s="278"/>
      <c r="S1829" s="278"/>
      <c r="T1829" s="278"/>
      <c r="U1829" s="279"/>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8">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2"/>
      <c r="M1830" s="278"/>
      <c r="N1830" s="278"/>
      <c r="O1830" s="278"/>
      <c r="P1830" s="278"/>
      <c r="Q1830" s="278"/>
      <c r="R1830" s="278"/>
      <c r="S1830" s="278"/>
      <c r="T1830" s="278"/>
      <c r="U1830" s="279"/>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8">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2"/>
      <c r="M1831" s="278"/>
      <c r="N1831" s="278"/>
      <c r="O1831" s="278"/>
      <c r="P1831" s="278"/>
      <c r="Q1831" s="278"/>
      <c r="R1831" s="278"/>
      <c r="S1831" s="278"/>
      <c r="T1831" s="278"/>
      <c r="U1831" s="279"/>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8">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2"/>
      <c r="M1832" s="278"/>
      <c r="N1832" s="278"/>
      <c r="O1832" s="278"/>
      <c r="P1832" s="278"/>
      <c r="Q1832" s="278"/>
      <c r="R1832" s="278"/>
      <c r="S1832" s="278"/>
      <c r="T1832" s="278"/>
      <c r="U1832" s="279"/>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8">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2"/>
      <c r="M1833" s="278"/>
      <c r="N1833" s="278"/>
      <c r="O1833" s="278"/>
      <c r="P1833" s="278"/>
      <c r="Q1833" s="278"/>
      <c r="R1833" s="278"/>
      <c r="S1833" s="278"/>
      <c r="T1833" s="278"/>
      <c r="U1833" s="279"/>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8">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2"/>
      <c r="M1834" s="278"/>
      <c r="N1834" s="278"/>
      <c r="O1834" s="278"/>
      <c r="P1834" s="278"/>
      <c r="Q1834" s="278"/>
      <c r="R1834" s="278"/>
      <c r="S1834" s="278"/>
      <c r="T1834" s="278"/>
      <c r="U1834" s="279"/>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8">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2"/>
      <c r="M1835" s="278"/>
      <c r="N1835" s="278"/>
      <c r="O1835" s="278"/>
      <c r="P1835" s="278"/>
      <c r="Q1835" s="278"/>
      <c r="R1835" s="278"/>
      <c r="S1835" s="278"/>
      <c r="T1835" s="278"/>
      <c r="U1835" s="279"/>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8">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2"/>
      <c r="M1836" s="278"/>
      <c r="N1836" s="278"/>
      <c r="O1836" s="278"/>
      <c r="P1836" s="278"/>
      <c r="Q1836" s="278"/>
      <c r="R1836" s="278"/>
      <c r="S1836" s="278"/>
      <c r="T1836" s="278"/>
      <c r="U1836" s="279"/>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8">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2"/>
      <c r="M1837" s="278"/>
      <c r="N1837" s="278"/>
      <c r="O1837" s="278"/>
      <c r="P1837" s="278"/>
      <c r="Q1837" s="278"/>
      <c r="R1837" s="278"/>
      <c r="S1837" s="278"/>
      <c r="T1837" s="278"/>
      <c r="U1837" s="279"/>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8">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2"/>
      <c r="M1838" s="278"/>
      <c r="N1838" s="278"/>
      <c r="O1838" s="278"/>
      <c r="P1838" s="278"/>
      <c r="Q1838" s="278"/>
      <c r="R1838" s="278"/>
      <c r="S1838" s="278"/>
      <c r="T1838" s="278"/>
      <c r="U1838" s="279"/>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8">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2"/>
      <c r="M1839" s="278"/>
      <c r="N1839" s="278"/>
      <c r="O1839" s="278"/>
      <c r="P1839" s="278"/>
      <c r="Q1839" s="278"/>
      <c r="R1839" s="278"/>
      <c r="S1839" s="278"/>
      <c r="T1839" s="278"/>
      <c r="U1839" s="279"/>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8">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2"/>
      <c r="M1840" s="278"/>
      <c r="N1840" s="278"/>
      <c r="O1840" s="278"/>
      <c r="P1840" s="278"/>
      <c r="Q1840" s="278"/>
      <c r="R1840" s="278"/>
      <c r="S1840" s="278"/>
      <c r="T1840" s="278"/>
      <c r="U1840" s="279"/>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8">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2"/>
      <c r="M1841" s="278"/>
      <c r="N1841" s="278"/>
      <c r="O1841" s="278"/>
      <c r="P1841" s="278"/>
      <c r="Q1841" s="278"/>
      <c r="R1841" s="278"/>
      <c r="S1841" s="278"/>
      <c r="T1841" s="278"/>
      <c r="U1841" s="279"/>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8">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2"/>
      <c r="M1842" s="278"/>
      <c r="N1842" s="278"/>
      <c r="O1842" s="278"/>
      <c r="P1842" s="278"/>
      <c r="Q1842" s="278"/>
      <c r="R1842" s="278"/>
      <c r="S1842" s="278"/>
      <c r="T1842" s="278"/>
      <c r="U1842" s="279"/>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8">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2"/>
      <c r="M1843" s="278"/>
      <c r="N1843" s="278"/>
      <c r="O1843" s="278"/>
      <c r="P1843" s="278"/>
      <c r="Q1843" s="278"/>
      <c r="R1843" s="278"/>
      <c r="S1843" s="278"/>
      <c r="T1843" s="278"/>
      <c r="U1843" s="279"/>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8">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2"/>
      <c r="M1844" s="278"/>
      <c r="N1844" s="278"/>
      <c r="O1844" s="278"/>
      <c r="P1844" s="278"/>
      <c r="Q1844" s="278"/>
      <c r="R1844" s="278"/>
      <c r="S1844" s="278"/>
      <c r="T1844" s="278"/>
      <c r="U1844" s="279"/>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8">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3"/>
      <c r="M1845" s="278"/>
      <c r="N1845" s="278"/>
      <c r="O1845" s="278"/>
      <c r="P1845" s="278"/>
      <c r="Q1845" s="278"/>
      <c r="R1845" s="278"/>
      <c r="S1845" s="278"/>
      <c r="T1845" s="278"/>
      <c r="U1845" s="279"/>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7"/>
    </row>
    <row r="1846" spans="1:53" ht="16.5" thickBot="1" x14ac:dyDescent="0.3">
      <c r="A1846" s="88"/>
      <c r="B1846" s="319" t="s">
        <v>393</v>
      </c>
      <c r="C1846" s="320"/>
      <c r="D1846" s="79"/>
      <c r="E1846" s="80"/>
      <c r="F1846" s="80"/>
      <c r="G1846" s="81"/>
      <c r="H1846" s="191"/>
      <c r="I1846" s="191"/>
      <c r="J1846" s="191"/>
      <c r="K1846" s="82"/>
      <c r="L1846" s="319" t="s">
        <v>306</v>
      </c>
      <c r="M1846" s="330"/>
      <c r="N1846" s="330"/>
      <c r="O1846" s="330"/>
      <c r="P1846" s="330"/>
      <c r="Q1846" s="330"/>
      <c r="R1846" s="330"/>
      <c r="S1846" s="330"/>
      <c r="T1846" s="330"/>
      <c r="U1846" s="320"/>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7"/>
    </row>
    <row r="1847" spans="1:53" ht="16.5" thickBot="1" x14ac:dyDescent="0.3">
      <c r="A1847" s="88"/>
      <c r="B1847" s="319" t="s">
        <v>307</v>
      </c>
      <c r="C1847" s="320"/>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5"/>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5" t="s">
        <v>210</v>
      </c>
      <c r="N1850" s="195" t="s">
        <v>211</v>
      </c>
      <c r="O1850" s="195" t="s">
        <v>212</v>
      </c>
      <c r="P1850" s="195" t="s">
        <v>213</v>
      </c>
      <c r="Q1850" s="195" t="s">
        <v>214</v>
      </c>
      <c r="R1850" s="195" t="s">
        <v>215</v>
      </c>
      <c r="S1850" s="195" t="s">
        <v>216</v>
      </c>
      <c r="T1850" s="195" t="s">
        <v>217</v>
      </c>
      <c r="U1850" s="195" t="s">
        <v>218</v>
      </c>
      <c r="V1850" s="195" t="s">
        <v>219</v>
      </c>
      <c r="W1850" s="113" t="s">
        <v>220</v>
      </c>
      <c r="X1850" s="195" t="s">
        <v>221</v>
      </c>
      <c r="Y1850" s="25"/>
      <c r="Z1850" s="25"/>
      <c r="AA1850" s="25"/>
      <c r="AB1850" s="25"/>
      <c r="AC1850" s="25"/>
      <c r="AD1850" s="25"/>
      <c r="BA1850" s="225"/>
    </row>
    <row r="1851" spans="1:53" ht="16.5" thickTop="1" thickBot="1" x14ac:dyDescent="0.3">
      <c r="A1851" s="88"/>
      <c r="B1851" s="312" t="s">
        <v>222</v>
      </c>
      <c r="C1851" s="313"/>
      <c r="D1851" s="314" t="s">
        <v>223</v>
      </c>
      <c r="E1851" s="305"/>
      <c r="F1851" s="88"/>
      <c r="G1851" s="315" t="s">
        <v>224</v>
      </c>
      <c r="H1851" s="316"/>
      <c r="I1851" s="28">
        <f>SUM(E1862:E1886)</f>
        <v>0</v>
      </c>
      <c r="J1851" s="317" t="s">
        <v>225</v>
      </c>
      <c r="K1851" s="318"/>
      <c r="L1851" s="305"/>
      <c r="M1851" s="195">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5" t="s">
        <v>226</v>
      </c>
      <c r="AA1851" s="296"/>
      <c r="AB1851" s="297"/>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5"/>
    </row>
    <row r="1852" spans="1:53" ht="16.5" customHeight="1" thickTop="1" thickBot="1" x14ac:dyDescent="0.3">
      <c r="A1852" s="88"/>
      <c r="B1852" s="29" t="s">
        <v>228</v>
      </c>
      <c r="C1852" s="30">
        <v>0</v>
      </c>
      <c r="D1852" s="31" t="s">
        <v>229</v>
      </c>
      <c r="E1852" s="66" t="str">
        <f>TEXT(IF('Cable Calculator'!HU7="","",'Cable Calculator'!HU7),)</f>
        <v/>
      </c>
      <c r="F1852" s="88"/>
      <c r="G1852" s="304" t="s">
        <v>230</v>
      </c>
      <c r="H1852" s="305"/>
      <c r="I1852" s="33">
        <f>E1853-I1851</f>
        <v>0</v>
      </c>
      <c r="J1852" s="289" t="s">
        <v>231</v>
      </c>
      <c r="K1852" s="290"/>
      <c r="L1852" s="34">
        <f>I1856</f>
        <v>0</v>
      </c>
      <c r="M1852" s="195">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8" t="s">
        <v>232</v>
      </c>
      <c r="AA1852" s="300" t="s">
        <v>233</v>
      </c>
      <c r="AB1852" s="301"/>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6"/>
    </row>
    <row r="1853" spans="1:53" ht="16.5" thickTop="1" thickBot="1" x14ac:dyDescent="0.3">
      <c r="A1853" s="88"/>
      <c r="B1853" s="36" t="s">
        <v>235</v>
      </c>
      <c r="C1853" s="37">
        <v>0</v>
      </c>
      <c r="D1853" s="38" t="s">
        <v>236</v>
      </c>
      <c r="E1853" s="32"/>
      <c r="F1853" s="88"/>
      <c r="G1853" s="291" t="s">
        <v>237</v>
      </c>
      <c r="H1853" s="292"/>
      <c r="I1853" s="35">
        <f>IF(E1853=0,0,12-(MOD(I1851,12)))</f>
        <v>0</v>
      </c>
      <c r="J1853" s="289" t="s">
        <v>238</v>
      </c>
      <c r="K1853" s="290"/>
      <c r="L1853" s="39">
        <f>I1857-I1851</f>
        <v>0</v>
      </c>
      <c r="M1853" s="195">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9"/>
      <c r="AA1853" s="302"/>
      <c r="AB1853" s="303"/>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6"/>
    </row>
    <row r="1854" spans="1:53" ht="16.5" customHeight="1" thickTop="1" thickBot="1" x14ac:dyDescent="0.3">
      <c r="A1854" s="88"/>
      <c r="B1854" s="40" t="s">
        <v>240</v>
      </c>
      <c r="C1854" s="30">
        <v>0</v>
      </c>
      <c r="D1854" s="41" t="s">
        <v>241</v>
      </c>
      <c r="E1854" s="42"/>
      <c r="F1854" s="88"/>
      <c r="G1854" s="321" t="s">
        <v>242</v>
      </c>
      <c r="H1854" s="43" t="s">
        <v>243</v>
      </c>
      <c r="I1854" s="35">
        <f>IF(E1854&lt;&gt;0,1,0)</f>
        <v>0</v>
      </c>
      <c r="J1854" s="291" t="s">
        <v>244</v>
      </c>
      <c r="K1854" s="292"/>
      <c r="L1854" s="44" t="str">
        <f>'Cable Calculator'!HU3</f>
        <v/>
      </c>
      <c r="M1854" s="195">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6"/>
    </row>
    <row r="1855" spans="1:53" ht="16.5" thickTop="1" thickBot="1" x14ac:dyDescent="0.3">
      <c r="A1855" s="88"/>
      <c r="B1855" s="29" t="s">
        <v>246</v>
      </c>
      <c r="C1855" s="37">
        <v>0</v>
      </c>
      <c r="D1855" s="41" t="s">
        <v>247</v>
      </c>
      <c r="E1855" s="42"/>
      <c r="F1855" s="88"/>
      <c r="G1855" s="322"/>
      <c r="H1855" s="47" t="s">
        <v>248</v>
      </c>
      <c r="I1855" s="35">
        <f>IF(E1854&lt;&gt;0,E1854,0)</f>
        <v>0</v>
      </c>
      <c r="J1855" s="193"/>
      <c r="K1855" s="194"/>
      <c r="L1855" s="48"/>
      <c r="M1855" s="195">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6"/>
    </row>
    <row r="1856" spans="1:53" ht="16.5" customHeight="1" thickTop="1" thickBot="1" x14ac:dyDescent="0.3">
      <c r="A1856" s="88"/>
      <c r="B1856" s="36" t="s">
        <v>249</v>
      </c>
      <c r="C1856" s="30">
        <v>0</v>
      </c>
      <c r="D1856" s="49" t="s">
        <v>250</v>
      </c>
      <c r="E1856" s="50">
        <f>E1853/12</f>
        <v>0</v>
      </c>
      <c r="F1856" s="88"/>
      <c r="G1856" s="321" t="s">
        <v>251</v>
      </c>
      <c r="H1856" s="51" t="s">
        <v>252</v>
      </c>
      <c r="I1856" s="112">
        <f>E1855</f>
        <v>0</v>
      </c>
      <c r="J1856" s="323" t="s">
        <v>253</v>
      </c>
      <c r="K1856" s="324"/>
      <c r="L1856" s="325"/>
      <c r="M1856" s="52" t="s">
        <v>254</v>
      </c>
      <c r="N1856" s="106"/>
      <c r="O1856" s="106"/>
      <c r="P1856" s="191"/>
      <c r="Q1856" s="191"/>
      <c r="R1856" s="191"/>
      <c r="S1856" s="191"/>
      <c r="T1856" s="191"/>
      <c r="U1856" s="191"/>
      <c r="V1856" s="191"/>
      <c r="W1856" s="53">
        <f>SUM(P1856:U1856)</f>
        <v>0</v>
      </c>
      <c r="X1856" s="54"/>
      <c r="Y1856" s="25"/>
      <c r="Z1856" s="45">
        <v>3</v>
      </c>
      <c r="AA1856" s="46">
        <v>25</v>
      </c>
      <c r="AB1856" s="46">
        <v>36</v>
      </c>
      <c r="AC1856" s="25"/>
      <c r="AD1856" s="25"/>
      <c r="BA1856" s="226"/>
    </row>
    <row r="1857" spans="1:53" ht="16.5" thickTop="1" thickBot="1" x14ac:dyDescent="0.3">
      <c r="A1857" s="88"/>
      <c r="B1857" s="36" t="s">
        <v>255</v>
      </c>
      <c r="C1857" s="30">
        <v>0</v>
      </c>
      <c r="D1857" s="31" t="s">
        <v>256</v>
      </c>
      <c r="E1857" s="101" t="str">
        <f>IF('Cable Calculator'!HU5="","",'Cable Calculator'!HU5)</f>
        <v/>
      </c>
      <c r="F1857" s="88"/>
      <c r="G1857" s="322"/>
      <c r="H1857" s="47" t="s">
        <v>257</v>
      </c>
      <c r="I1857" s="35" t="str">
        <f>IF(E1855="","0",IF(AND(E1852="EUC",E1853=432), I1856+(203-E1854),IF(E1855=0,0,(E1855+(E1853-E1854)-1))))</f>
        <v>0</v>
      </c>
      <c r="J1857" s="286" t="str">
        <f>IFERROR(IF(OR(E1852="EUC",E1852="SS"),"---",IF(OR(P1851,S1851),"NO 2F Tethers for RPX!",IF(OR(P1853,S1853),"NO 6F Tethers for RPX!","---"))),"---")</f>
        <v>---</v>
      </c>
      <c r="K1857" s="287"/>
      <c r="L1857" s="288"/>
      <c r="M1857" s="286" t="str">
        <f>IF(E1854&gt;60,"Dead Count &gt;60: Consider Downsize","---")</f>
        <v>---</v>
      </c>
      <c r="N1857" s="287"/>
      <c r="O1857" s="287"/>
      <c r="P1857" s="287"/>
      <c r="Q1857" s="287"/>
      <c r="R1857" s="287"/>
      <c r="S1857" s="287"/>
      <c r="T1857" s="287"/>
      <c r="U1857" s="288"/>
      <c r="V1857" s="100"/>
      <c r="W1857" s="54">
        <f>SUM(P1857:U1857)</f>
        <v>0</v>
      </c>
      <c r="X1857" s="54"/>
      <c r="Y1857" s="25"/>
      <c r="Z1857" s="45">
        <v>4</v>
      </c>
      <c r="AA1857" s="46">
        <v>37</v>
      </c>
      <c r="AB1857" s="46">
        <v>48</v>
      </c>
      <c r="AC1857" s="25"/>
      <c r="AD1857" s="25"/>
      <c r="BA1857" s="226"/>
    </row>
    <row r="1858" spans="1:53" ht="16.5" thickTop="1" thickBot="1" x14ac:dyDescent="0.3">
      <c r="A1858" s="88"/>
      <c r="B1858" s="55" t="s">
        <v>258</v>
      </c>
      <c r="C1858" s="56">
        <f>SUM(C1852:C1857)+I1851</f>
        <v>0</v>
      </c>
      <c r="D1858" s="31" t="s">
        <v>259</v>
      </c>
      <c r="E1858" s="101" t="str">
        <f>IF(AS1852="Y","DBL",IF(AS1853="Y","TRPL",IF(AS1854="Y","QUAD","")))</f>
        <v/>
      </c>
      <c r="F1858" s="88"/>
      <c r="G1858" s="191"/>
      <c r="H1858" s="57"/>
      <c r="I1858" s="191"/>
      <c r="J1858" s="286"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7"/>
      <c r="L1858" s="288"/>
      <c r="M1858" s="286" t="str">
        <f>IF(AND(OR(E1852="SS",E1852="RPX",E1852="EUC",E1852="RPX-T"),(OR(C1862="",C1862="Field SPL"))),"Cannot have FlexNap cables without tethers","---")</f>
        <v>---</v>
      </c>
      <c r="N1858" s="287"/>
      <c r="O1858" s="287"/>
      <c r="P1858" s="287"/>
      <c r="Q1858" s="287"/>
      <c r="R1858" s="287"/>
      <c r="S1858" s="287"/>
      <c r="T1858" s="287"/>
      <c r="U1858" s="288"/>
      <c r="V1858" s="25"/>
      <c r="W1858" s="58"/>
      <c r="X1858" s="58"/>
      <c r="Y1858" s="25"/>
      <c r="Z1858" s="45">
        <v>5</v>
      </c>
      <c r="AA1858" s="46">
        <v>49</v>
      </c>
      <c r="AB1858" s="46">
        <v>60</v>
      </c>
      <c r="AC1858" s="25"/>
      <c r="AD1858" s="25"/>
      <c r="BA1858" s="226"/>
    </row>
    <row r="1859" spans="1:53" ht="16.5" thickTop="1" thickBot="1" x14ac:dyDescent="0.3">
      <c r="A1859" s="88"/>
      <c r="B1859" s="59"/>
      <c r="C1859" s="60"/>
      <c r="D1859" s="61"/>
      <c r="E1859" s="62"/>
      <c r="F1859" s="88"/>
      <c r="G1859" s="63"/>
      <c r="H1859" s="64"/>
      <c r="I1859" s="63"/>
      <c r="J1859" s="286" t="str">
        <f>IF(AND(OR(E1852="RPX", E1852="RPX-T", E1852="SS"),E1853=216),"NO 216 For RPX, RPX-T, OR SS CABLE","---")</f>
        <v>---</v>
      </c>
      <c r="K1859" s="287"/>
      <c r="L1859" s="288"/>
      <c r="M1859" s="286" t="str" cm="1">
        <f t="array" ref="M1859">IF(AND(E1852="",OR(C1862:C1886="FST",C1862:C1886="REV T",C1862:C1886="DBL REV",C1862:C1886="TPL REV", C1862:C1886="QD REV")),"Non-FlexNap cables cannot have tethers","---")</f>
        <v>---</v>
      </c>
      <c r="N1859" s="287"/>
      <c r="O1859" s="287"/>
      <c r="P1859" s="287"/>
      <c r="Q1859" s="287"/>
      <c r="R1859" s="287"/>
      <c r="S1859" s="287"/>
      <c r="T1859" s="287"/>
      <c r="U1859" s="288"/>
      <c r="V1859" s="25"/>
      <c r="W1859" s="58"/>
      <c r="X1859" s="58"/>
      <c r="Y1859" s="25"/>
      <c r="Z1859" s="45">
        <v>6</v>
      </c>
      <c r="AA1859" s="65">
        <v>61</v>
      </c>
      <c r="AB1859" s="65">
        <v>72</v>
      </c>
      <c r="AC1859" s="25"/>
      <c r="AD1859" s="25"/>
      <c r="BA1859" s="225"/>
    </row>
    <row r="1860" spans="1:53" ht="15.75" customHeight="1" thickBot="1" x14ac:dyDescent="0.3">
      <c r="A1860" s="88"/>
      <c r="B1860" s="321" t="s">
        <v>260</v>
      </c>
      <c r="C1860" s="293" t="s">
        <v>261</v>
      </c>
      <c r="D1860" s="293" t="s">
        <v>262</v>
      </c>
      <c r="E1860" s="306" t="s">
        <v>263</v>
      </c>
      <c r="F1860" s="293" t="s">
        <v>264</v>
      </c>
      <c r="G1860" s="308" t="s">
        <v>265</v>
      </c>
      <c r="H1860" s="308" t="s">
        <v>266</v>
      </c>
      <c r="I1860" s="308" t="s">
        <v>267</v>
      </c>
      <c r="J1860" s="310" t="s">
        <v>268</v>
      </c>
      <c r="K1860" s="293" t="s">
        <v>269</v>
      </c>
      <c r="L1860" s="280" t="s">
        <v>270</v>
      </c>
      <c r="M1860" s="282" t="s">
        <v>271</v>
      </c>
      <c r="N1860" s="282"/>
      <c r="O1860" s="282"/>
      <c r="P1860" s="282"/>
      <c r="Q1860" s="282"/>
      <c r="R1860" s="282"/>
      <c r="S1860" s="282"/>
      <c r="T1860" s="282"/>
      <c r="U1860" s="283"/>
      <c r="V1860" s="107"/>
      <c r="W1860" s="72"/>
      <c r="X1860" s="72"/>
      <c r="Y1860" s="72"/>
      <c r="Z1860" s="45">
        <v>7</v>
      </c>
      <c r="AA1860" s="65">
        <v>73</v>
      </c>
      <c r="AB1860" s="65">
        <v>84</v>
      </c>
      <c r="AC1860" s="25"/>
      <c r="AD1860" s="25"/>
      <c r="BA1860" s="227"/>
    </row>
    <row r="1861" spans="1:53" ht="15.75" thickBot="1" x14ac:dyDescent="0.3">
      <c r="A1861" s="88"/>
      <c r="B1861" s="322"/>
      <c r="C1861" s="294"/>
      <c r="D1861" s="294"/>
      <c r="E1861" s="307"/>
      <c r="F1861" s="294"/>
      <c r="G1861" s="309"/>
      <c r="H1861" s="309"/>
      <c r="I1861" s="309"/>
      <c r="J1861" s="311"/>
      <c r="K1861" s="294"/>
      <c r="L1861" s="281"/>
      <c r="M1861" s="284"/>
      <c r="N1861" s="284"/>
      <c r="O1861" s="284"/>
      <c r="P1861" s="284"/>
      <c r="Q1861" s="284"/>
      <c r="R1861" s="284"/>
      <c r="S1861" s="284"/>
      <c r="T1861" s="284"/>
      <c r="U1861" s="285"/>
      <c r="V1861" s="107"/>
      <c r="W1861" s="72"/>
      <c r="X1861" s="72"/>
      <c r="Y1861" s="72"/>
      <c r="Z1861" s="45">
        <v>8</v>
      </c>
      <c r="AA1861" s="46">
        <v>85</v>
      </c>
      <c r="AB1861" s="46">
        <v>96</v>
      </c>
      <c r="AC1861" s="25"/>
      <c r="AD1861" s="25"/>
      <c r="AI1861" s="109" t="s">
        <v>272</v>
      </c>
      <c r="AJ1861" s="109" t="s">
        <v>273</v>
      </c>
      <c r="AK1861" s="109" t="s">
        <v>274</v>
      </c>
      <c r="AL1861" s="109" t="s">
        <v>275</v>
      </c>
      <c r="BA1861" s="227"/>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2"/>
      <c r="M1862" s="278"/>
      <c r="N1862" s="278"/>
      <c r="O1862" s="278"/>
      <c r="P1862" s="278"/>
      <c r="Q1862" s="278"/>
      <c r="R1862" s="278"/>
      <c r="S1862" s="278"/>
      <c r="T1862" s="278"/>
      <c r="U1862" s="279"/>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8">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2"/>
      <c r="M1863" s="278"/>
      <c r="N1863" s="278"/>
      <c r="O1863" s="278"/>
      <c r="P1863" s="278"/>
      <c r="Q1863" s="278"/>
      <c r="R1863" s="278"/>
      <c r="S1863" s="278"/>
      <c r="T1863" s="278"/>
      <c r="U1863" s="279"/>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8">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2"/>
      <c r="M1864" s="278"/>
      <c r="N1864" s="278"/>
      <c r="O1864" s="278"/>
      <c r="P1864" s="278"/>
      <c r="Q1864" s="278"/>
      <c r="R1864" s="278"/>
      <c r="S1864" s="278"/>
      <c r="T1864" s="278"/>
      <c r="U1864" s="279"/>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8">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2"/>
      <c r="M1865" s="278"/>
      <c r="N1865" s="278"/>
      <c r="O1865" s="278"/>
      <c r="P1865" s="278"/>
      <c r="Q1865" s="278"/>
      <c r="R1865" s="278"/>
      <c r="S1865" s="278"/>
      <c r="T1865" s="278"/>
      <c r="U1865" s="279"/>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8">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2"/>
      <c r="M1866" s="278"/>
      <c r="N1866" s="278"/>
      <c r="O1866" s="278"/>
      <c r="P1866" s="278"/>
      <c r="Q1866" s="278"/>
      <c r="R1866" s="278"/>
      <c r="S1866" s="278"/>
      <c r="T1866" s="278"/>
      <c r="U1866" s="279"/>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8">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2"/>
      <c r="M1867" s="278"/>
      <c r="N1867" s="278"/>
      <c r="O1867" s="278"/>
      <c r="P1867" s="278"/>
      <c r="Q1867" s="278"/>
      <c r="R1867" s="278"/>
      <c r="S1867" s="278"/>
      <c r="T1867" s="278"/>
      <c r="U1867" s="279"/>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8">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2"/>
      <c r="M1868" s="278"/>
      <c r="N1868" s="278"/>
      <c r="O1868" s="278"/>
      <c r="P1868" s="278"/>
      <c r="Q1868" s="278"/>
      <c r="R1868" s="278"/>
      <c r="S1868" s="278"/>
      <c r="T1868" s="278"/>
      <c r="U1868" s="279"/>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8">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2"/>
      <c r="M1869" s="278"/>
      <c r="N1869" s="278"/>
      <c r="O1869" s="278"/>
      <c r="P1869" s="278"/>
      <c r="Q1869" s="278"/>
      <c r="R1869" s="278"/>
      <c r="S1869" s="278"/>
      <c r="T1869" s="278"/>
      <c r="U1869" s="279"/>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8">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2"/>
      <c r="M1870" s="278"/>
      <c r="N1870" s="278"/>
      <c r="O1870" s="278"/>
      <c r="P1870" s="278"/>
      <c r="Q1870" s="278"/>
      <c r="R1870" s="278"/>
      <c r="S1870" s="278"/>
      <c r="T1870" s="278"/>
      <c r="U1870" s="279"/>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8">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2"/>
      <c r="M1871" s="278"/>
      <c r="N1871" s="278"/>
      <c r="O1871" s="278"/>
      <c r="P1871" s="278"/>
      <c r="Q1871" s="278"/>
      <c r="R1871" s="278"/>
      <c r="S1871" s="278"/>
      <c r="T1871" s="278"/>
      <c r="U1871" s="279"/>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8">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2"/>
      <c r="M1872" s="278"/>
      <c r="N1872" s="278"/>
      <c r="O1872" s="278"/>
      <c r="P1872" s="278"/>
      <c r="Q1872" s="278"/>
      <c r="R1872" s="278"/>
      <c r="S1872" s="278"/>
      <c r="T1872" s="278"/>
      <c r="U1872" s="279"/>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8">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2"/>
      <c r="M1873" s="278"/>
      <c r="N1873" s="278"/>
      <c r="O1873" s="278"/>
      <c r="P1873" s="278"/>
      <c r="Q1873" s="278"/>
      <c r="R1873" s="278"/>
      <c r="S1873" s="278"/>
      <c r="T1873" s="278"/>
      <c r="U1873" s="279"/>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8">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2"/>
      <c r="M1874" s="278"/>
      <c r="N1874" s="278"/>
      <c r="O1874" s="278"/>
      <c r="P1874" s="278"/>
      <c r="Q1874" s="278"/>
      <c r="R1874" s="278"/>
      <c r="S1874" s="278"/>
      <c r="T1874" s="278"/>
      <c r="U1874" s="279"/>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8">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2"/>
      <c r="M1875" s="278"/>
      <c r="N1875" s="278"/>
      <c r="O1875" s="278"/>
      <c r="P1875" s="278"/>
      <c r="Q1875" s="278"/>
      <c r="R1875" s="278"/>
      <c r="S1875" s="278"/>
      <c r="T1875" s="278"/>
      <c r="U1875" s="279"/>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8">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2"/>
      <c r="M1876" s="278"/>
      <c r="N1876" s="278"/>
      <c r="O1876" s="278"/>
      <c r="P1876" s="278"/>
      <c r="Q1876" s="278"/>
      <c r="R1876" s="278"/>
      <c r="S1876" s="278"/>
      <c r="T1876" s="278"/>
      <c r="U1876" s="279"/>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8">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2"/>
      <c r="M1877" s="278"/>
      <c r="N1877" s="278"/>
      <c r="O1877" s="278"/>
      <c r="P1877" s="278"/>
      <c r="Q1877" s="278"/>
      <c r="R1877" s="278"/>
      <c r="S1877" s="278"/>
      <c r="T1877" s="278"/>
      <c r="U1877" s="279"/>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8">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2"/>
      <c r="M1878" s="278"/>
      <c r="N1878" s="278"/>
      <c r="O1878" s="278"/>
      <c r="P1878" s="278"/>
      <c r="Q1878" s="278"/>
      <c r="R1878" s="278"/>
      <c r="S1878" s="278"/>
      <c r="T1878" s="278"/>
      <c r="U1878" s="279"/>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8">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2"/>
      <c r="M1879" s="278"/>
      <c r="N1879" s="278"/>
      <c r="O1879" s="278"/>
      <c r="P1879" s="278"/>
      <c r="Q1879" s="278"/>
      <c r="R1879" s="278"/>
      <c r="S1879" s="278"/>
      <c r="T1879" s="278"/>
      <c r="U1879" s="279"/>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8">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2"/>
      <c r="M1880" s="278"/>
      <c r="N1880" s="278"/>
      <c r="O1880" s="278"/>
      <c r="P1880" s="278"/>
      <c r="Q1880" s="278"/>
      <c r="R1880" s="278"/>
      <c r="S1880" s="278"/>
      <c r="T1880" s="278"/>
      <c r="U1880" s="279"/>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8">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2"/>
      <c r="M1881" s="278"/>
      <c r="N1881" s="278"/>
      <c r="O1881" s="278"/>
      <c r="P1881" s="278"/>
      <c r="Q1881" s="278"/>
      <c r="R1881" s="278"/>
      <c r="S1881" s="278"/>
      <c r="T1881" s="278"/>
      <c r="U1881" s="279"/>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8">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2"/>
      <c r="M1882" s="278"/>
      <c r="N1882" s="278"/>
      <c r="O1882" s="278"/>
      <c r="P1882" s="278"/>
      <c r="Q1882" s="278"/>
      <c r="R1882" s="278"/>
      <c r="S1882" s="278"/>
      <c r="T1882" s="278"/>
      <c r="U1882" s="279"/>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8">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2"/>
      <c r="M1883" s="278"/>
      <c r="N1883" s="278"/>
      <c r="O1883" s="278"/>
      <c r="P1883" s="278"/>
      <c r="Q1883" s="278"/>
      <c r="R1883" s="278"/>
      <c r="S1883" s="278"/>
      <c r="T1883" s="278"/>
      <c r="U1883" s="279"/>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8">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2"/>
      <c r="M1884" s="278"/>
      <c r="N1884" s="278"/>
      <c r="O1884" s="278"/>
      <c r="P1884" s="278"/>
      <c r="Q1884" s="278"/>
      <c r="R1884" s="278"/>
      <c r="S1884" s="278"/>
      <c r="T1884" s="278"/>
      <c r="U1884" s="279"/>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8">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2"/>
      <c r="M1885" s="278"/>
      <c r="N1885" s="278"/>
      <c r="O1885" s="278"/>
      <c r="P1885" s="278"/>
      <c r="Q1885" s="278"/>
      <c r="R1885" s="278"/>
      <c r="S1885" s="278"/>
      <c r="T1885" s="278"/>
      <c r="U1885" s="279"/>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8">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3"/>
      <c r="M1886" s="278"/>
      <c r="N1886" s="278"/>
      <c r="O1886" s="278"/>
      <c r="P1886" s="278"/>
      <c r="Q1886" s="278"/>
      <c r="R1886" s="278"/>
      <c r="S1886" s="278"/>
      <c r="T1886" s="278"/>
      <c r="U1886" s="279"/>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7"/>
    </row>
    <row r="1887" spans="1:53" ht="16.5" thickBot="1" x14ac:dyDescent="0.3">
      <c r="A1887" s="88"/>
      <c r="B1887" s="319" t="s">
        <v>395</v>
      </c>
      <c r="C1887" s="320"/>
      <c r="D1887" s="79"/>
      <c r="E1887" s="80"/>
      <c r="F1887" s="80"/>
      <c r="G1887" s="81"/>
      <c r="H1887" s="191"/>
      <c r="I1887" s="191"/>
      <c r="J1887" s="191"/>
      <c r="K1887" s="82"/>
      <c r="L1887" s="319" t="s">
        <v>306</v>
      </c>
      <c r="M1887" s="330"/>
      <c r="N1887" s="330"/>
      <c r="O1887" s="330"/>
      <c r="P1887" s="330"/>
      <c r="Q1887" s="330"/>
      <c r="R1887" s="330"/>
      <c r="S1887" s="330"/>
      <c r="T1887" s="330"/>
      <c r="U1887" s="320"/>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7"/>
    </row>
    <row r="1888" spans="1:53" ht="16.5" thickBot="1" x14ac:dyDescent="0.3">
      <c r="A1888" s="88"/>
      <c r="B1888" s="319" t="s">
        <v>307</v>
      </c>
      <c r="C1888" s="320"/>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5"/>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5" t="s">
        <v>210</v>
      </c>
      <c r="N1891" s="195" t="s">
        <v>211</v>
      </c>
      <c r="O1891" s="195" t="s">
        <v>212</v>
      </c>
      <c r="P1891" s="195" t="s">
        <v>213</v>
      </c>
      <c r="Q1891" s="195" t="s">
        <v>214</v>
      </c>
      <c r="R1891" s="195" t="s">
        <v>215</v>
      </c>
      <c r="S1891" s="195" t="s">
        <v>216</v>
      </c>
      <c r="T1891" s="195" t="s">
        <v>217</v>
      </c>
      <c r="U1891" s="195" t="s">
        <v>218</v>
      </c>
      <c r="V1891" s="195" t="s">
        <v>219</v>
      </c>
      <c r="W1891" s="113" t="s">
        <v>220</v>
      </c>
      <c r="X1891" s="195" t="s">
        <v>221</v>
      </c>
      <c r="Y1891" s="25"/>
      <c r="Z1891" s="25"/>
      <c r="AA1891" s="25"/>
      <c r="AB1891" s="25"/>
      <c r="AC1891" s="25"/>
      <c r="AD1891" s="25"/>
      <c r="BA1891" s="225"/>
    </row>
    <row r="1892" spans="1:53" ht="16.5" thickTop="1" thickBot="1" x14ac:dyDescent="0.3">
      <c r="A1892" s="88"/>
      <c r="B1892" s="312" t="s">
        <v>222</v>
      </c>
      <c r="C1892" s="313"/>
      <c r="D1892" s="314" t="s">
        <v>223</v>
      </c>
      <c r="E1892" s="305"/>
      <c r="F1892" s="88"/>
      <c r="G1892" s="315" t="s">
        <v>224</v>
      </c>
      <c r="H1892" s="316"/>
      <c r="I1892" s="28">
        <f>SUM(E1903:E1927)</f>
        <v>0</v>
      </c>
      <c r="J1892" s="317" t="s">
        <v>225</v>
      </c>
      <c r="K1892" s="318"/>
      <c r="L1892" s="305"/>
      <c r="M1892" s="195">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5" t="s">
        <v>226</v>
      </c>
      <c r="AA1892" s="296"/>
      <c r="AB1892" s="297"/>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5"/>
    </row>
    <row r="1893" spans="1:53" ht="16.5" customHeight="1" thickTop="1" thickBot="1" x14ac:dyDescent="0.3">
      <c r="A1893" s="88"/>
      <c r="B1893" s="29" t="s">
        <v>228</v>
      </c>
      <c r="C1893" s="30">
        <v>0</v>
      </c>
      <c r="D1893" s="31" t="s">
        <v>229</v>
      </c>
      <c r="E1893" s="66" t="str">
        <f>TEXT(IF('Cable Calculator'!HZ7="","",'Cable Calculator'!HZ7),)</f>
        <v/>
      </c>
      <c r="F1893" s="88"/>
      <c r="G1893" s="304" t="s">
        <v>230</v>
      </c>
      <c r="H1893" s="305"/>
      <c r="I1893" s="33">
        <f>E1894-I1892</f>
        <v>0</v>
      </c>
      <c r="J1893" s="289" t="s">
        <v>231</v>
      </c>
      <c r="K1893" s="290"/>
      <c r="L1893" s="34">
        <f>I1897</f>
        <v>0</v>
      </c>
      <c r="M1893" s="195">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8" t="s">
        <v>232</v>
      </c>
      <c r="AA1893" s="300" t="s">
        <v>233</v>
      </c>
      <c r="AB1893" s="301"/>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6"/>
    </row>
    <row r="1894" spans="1:53" ht="16.5" thickTop="1" thickBot="1" x14ac:dyDescent="0.3">
      <c r="A1894" s="88"/>
      <c r="B1894" s="36" t="s">
        <v>235</v>
      </c>
      <c r="C1894" s="37">
        <v>0</v>
      </c>
      <c r="D1894" s="38" t="s">
        <v>236</v>
      </c>
      <c r="E1894" s="32"/>
      <c r="F1894" s="88"/>
      <c r="G1894" s="291" t="s">
        <v>237</v>
      </c>
      <c r="H1894" s="292"/>
      <c r="I1894" s="35">
        <f>IF(E1894=0,0,12-(MOD(I1892,12)))</f>
        <v>0</v>
      </c>
      <c r="J1894" s="289" t="s">
        <v>238</v>
      </c>
      <c r="K1894" s="290"/>
      <c r="L1894" s="39">
        <f>I1898-I1892</f>
        <v>0</v>
      </c>
      <c r="M1894" s="195">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9"/>
      <c r="AA1894" s="302"/>
      <c r="AB1894" s="303"/>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6"/>
    </row>
    <row r="1895" spans="1:53" ht="16.5" customHeight="1" thickTop="1" thickBot="1" x14ac:dyDescent="0.3">
      <c r="A1895" s="88"/>
      <c r="B1895" s="40" t="s">
        <v>240</v>
      </c>
      <c r="C1895" s="30">
        <v>0</v>
      </c>
      <c r="D1895" s="41" t="s">
        <v>241</v>
      </c>
      <c r="E1895" s="42"/>
      <c r="F1895" s="88"/>
      <c r="G1895" s="321" t="s">
        <v>242</v>
      </c>
      <c r="H1895" s="43" t="s">
        <v>243</v>
      </c>
      <c r="I1895" s="35">
        <f>IF(E1895&lt;&gt;0,1,0)</f>
        <v>0</v>
      </c>
      <c r="J1895" s="291" t="s">
        <v>244</v>
      </c>
      <c r="K1895" s="292"/>
      <c r="L1895" s="44" t="str">
        <f>'Cable Calculator'!HZ3</f>
        <v/>
      </c>
      <c r="M1895" s="195">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6"/>
    </row>
    <row r="1896" spans="1:53" ht="16.5" thickTop="1" thickBot="1" x14ac:dyDescent="0.3">
      <c r="A1896" s="88"/>
      <c r="B1896" s="29" t="s">
        <v>246</v>
      </c>
      <c r="C1896" s="37">
        <v>0</v>
      </c>
      <c r="D1896" s="41" t="s">
        <v>247</v>
      </c>
      <c r="E1896" s="42"/>
      <c r="F1896" s="88"/>
      <c r="G1896" s="322"/>
      <c r="H1896" s="47" t="s">
        <v>248</v>
      </c>
      <c r="I1896" s="35">
        <f>IF(E1895&lt;&gt;0,E1895,0)</f>
        <v>0</v>
      </c>
      <c r="J1896" s="193"/>
      <c r="K1896" s="194"/>
      <c r="L1896" s="48"/>
      <c r="M1896" s="195">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6"/>
    </row>
    <row r="1897" spans="1:53" ht="16.5" customHeight="1" thickTop="1" thickBot="1" x14ac:dyDescent="0.3">
      <c r="A1897" s="88"/>
      <c r="B1897" s="36" t="s">
        <v>249</v>
      </c>
      <c r="C1897" s="30">
        <v>0</v>
      </c>
      <c r="D1897" s="49" t="s">
        <v>250</v>
      </c>
      <c r="E1897" s="50">
        <f>E1894/12</f>
        <v>0</v>
      </c>
      <c r="F1897" s="88"/>
      <c r="G1897" s="321" t="s">
        <v>251</v>
      </c>
      <c r="H1897" s="51" t="s">
        <v>252</v>
      </c>
      <c r="I1897" s="112">
        <f>E1896</f>
        <v>0</v>
      </c>
      <c r="J1897" s="323" t="s">
        <v>253</v>
      </c>
      <c r="K1897" s="324"/>
      <c r="L1897" s="325"/>
      <c r="M1897" s="52" t="s">
        <v>254</v>
      </c>
      <c r="N1897" s="106"/>
      <c r="O1897" s="106"/>
      <c r="P1897" s="191"/>
      <c r="Q1897" s="191"/>
      <c r="R1897" s="191"/>
      <c r="S1897" s="191"/>
      <c r="T1897" s="191"/>
      <c r="U1897" s="191"/>
      <c r="V1897" s="191"/>
      <c r="W1897" s="53">
        <f>SUM(P1897:U1897)</f>
        <v>0</v>
      </c>
      <c r="X1897" s="54"/>
      <c r="Y1897" s="25"/>
      <c r="Z1897" s="45">
        <v>3</v>
      </c>
      <c r="AA1897" s="46">
        <v>25</v>
      </c>
      <c r="AB1897" s="46">
        <v>36</v>
      </c>
      <c r="AC1897" s="25"/>
      <c r="AD1897" s="25"/>
      <c r="BA1897" s="226"/>
    </row>
    <row r="1898" spans="1:53" ht="16.5" thickTop="1" thickBot="1" x14ac:dyDescent="0.3">
      <c r="A1898" s="88"/>
      <c r="B1898" s="36" t="s">
        <v>255</v>
      </c>
      <c r="C1898" s="30">
        <v>0</v>
      </c>
      <c r="D1898" s="31" t="s">
        <v>256</v>
      </c>
      <c r="E1898" s="101" t="str">
        <f>IF('Cable Calculator'!HZ5="","",'Cable Calculator'!HZ5)</f>
        <v/>
      </c>
      <c r="F1898" s="88"/>
      <c r="G1898" s="322"/>
      <c r="H1898" s="47" t="s">
        <v>257</v>
      </c>
      <c r="I1898" s="35" t="str">
        <f>IF(E1896="","0",IF(AND(E1893="EUC",E1894=432), I1897+(203-E1895),IF(E1896=0,0,(E1896+(E1894-E1895)-1))))</f>
        <v>0</v>
      </c>
      <c r="J1898" s="286" t="str">
        <f>IFERROR(IF(OR(E1893="EUC",E1893="SS"),"---",IF(OR(P1892,S1892),"NO 2F Tethers for RPX!",IF(OR(P1894,S1894),"NO 6F Tethers for RPX!","---"))),"---")</f>
        <v>---</v>
      </c>
      <c r="K1898" s="287"/>
      <c r="L1898" s="288"/>
      <c r="M1898" s="286" t="str">
        <f>IF(E1895&gt;60,"Dead Count &gt;60: Consider Downsize","---")</f>
        <v>---</v>
      </c>
      <c r="N1898" s="287"/>
      <c r="O1898" s="287"/>
      <c r="P1898" s="287"/>
      <c r="Q1898" s="287"/>
      <c r="R1898" s="287"/>
      <c r="S1898" s="287"/>
      <c r="T1898" s="287"/>
      <c r="U1898" s="288"/>
      <c r="V1898" s="100"/>
      <c r="W1898" s="54">
        <f>SUM(P1898:U1898)</f>
        <v>0</v>
      </c>
      <c r="X1898" s="54"/>
      <c r="Y1898" s="25"/>
      <c r="Z1898" s="45">
        <v>4</v>
      </c>
      <c r="AA1898" s="46">
        <v>37</v>
      </c>
      <c r="AB1898" s="46">
        <v>48</v>
      </c>
      <c r="AC1898" s="25"/>
      <c r="AD1898" s="25"/>
      <c r="BA1898" s="226"/>
    </row>
    <row r="1899" spans="1:53" ht="16.5" thickTop="1" thickBot="1" x14ac:dyDescent="0.3">
      <c r="A1899" s="88"/>
      <c r="B1899" s="55" t="s">
        <v>258</v>
      </c>
      <c r="C1899" s="56">
        <f>SUM(C1893:C1898)+I1892</f>
        <v>0</v>
      </c>
      <c r="D1899" s="31" t="s">
        <v>259</v>
      </c>
      <c r="E1899" s="101" t="str">
        <f>IF(AS1893="Y","DBL",IF(AS1894="Y","TRPL",IF(AS1895="Y","QUAD","")))</f>
        <v/>
      </c>
      <c r="F1899" s="88"/>
      <c r="G1899" s="191"/>
      <c r="H1899" s="57"/>
      <c r="I1899" s="191"/>
      <c r="J1899" s="286"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7"/>
      <c r="L1899" s="288"/>
      <c r="M1899" s="286" t="str">
        <f>IF(AND(OR(E1893="SS",E1893="RPX",E1893="EUC",E1893="RPX-T"),(OR(C1903="",C1903="Field SPL"))),"Cannot have FlexNap cables without tethers","---")</f>
        <v>---</v>
      </c>
      <c r="N1899" s="287"/>
      <c r="O1899" s="287"/>
      <c r="P1899" s="287"/>
      <c r="Q1899" s="287"/>
      <c r="R1899" s="287"/>
      <c r="S1899" s="287"/>
      <c r="T1899" s="287"/>
      <c r="U1899" s="288"/>
      <c r="V1899" s="25"/>
      <c r="W1899" s="58"/>
      <c r="X1899" s="58"/>
      <c r="Y1899" s="25"/>
      <c r="Z1899" s="45">
        <v>5</v>
      </c>
      <c r="AA1899" s="46">
        <v>49</v>
      </c>
      <c r="AB1899" s="46">
        <v>60</v>
      </c>
      <c r="AC1899" s="25"/>
      <c r="AD1899" s="25"/>
      <c r="BA1899" s="226"/>
    </row>
    <row r="1900" spans="1:53" ht="16.5" thickTop="1" thickBot="1" x14ac:dyDescent="0.3">
      <c r="A1900" s="88"/>
      <c r="B1900" s="59"/>
      <c r="C1900" s="60"/>
      <c r="D1900" s="61"/>
      <c r="E1900" s="62"/>
      <c r="F1900" s="88"/>
      <c r="G1900" s="63"/>
      <c r="H1900" s="64"/>
      <c r="I1900" s="63"/>
      <c r="J1900" s="286" t="str">
        <f>IF(AND(OR(E1893="RPX", E1893="RPX-T", E1893="SS"),E1894=216),"NO 216 For RPX, RPX-T, OR SS CABLE","---")</f>
        <v>---</v>
      </c>
      <c r="K1900" s="287"/>
      <c r="L1900" s="288"/>
      <c r="M1900" s="286" t="str" cm="1">
        <f t="array" ref="M1900">IF(AND(E1893="",OR(C1903:C1927="FST",C1903:C1927="REV T",C1903:C1927="DBL REV",C1903:C1927="TPL REV", C1903:C1927="QD REV")),"Non-FlexNap cables cannot have tethers","---")</f>
        <v>---</v>
      </c>
      <c r="N1900" s="287"/>
      <c r="O1900" s="287"/>
      <c r="P1900" s="287"/>
      <c r="Q1900" s="287"/>
      <c r="R1900" s="287"/>
      <c r="S1900" s="287"/>
      <c r="T1900" s="287"/>
      <c r="U1900" s="288"/>
      <c r="V1900" s="25"/>
      <c r="W1900" s="58"/>
      <c r="X1900" s="58"/>
      <c r="Y1900" s="25"/>
      <c r="Z1900" s="45">
        <v>6</v>
      </c>
      <c r="AA1900" s="65">
        <v>61</v>
      </c>
      <c r="AB1900" s="65">
        <v>72</v>
      </c>
      <c r="AC1900" s="25"/>
      <c r="AD1900" s="25"/>
      <c r="BA1900" s="225"/>
    </row>
    <row r="1901" spans="1:53" ht="15.75" customHeight="1" thickBot="1" x14ac:dyDescent="0.3">
      <c r="A1901" s="88"/>
      <c r="B1901" s="321" t="s">
        <v>260</v>
      </c>
      <c r="C1901" s="293" t="s">
        <v>261</v>
      </c>
      <c r="D1901" s="293" t="s">
        <v>262</v>
      </c>
      <c r="E1901" s="306" t="s">
        <v>263</v>
      </c>
      <c r="F1901" s="293" t="s">
        <v>264</v>
      </c>
      <c r="G1901" s="308" t="s">
        <v>265</v>
      </c>
      <c r="H1901" s="308" t="s">
        <v>266</v>
      </c>
      <c r="I1901" s="308" t="s">
        <v>267</v>
      </c>
      <c r="J1901" s="310" t="s">
        <v>268</v>
      </c>
      <c r="K1901" s="293" t="s">
        <v>269</v>
      </c>
      <c r="L1901" s="280" t="s">
        <v>270</v>
      </c>
      <c r="M1901" s="282" t="s">
        <v>271</v>
      </c>
      <c r="N1901" s="282"/>
      <c r="O1901" s="282"/>
      <c r="P1901" s="282"/>
      <c r="Q1901" s="282"/>
      <c r="R1901" s="282"/>
      <c r="S1901" s="282"/>
      <c r="T1901" s="282"/>
      <c r="U1901" s="283"/>
      <c r="V1901" s="107"/>
      <c r="W1901" s="72"/>
      <c r="X1901" s="72"/>
      <c r="Y1901" s="72"/>
      <c r="Z1901" s="45">
        <v>7</v>
      </c>
      <c r="AA1901" s="65">
        <v>73</v>
      </c>
      <c r="AB1901" s="65">
        <v>84</v>
      </c>
      <c r="AC1901" s="25"/>
      <c r="AD1901" s="25"/>
      <c r="BA1901" s="227"/>
    </row>
    <row r="1902" spans="1:53" ht="15.75" thickBot="1" x14ac:dyDescent="0.3">
      <c r="A1902" s="88"/>
      <c r="B1902" s="322"/>
      <c r="C1902" s="294"/>
      <c r="D1902" s="294"/>
      <c r="E1902" s="307"/>
      <c r="F1902" s="294"/>
      <c r="G1902" s="309"/>
      <c r="H1902" s="309"/>
      <c r="I1902" s="309"/>
      <c r="J1902" s="311"/>
      <c r="K1902" s="294"/>
      <c r="L1902" s="281"/>
      <c r="M1902" s="284"/>
      <c r="N1902" s="284"/>
      <c r="O1902" s="284"/>
      <c r="P1902" s="284"/>
      <c r="Q1902" s="284"/>
      <c r="R1902" s="284"/>
      <c r="S1902" s="284"/>
      <c r="T1902" s="284"/>
      <c r="U1902" s="285"/>
      <c r="V1902" s="107"/>
      <c r="W1902" s="72"/>
      <c r="X1902" s="72"/>
      <c r="Y1902" s="72"/>
      <c r="Z1902" s="45">
        <v>8</v>
      </c>
      <c r="AA1902" s="46">
        <v>85</v>
      </c>
      <c r="AB1902" s="46">
        <v>96</v>
      </c>
      <c r="AC1902" s="25"/>
      <c r="AD1902" s="25"/>
      <c r="AI1902" s="109" t="s">
        <v>272</v>
      </c>
      <c r="AJ1902" s="109" t="s">
        <v>273</v>
      </c>
      <c r="AK1902" s="109" t="s">
        <v>274</v>
      </c>
      <c r="AL1902" s="109" t="s">
        <v>275</v>
      </c>
      <c r="BA1902" s="227"/>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2"/>
      <c r="M1903" s="278"/>
      <c r="N1903" s="278"/>
      <c r="O1903" s="278"/>
      <c r="P1903" s="278"/>
      <c r="Q1903" s="278"/>
      <c r="R1903" s="278"/>
      <c r="S1903" s="278"/>
      <c r="T1903" s="278"/>
      <c r="U1903" s="279"/>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8">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2"/>
      <c r="M1904" s="278"/>
      <c r="N1904" s="278"/>
      <c r="O1904" s="278"/>
      <c r="P1904" s="278"/>
      <c r="Q1904" s="278"/>
      <c r="R1904" s="278"/>
      <c r="S1904" s="278"/>
      <c r="T1904" s="278"/>
      <c r="U1904" s="279"/>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8">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2"/>
      <c r="M1905" s="278"/>
      <c r="N1905" s="278"/>
      <c r="O1905" s="278"/>
      <c r="P1905" s="278"/>
      <c r="Q1905" s="278"/>
      <c r="R1905" s="278"/>
      <c r="S1905" s="278"/>
      <c r="T1905" s="278"/>
      <c r="U1905" s="279"/>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8">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2"/>
      <c r="M1906" s="278"/>
      <c r="N1906" s="278"/>
      <c r="O1906" s="278"/>
      <c r="P1906" s="278"/>
      <c r="Q1906" s="278"/>
      <c r="R1906" s="278"/>
      <c r="S1906" s="278"/>
      <c r="T1906" s="278"/>
      <c r="U1906" s="279"/>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8">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2"/>
      <c r="M1907" s="278"/>
      <c r="N1907" s="278"/>
      <c r="O1907" s="278"/>
      <c r="P1907" s="278"/>
      <c r="Q1907" s="278"/>
      <c r="R1907" s="278"/>
      <c r="S1907" s="278"/>
      <c r="T1907" s="278"/>
      <c r="U1907" s="279"/>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8">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2"/>
      <c r="M1908" s="278"/>
      <c r="N1908" s="278"/>
      <c r="O1908" s="278"/>
      <c r="P1908" s="278"/>
      <c r="Q1908" s="278"/>
      <c r="R1908" s="278"/>
      <c r="S1908" s="278"/>
      <c r="T1908" s="278"/>
      <c r="U1908" s="279"/>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8">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2"/>
      <c r="M1909" s="278"/>
      <c r="N1909" s="278"/>
      <c r="O1909" s="278"/>
      <c r="P1909" s="278"/>
      <c r="Q1909" s="278"/>
      <c r="R1909" s="278"/>
      <c r="S1909" s="278"/>
      <c r="T1909" s="278"/>
      <c r="U1909" s="279"/>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8">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2"/>
      <c r="M1910" s="278"/>
      <c r="N1910" s="278"/>
      <c r="O1910" s="278"/>
      <c r="P1910" s="278"/>
      <c r="Q1910" s="278"/>
      <c r="R1910" s="278"/>
      <c r="S1910" s="278"/>
      <c r="T1910" s="278"/>
      <c r="U1910" s="279"/>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8">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2"/>
      <c r="M1911" s="278"/>
      <c r="N1911" s="278"/>
      <c r="O1911" s="278"/>
      <c r="P1911" s="278"/>
      <c r="Q1911" s="278"/>
      <c r="R1911" s="278"/>
      <c r="S1911" s="278"/>
      <c r="T1911" s="278"/>
      <c r="U1911" s="279"/>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8">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2"/>
      <c r="M1912" s="278"/>
      <c r="N1912" s="278"/>
      <c r="O1912" s="278"/>
      <c r="P1912" s="278"/>
      <c r="Q1912" s="278"/>
      <c r="R1912" s="278"/>
      <c r="S1912" s="278"/>
      <c r="T1912" s="278"/>
      <c r="U1912" s="279"/>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8">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2"/>
      <c r="M1913" s="278"/>
      <c r="N1913" s="278"/>
      <c r="O1913" s="278"/>
      <c r="P1913" s="278"/>
      <c r="Q1913" s="278"/>
      <c r="R1913" s="278"/>
      <c r="S1913" s="278"/>
      <c r="T1913" s="278"/>
      <c r="U1913" s="279"/>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8">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2"/>
      <c r="M1914" s="278"/>
      <c r="N1914" s="278"/>
      <c r="O1914" s="278"/>
      <c r="P1914" s="278"/>
      <c r="Q1914" s="278"/>
      <c r="R1914" s="278"/>
      <c r="S1914" s="278"/>
      <c r="T1914" s="278"/>
      <c r="U1914" s="279"/>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8">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2"/>
      <c r="M1915" s="278"/>
      <c r="N1915" s="278"/>
      <c r="O1915" s="278"/>
      <c r="P1915" s="278"/>
      <c r="Q1915" s="278"/>
      <c r="R1915" s="278"/>
      <c r="S1915" s="278"/>
      <c r="T1915" s="278"/>
      <c r="U1915" s="279"/>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8">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2"/>
      <c r="M1916" s="278"/>
      <c r="N1916" s="278"/>
      <c r="O1916" s="278"/>
      <c r="P1916" s="278"/>
      <c r="Q1916" s="278"/>
      <c r="R1916" s="278"/>
      <c r="S1916" s="278"/>
      <c r="T1916" s="278"/>
      <c r="U1916" s="279"/>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8">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2"/>
      <c r="M1917" s="278"/>
      <c r="N1917" s="278"/>
      <c r="O1917" s="278"/>
      <c r="P1917" s="278"/>
      <c r="Q1917" s="278"/>
      <c r="R1917" s="278"/>
      <c r="S1917" s="278"/>
      <c r="T1917" s="278"/>
      <c r="U1917" s="279"/>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8">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2"/>
      <c r="M1918" s="278"/>
      <c r="N1918" s="278"/>
      <c r="O1918" s="278"/>
      <c r="P1918" s="278"/>
      <c r="Q1918" s="278"/>
      <c r="R1918" s="278"/>
      <c r="S1918" s="278"/>
      <c r="T1918" s="278"/>
      <c r="U1918" s="279"/>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8">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2"/>
      <c r="M1919" s="278"/>
      <c r="N1919" s="278"/>
      <c r="O1919" s="278"/>
      <c r="P1919" s="278"/>
      <c r="Q1919" s="278"/>
      <c r="R1919" s="278"/>
      <c r="S1919" s="278"/>
      <c r="T1919" s="278"/>
      <c r="U1919" s="279"/>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8">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2"/>
      <c r="M1920" s="278"/>
      <c r="N1920" s="278"/>
      <c r="O1920" s="278"/>
      <c r="P1920" s="278"/>
      <c r="Q1920" s="278"/>
      <c r="R1920" s="278"/>
      <c r="S1920" s="278"/>
      <c r="T1920" s="278"/>
      <c r="U1920" s="279"/>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8">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2"/>
      <c r="M1921" s="278"/>
      <c r="N1921" s="278"/>
      <c r="O1921" s="278"/>
      <c r="P1921" s="278"/>
      <c r="Q1921" s="278"/>
      <c r="R1921" s="278"/>
      <c r="S1921" s="278"/>
      <c r="T1921" s="278"/>
      <c r="U1921" s="279"/>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8">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2"/>
      <c r="M1922" s="278"/>
      <c r="N1922" s="278"/>
      <c r="O1922" s="278"/>
      <c r="P1922" s="278"/>
      <c r="Q1922" s="278"/>
      <c r="R1922" s="278"/>
      <c r="S1922" s="278"/>
      <c r="T1922" s="278"/>
      <c r="U1922" s="279"/>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8">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2"/>
      <c r="M1923" s="278"/>
      <c r="N1923" s="278"/>
      <c r="O1923" s="278"/>
      <c r="P1923" s="278"/>
      <c r="Q1923" s="278"/>
      <c r="R1923" s="278"/>
      <c r="S1923" s="278"/>
      <c r="T1923" s="278"/>
      <c r="U1923" s="279"/>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8">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2"/>
      <c r="M1924" s="278"/>
      <c r="N1924" s="278"/>
      <c r="O1924" s="278"/>
      <c r="P1924" s="278"/>
      <c r="Q1924" s="278"/>
      <c r="R1924" s="278"/>
      <c r="S1924" s="278"/>
      <c r="T1924" s="278"/>
      <c r="U1924" s="279"/>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8">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2"/>
      <c r="M1925" s="278"/>
      <c r="N1925" s="278"/>
      <c r="O1925" s="278"/>
      <c r="P1925" s="278"/>
      <c r="Q1925" s="278"/>
      <c r="R1925" s="278"/>
      <c r="S1925" s="278"/>
      <c r="T1925" s="278"/>
      <c r="U1925" s="279"/>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8">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2"/>
      <c r="M1926" s="278"/>
      <c r="N1926" s="278"/>
      <c r="O1926" s="278"/>
      <c r="P1926" s="278"/>
      <c r="Q1926" s="278"/>
      <c r="R1926" s="278"/>
      <c r="S1926" s="278"/>
      <c r="T1926" s="278"/>
      <c r="U1926" s="279"/>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8">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3"/>
      <c r="M1927" s="278"/>
      <c r="N1927" s="278"/>
      <c r="O1927" s="278"/>
      <c r="P1927" s="278"/>
      <c r="Q1927" s="278"/>
      <c r="R1927" s="278"/>
      <c r="S1927" s="278"/>
      <c r="T1927" s="278"/>
      <c r="U1927" s="279"/>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7"/>
    </row>
    <row r="1928" spans="1:53" ht="16.5" thickBot="1" x14ac:dyDescent="0.3">
      <c r="A1928" s="88"/>
      <c r="B1928" s="319" t="s">
        <v>397</v>
      </c>
      <c r="C1928" s="320"/>
      <c r="D1928" s="79"/>
      <c r="E1928" s="80"/>
      <c r="F1928" s="80"/>
      <c r="G1928" s="81"/>
      <c r="H1928" s="191"/>
      <c r="I1928" s="191"/>
      <c r="J1928" s="191"/>
      <c r="K1928" s="82"/>
      <c r="L1928" s="319" t="s">
        <v>306</v>
      </c>
      <c r="M1928" s="330"/>
      <c r="N1928" s="330"/>
      <c r="O1928" s="330"/>
      <c r="P1928" s="330"/>
      <c r="Q1928" s="330"/>
      <c r="R1928" s="330"/>
      <c r="S1928" s="330"/>
      <c r="T1928" s="330"/>
      <c r="U1928" s="320"/>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7"/>
    </row>
    <row r="1929" spans="1:53" ht="16.5" thickBot="1" x14ac:dyDescent="0.3">
      <c r="A1929" s="88"/>
      <c r="B1929" s="319" t="s">
        <v>307</v>
      </c>
      <c r="C1929" s="320"/>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5"/>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5" t="s">
        <v>210</v>
      </c>
      <c r="N1932" s="195" t="s">
        <v>211</v>
      </c>
      <c r="O1932" s="195" t="s">
        <v>212</v>
      </c>
      <c r="P1932" s="195" t="s">
        <v>213</v>
      </c>
      <c r="Q1932" s="195" t="s">
        <v>214</v>
      </c>
      <c r="R1932" s="195" t="s">
        <v>215</v>
      </c>
      <c r="S1932" s="195" t="s">
        <v>216</v>
      </c>
      <c r="T1932" s="195" t="s">
        <v>217</v>
      </c>
      <c r="U1932" s="195" t="s">
        <v>218</v>
      </c>
      <c r="V1932" s="195" t="s">
        <v>219</v>
      </c>
      <c r="W1932" s="113" t="s">
        <v>220</v>
      </c>
      <c r="X1932" s="195" t="s">
        <v>221</v>
      </c>
      <c r="Y1932" s="25"/>
      <c r="Z1932" s="25"/>
      <c r="AA1932" s="25"/>
      <c r="AB1932" s="25"/>
      <c r="AC1932" s="25"/>
      <c r="AD1932" s="25"/>
      <c r="BA1932" s="225"/>
    </row>
    <row r="1933" spans="1:53" ht="16.5" thickTop="1" thickBot="1" x14ac:dyDescent="0.3">
      <c r="A1933" s="88"/>
      <c r="B1933" s="312" t="s">
        <v>222</v>
      </c>
      <c r="C1933" s="313"/>
      <c r="D1933" s="314" t="s">
        <v>223</v>
      </c>
      <c r="E1933" s="305"/>
      <c r="F1933" s="88"/>
      <c r="G1933" s="315" t="s">
        <v>224</v>
      </c>
      <c r="H1933" s="316"/>
      <c r="I1933" s="28">
        <f>SUM(E1944:E1968)</f>
        <v>0</v>
      </c>
      <c r="J1933" s="317" t="s">
        <v>225</v>
      </c>
      <c r="K1933" s="318"/>
      <c r="L1933" s="305"/>
      <c r="M1933" s="195">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5" t="s">
        <v>226</v>
      </c>
      <c r="AA1933" s="296"/>
      <c r="AB1933" s="297"/>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5"/>
    </row>
    <row r="1934" spans="1:53" ht="16.5" customHeight="1" thickTop="1" thickBot="1" x14ac:dyDescent="0.3">
      <c r="A1934" s="88"/>
      <c r="B1934" s="29" t="s">
        <v>228</v>
      </c>
      <c r="C1934" s="30">
        <v>0</v>
      </c>
      <c r="D1934" s="31" t="s">
        <v>229</v>
      </c>
      <c r="E1934" s="66" t="str">
        <f>TEXT(IF('Cable Calculator'!IE7="","",'Cable Calculator'!IE7),)</f>
        <v/>
      </c>
      <c r="F1934" s="88"/>
      <c r="G1934" s="304" t="s">
        <v>230</v>
      </c>
      <c r="H1934" s="305"/>
      <c r="I1934" s="33">
        <f>E1935-I1933</f>
        <v>0</v>
      </c>
      <c r="J1934" s="289" t="s">
        <v>231</v>
      </c>
      <c r="K1934" s="290"/>
      <c r="L1934" s="34">
        <f>I1938</f>
        <v>0</v>
      </c>
      <c r="M1934" s="195">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8" t="s">
        <v>232</v>
      </c>
      <c r="AA1934" s="300" t="s">
        <v>233</v>
      </c>
      <c r="AB1934" s="301"/>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6"/>
    </row>
    <row r="1935" spans="1:53" ht="16.5" thickTop="1" thickBot="1" x14ac:dyDescent="0.3">
      <c r="A1935" s="88"/>
      <c r="B1935" s="36" t="s">
        <v>235</v>
      </c>
      <c r="C1935" s="37">
        <v>0</v>
      </c>
      <c r="D1935" s="38" t="s">
        <v>236</v>
      </c>
      <c r="E1935" s="32"/>
      <c r="F1935" s="88"/>
      <c r="G1935" s="291" t="s">
        <v>237</v>
      </c>
      <c r="H1935" s="292"/>
      <c r="I1935" s="35">
        <f>IF(E1935=0,0,12-(MOD(I1933,12)))</f>
        <v>0</v>
      </c>
      <c r="J1935" s="289" t="s">
        <v>238</v>
      </c>
      <c r="K1935" s="290"/>
      <c r="L1935" s="39">
        <f>I1939-I1933</f>
        <v>0</v>
      </c>
      <c r="M1935" s="195">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9"/>
      <c r="AA1935" s="302"/>
      <c r="AB1935" s="303"/>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6"/>
    </row>
    <row r="1936" spans="1:53" ht="16.5" customHeight="1" thickTop="1" thickBot="1" x14ac:dyDescent="0.3">
      <c r="A1936" s="88"/>
      <c r="B1936" s="40" t="s">
        <v>240</v>
      </c>
      <c r="C1936" s="30">
        <v>0</v>
      </c>
      <c r="D1936" s="41" t="s">
        <v>241</v>
      </c>
      <c r="E1936" s="42"/>
      <c r="F1936" s="88"/>
      <c r="G1936" s="321" t="s">
        <v>242</v>
      </c>
      <c r="H1936" s="43" t="s">
        <v>243</v>
      </c>
      <c r="I1936" s="35">
        <f>IF(E1936&lt;&gt;0,1,0)</f>
        <v>0</v>
      </c>
      <c r="J1936" s="291" t="s">
        <v>244</v>
      </c>
      <c r="K1936" s="292"/>
      <c r="L1936" s="44" t="str">
        <f>'Cable Calculator'!IE3</f>
        <v/>
      </c>
      <c r="M1936" s="195">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6"/>
    </row>
    <row r="1937" spans="1:53" ht="16.5" thickTop="1" thickBot="1" x14ac:dyDescent="0.3">
      <c r="A1937" s="88"/>
      <c r="B1937" s="29" t="s">
        <v>246</v>
      </c>
      <c r="C1937" s="37">
        <v>0</v>
      </c>
      <c r="D1937" s="41" t="s">
        <v>247</v>
      </c>
      <c r="E1937" s="42"/>
      <c r="F1937" s="88"/>
      <c r="G1937" s="322"/>
      <c r="H1937" s="47" t="s">
        <v>248</v>
      </c>
      <c r="I1937" s="35">
        <f>IF(E1936&lt;&gt;0,E1936,0)</f>
        <v>0</v>
      </c>
      <c r="J1937" s="193"/>
      <c r="K1937" s="194"/>
      <c r="L1937" s="48"/>
      <c r="M1937" s="195">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6"/>
    </row>
    <row r="1938" spans="1:53" ht="16.5" customHeight="1" thickTop="1" thickBot="1" x14ac:dyDescent="0.3">
      <c r="A1938" s="88"/>
      <c r="B1938" s="36" t="s">
        <v>249</v>
      </c>
      <c r="C1938" s="30">
        <v>0</v>
      </c>
      <c r="D1938" s="49" t="s">
        <v>250</v>
      </c>
      <c r="E1938" s="50">
        <f>E1935/12</f>
        <v>0</v>
      </c>
      <c r="F1938" s="88"/>
      <c r="G1938" s="321" t="s">
        <v>251</v>
      </c>
      <c r="H1938" s="51" t="s">
        <v>252</v>
      </c>
      <c r="I1938" s="112">
        <f>E1937</f>
        <v>0</v>
      </c>
      <c r="J1938" s="323" t="s">
        <v>253</v>
      </c>
      <c r="K1938" s="324"/>
      <c r="L1938" s="325"/>
      <c r="M1938" s="52" t="s">
        <v>254</v>
      </c>
      <c r="N1938" s="106"/>
      <c r="O1938" s="106"/>
      <c r="P1938" s="191"/>
      <c r="Q1938" s="191"/>
      <c r="R1938" s="191"/>
      <c r="S1938" s="191"/>
      <c r="T1938" s="191"/>
      <c r="U1938" s="191"/>
      <c r="V1938" s="191"/>
      <c r="W1938" s="53">
        <f>SUM(P1938:U1938)</f>
        <v>0</v>
      </c>
      <c r="X1938" s="54"/>
      <c r="Y1938" s="25"/>
      <c r="Z1938" s="45">
        <v>3</v>
      </c>
      <c r="AA1938" s="46">
        <v>25</v>
      </c>
      <c r="AB1938" s="46">
        <v>36</v>
      </c>
      <c r="AC1938" s="25"/>
      <c r="AD1938" s="25"/>
      <c r="BA1938" s="226"/>
    </row>
    <row r="1939" spans="1:53" ht="16.5" thickTop="1" thickBot="1" x14ac:dyDescent="0.3">
      <c r="A1939" s="88"/>
      <c r="B1939" s="36" t="s">
        <v>255</v>
      </c>
      <c r="C1939" s="30">
        <v>0</v>
      </c>
      <c r="D1939" s="31" t="s">
        <v>256</v>
      </c>
      <c r="E1939" s="101" t="str">
        <f>IF('Cable Calculator'!IE5="","",'Cable Calculator'!IE5)</f>
        <v/>
      </c>
      <c r="F1939" s="88"/>
      <c r="G1939" s="322"/>
      <c r="H1939" s="47" t="s">
        <v>257</v>
      </c>
      <c r="I1939" s="35" t="str">
        <f>IF(E1937="","0",IF(AND(E1934="EUC",E1935=432), I1938+(203-E1936),IF(E1937=0,0,(E1937+(E1935-E1936)-1))))</f>
        <v>0</v>
      </c>
      <c r="J1939" s="286" t="str">
        <f>IFERROR(IF(OR(E1934="EUC",E1934="SS"),"---",IF(OR(P1933,S1933),"NO 2F Tethers for RPX!",IF(OR(P1935,S1935),"NO 6F Tethers for RPX!","---"))),"---")</f>
        <v>---</v>
      </c>
      <c r="K1939" s="287"/>
      <c r="L1939" s="288"/>
      <c r="M1939" s="286" t="str">
        <f>IF(E1936&gt;60,"Dead Count &gt;60: Consider Downsize","---")</f>
        <v>---</v>
      </c>
      <c r="N1939" s="287"/>
      <c r="O1939" s="287"/>
      <c r="P1939" s="287"/>
      <c r="Q1939" s="287"/>
      <c r="R1939" s="287"/>
      <c r="S1939" s="287"/>
      <c r="T1939" s="287"/>
      <c r="U1939" s="288"/>
      <c r="V1939" s="100"/>
      <c r="W1939" s="54">
        <f>SUM(P1939:U1939)</f>
        <v>0</v>
      </c>
      <c r="X1939" s="54"/>
      <c r="Y1939" s="25"/>
      <c r="Z1939" s="45">
        <v>4</v>
      </c>
      <c r="AA1939" s="46">
        <v>37</v>
      </c>
      <c r="AB1939" s="46">
        <v>48</v>
      </c>
      <c r="AC1939" s="25"/>
      <c r="AD1939" s="25"/>
      <c r="BA1939" s="226"/>
    </row>
    <row r="1940" spans="1:53" ht="16.5" thickTop="1" thickBot="1" x14ac:dyDescent="0.3">
      <c r="A1940" s="88"/>
      <c r="B1940" s="55" t="s">
        <v>258</v>
      </c>
      <c r="C1940" s="56">
        <f>SUM(C1934:C1939)+I1933</f>
        <v>0</v>
      </c>
      <c r="D1940" s="31" t="s">
        <v>259</v>
      </c>
      <c r="E1940" s="101" t="str">
        <f>IF(AS1934="Y","DBL",IF(AS1935="Y","TRPL",IF(AS1936="Y","QUAD","")))</f>
        <v/>
      </c>
      <c r="F1940" s="88"/>
      <c r="G1940" s="191"/>
      <c r="H1940" s="57"/>
      <c r="I1940" s="191"/>
      <c r="J1940" s="286"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7"/>
      <c r="L1940" s="288"/>
      <c r="M1940" s="286" t="str">
        <f>IF(AND(OR(E1934="SS",E1934="RPX",E1934="EUC",E1934="RPX-T"),(OR(C1944="",C1944="Field SPL"))),"Cannot have FlexNap cables without tethers","---")</f>
        <v>---</v>
      </c>
      <c r="N1940" s="287"/>
      <c r="O1940" s="287"/>
      <c r="P1940" s="287"/>
      <c r="Q1940" s="287"/>
      <c r="R1940" s="287"/>
      <c r="S1940" s="287"/>
      <c r="T1940" s="287"/>
      <c r="U1940" s="288"/>
      <c r="V1940" s="25"/>
      <c r="W1940" s="58"/>
      <c r="X1940" s="58"/>
      <c r="Y1940" s="25"/>
      <c r="Z1940" s="45">
        <v>5</v>
      </c>
      <c r="AA1940" s="46">
        <v>49</v>
      </c>
      <c r="AB1940" s="46">
        <v>60</v>
      </c>
      <c r="AC1940" s="25"/>
      <c r="AD1940" s="25"/>
      <c r="BA1940" s="226"/>
    </row>
    <row r="1941" spans="1:53" ht="16.5" thickTop="1" thickBot="1" x14ac:dyDescent="0.3">
      <c r="A1941" s="88"/>
      <c r="B1941" s="59"/>
      <c r="C1941" s="60"/>
      <c r="D1941" s="61"/>
      <c r="E1941" s="62"/>
      <c r="F1941" s="88"/>
      <c r="G1941" s="63"/>
      <c r="H1941" s="64"/>
      <c r="I1941" s="63"/>
      <c r="J1941" s="286" t="str">
        <f>IF(AND(OR(E1934="RPX", E1934="RPX-T", E1934="SS"),E1935=216),"NO 216 For RPX, RPX-T, OR SS CABLE","---")</f>
        <v>---</v>
      </c>
      <c r="K1941" s="287"/>
      <c r="L1941" s="288"/>
      <c r="M1941" s="286" t="str" cm="1">
        <f t="array" ref="M1941">IF(AND(E1934="",OR(C1944:C1968="FST",C1944:C1968="REV T",C1944:C1968="DBL REV",C1944:C1968="TPL REV", C1944:C1968="QD REV")),"Non-FlexNap cables cannot have tethers","---")</f>
        <v>---</v>
      </c>
      <c r="N1941" s="287"/>
      <c r="O1941" s="287"/>
      <c r="P1941" s="287"/>
      <c r="Q1941" s="287"/>
      <c r="R1941" s="287"/>
      <c r="S1941" s="287"/>
      <c r="T1941" s="287"/>
      <c r="U1941" s="288"/>
      <c r="V1941" s="25"/>
      <c r="W1941" s="58"/>
      <c r="X1941" s="58"/>
      <c r="Y1941" s="25"/>
      <c r="Z1941" s="45">
        <v>6</v>
      </c>
      <c r="AA1941" s="65">
        <v>61</v>
      </c>
      <c r="AB1941" s="65">
        <v>72</v>
      </c>
      <c r="AC1941" s="25"/>
      <c r="AD1941" s="25"/>
      <c r="BA1941" s="225"/>
    </row>
    <row r="1942" spans="1:53" ht="15.75" customHeight="1" thickBot="1" x14ac:dyDescent="0.3">
      <c r="A1942" s="88"/>
      <c r="B1942" s="321" t="s">
        <v>260</v>
      </c>
      <c r="C1942" s="293" t="s">
        <v>261</v>
      </c>
      <c r="D1942" s="293" t="s">
        <v>262</v>
      </c>
      <c r="E1942" s="306" t="s">
        <v>263</v>
      </c>
      <c r="F1942" s="293" t="s">
        <v>264</v>
      </c>
      <c r="G1942" s="308" t="s">
        <v>265</v>
      </c>
      <c r="H1942" s="308" t="s">
        <v>266</v>
      </c>
      <c r="I1942" s="308" t="s">
        <v>267</v>
      </c>
      <c r="J1942" s="310" t="s">
        <v>268</v>
      </c>
      <c r="K1942" s="293" t="s">
        <v>269</v>
      </c>
      <c r="L1942" s="280" t="s">
        <v>270</v>
      </c>
      <c r="M1942" s="282" t="s">
        <v>271</v>
      </c>
      <c r="N1942" s="282"/>
      <c r="O1942" s="282"/>
      <c r="P1942" s="282"/>
      <c r="Q1942" s="282"/>
      <c r="R1942" s="282"/>
      <c r="S1942" s="282"/>
      <c r="T1942" s="282"/>
      <c r="U1942" s="283"/>
      <c r="V1942" s="107"/>
      <c r="W1942" s="72"/>
      <c r="X1942" s="72"/>
      <c r="Y1942" s="72"/>
      <c r="Z1942" s="45">
        <v>7</v>
      </c>
      <c r="AA1942" s="65">
        <v>73</v>
      </c>
      <c r="AB1942" s="65">
        <v>84</v>
      </c>
      <c r="AC1942" s="25"/>
      <c r="AD1942" s="25"/>
      <c r="BA1942" s="227"/>
    </row>
    <row r="1943" spans="1:53" ht="15.75" thickBot="1" x14ac:dyDescent="0.3">
      <c r="A1943" s="88"/>
      <c r="B1943" s="322"/>
      <c r="C1943" s="294"/>
      <c r="D1943" s="294"/>
      <c r="E1943" s="307"/>
      <c r="F1943" s="294"/>
      <c r="G1943" s="309"/>
      <c r="H1943" s="309"/>
      <c r="I1943" s="309"/>
      <c r="J1943" s="311"/>
      <c r="K1943" s="294"/>
      <c r="L1943" s="281"/>
      <c r="M1943" s="284"/>
      <c r="N1943" s="284"/>
      <c r="O1943" s="284"/>
      <c r="P1943" s="284"/>
      <c r="Q1943" s="284"/>
      <c r="R1943" s="284"/>
      <c r="S1943" s="284"/>
      <c r="T1943" s="284"/>
      <c r="U1943" s="285"/>
      <c r="V1943" s="107"/>
      <c r="W1943" s="72"/>
      <c r="X1943" s="72"/>
      <c r="Y1943" s="72"/>
      <c r="Z1943" s="45">
        <v>8</v>
      </c>
      <c r="AA1943" s="46">
        <v>85</v>
      </c>
      <c r="AB1943" s="46">
        <v>96</v>
      </c>
      <c r="AC1943" s="25"/>
      <c r="AD1943" s="25"/>
      <c r="AI1943" s="109" t="s">
        <v>272</v>
      </c>
      <c r="AJ1943" s="109" t="s">
        <v>273</v>
      </c>
      <c r="AK1943" s="109" t="s">
        <v>274</v>
      </c>
      <c r="AL1943" s="109" t="s">
        <v>275</v>
      </c>
      <c r="BA1943" s="227"/>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2"/>
      <c r="M1944" s="278"/>
      <c r="N1944" s="278"/>
      <c r="O1944" s="278"/>
      <c r="P1944" s="278"/>
      <c r="Q1944" s="278"/>
      <c r="R1944" s="278"/>
      <c r="S1944" s="278"/>
      <c r="T1944" s="278"/>
      <c r="U1944" s="279"/>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8">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2"/>
      <c r="M1945" s="278"/>
      <c r="N1945" s="278"/>
      <c r="O1945" s="278"/>
      <c r="P1945" s="278"/>
      <c r="Q1945" s="278"/>
      <c r="R1945" s="278"/>
      <c r="S1945" s="278"/>
      <c r="T1945" s="278"/>
      <c r="U1945" s="279"/>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8">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2"/>
      <c r="M1946" s="278"/>
      <c r="N1946" s="278"/>
      <c r="O1946" s="278"/>
      <c r="P1946" s="278"/>
      <c r="Q1946" s="278"/>
      <c r="R1946" s="278"/>
      <c r="S1946" s="278"/>
      <c r="T1946" s="278"/>
      <c r="U1946" s="279"/>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8">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2"/>
      <c r="M1947" s="278"/>
      <c r="N1947" s="278"/>
      <c r="O1947" s="278"/>
      <c r="P1947" s="278"/>
      <c r="Q1947" s="278"/>
      <c r="R1947" s="278"/>
      <c r="S1947" s="278"/>
      <c r="T1947" s="278"/>
      <c r="U1947" s="279"/>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8">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2"/>
      <c r="M1948" s="278"/>
      <c r="N1948" s="278"/>
      <c r="O1948" s="278"/>
      <c r="P1948" s="278"/>
      <c r="Q1948" s="278"/>
      <c r="R1948" s="278"/>
      <c r="S1948" s="278"/>
      <c r="T1948" s="278"/>
      <c r="U1948" s="279"/>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8">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2"/>
      <c r="M1949" s="278"/>
      <c r="N1949" s="278"/>
      <c r="O1949" s="278"/>
      <c r="P1949" s="278"/>
      <c r="Q1949" s="278"/>
      <c r="R1949" s="278"/>
      <c r="S1949" s="278"/>
      <c r="T1949" s="278"/>
      <c r="U1949" s="279"/>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8">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2"/>
      <c r="M1950" s="278"/>
      <c r="N1950" s="278"/>
      <c r="O1950" s="278"/>
      <c r="P1950" s="278"/>
      <c r="Q1950" s="278"/>
      <c r="R1950" s="278"/>
      <c r="S1950" s="278"/>
      <c r="T1950" s="278"/>
      <c r="U1950" s="279"/>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8">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2"/>
      <c r="M1951" s="278"/>
      <c r="N1951" s="278"/>
      <c r="O1951" s="278"/>
      <c r="P1951" s="278"/>
      <c r="Q1951" s="278"/>
      <c r="R1951" s="278"/>
      <c r="S1951" s="278"/>
      <c r="T1951" s="278"/>
      <c r="U1951" s="279"/>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8">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2"/>
      <c r="M1952" s="278"/>
      <c r="N1952" s="278"/>
      <c r="O1952" s="278"/>
      <c r="P1952" s="278"/>
      <c r="Q1952" s="278"/>
      <c r="R1952" s="278"/>
      <c r="S1952" s="278"/>
      <c r="T1952" s="278"/>
      <c r="U1952" s="279"/>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8">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2"/>
      <c r="M1953" s="278"/>
      <c r="N1953" s="278"/>
      <c r="O1953" s="278"/>
      <c r="P1953" s="278"/>
      <c r="Q1953" s="278"/>
      <c r="R1953" s="278"/>
      <c r="S1953" s="278"/>
      <c r="T1953" s="278"/>
      <c r="U1953" s="279"/>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8">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2"/>
      <c r="M1954" s="278"/>
      <c r="N1954" s="278"/>
      <c r="O1954" s="278"/>
      <c r="P1954" s="278"/>
      <c r="Q1954" s="278"/>
      <c r="R1954" s="278"/>
      <c r="S1954" s="278"/>
      <c r="T1954" s="278"/>
      <c r="U1954" s="279"/>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8">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2"/>
      <c r="M1955" s="278"/>
      <c r="N1955" s="278"/>
      <c r="O1955" s="278"/>
      <c r="P1955" s="278"/>
      <c r="Q1955" s="278"/>
      <c r="R1955" s="278"/>
      <c r="S1955" s="278"/>
      <c r="T1955" s="278"/>
      <c r="U1955" s="279"/>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8">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2"/>
      <c r="M1956" s="278"/>
      <c r="N1956" s="278"/>
      <c r="O1956" s="278"/>
      <c r="P1956" s="278"/>
      <c r="Q1956" s="278"/>
      <c r="R1956" s="278"/>
      <c r="S1956" s="278"/>
      <c r="T1956" s="278"/>
      <c r="U1956" s="279"/>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8">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2"/>
      <c r="M1957" s="278"/>
      <c r="N1957" s="278"/>
      <c r="O1957" s="278"/>
      <c r="P1957" s="278"/>
      <c r="Q1957" s="278"/>
      <c r="R1957" s="278"/>
      <c r="S1957" s="278"/>
      <c r="T1957" s="278"/>
      <c r="U1957" s="279"/>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8">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2"/>
      <c r="M1958" s="278"/>
      <c r="N1958" s="278"/>
      <c r="O1958" s="278"/>
      <c r="P1958" s="278"/>
      <c r="Q1958" s="278"/>
      <c r="R1958" s="278"/>
      <c r="S1958" s="278"/>
      <c r="T1958" s="278"/>
      <c r="U1958" s="279"/>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8">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2"/>
      <c r="M1959" s="278"/>
      <c r="N1959" s="278"/>
      <c r="O1959" s="278"/>
      <c r="P1959" s="278"/>
      <c r="Q1959" s="278"/>
      <c r="R1959" s="278"/>
      <c r="S1959" s="278"/>
      <c r="T1959" s="278"/>
      <c r="U1959" s="279"/>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8">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2"/>
      <c r="M1960" s="278"/>
      <c r="N1960" s="278"/>
      <c r="O1960" s="278"/>
      <c r="P1960" s="278"/>
      <c r="Q1960" s="278"/>
      <c r="R1960" s="278"/>
      <c r="S1960" s="278"/>
      <c r="T1960" s="278"/>
      <c r="U1960" s="279"/>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8">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2"/>
      <c r="M1961" s="278"/>
      <c r="N1961" s="278"/>
      <c r="O1961" s="278"/>
      <c r="P1961" s="278"/>
      <c r="Q1961" s="278"/>
      <c r="R1961" s="278"/>
      <c r="S1961" s="278"/>
      <c r="T1961" s="278"/>
      <c r="U1961" s="279"/>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8">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2"/>
      <c r="M1962" s="278"/>
      <c r="N1962" s="278"/>
      <c r="O1962" s="278"/>
      <c r="P1962" s="278"/>
      <c r="Q1962" s="278"/>
      <c r="R1962" s="278"/>
      <c r="S1962" s="278"/>
      <c r="T1962" s="278"/>
      <c r="U1962" s="279"/>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8">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2"/>
      <c r="M1963" s="278"/>
      <c r="N1963" s="278"/>
      <c r="O1963" s="278"/>
      <c r="P1963" s="278"/>
      <c r="Q1963" s="278"/>
      <c r="R1963" s="278"/>
      <c r="S1963" s="278"/>
      <c r="T1963" s="278"/>
      <c r="U1963" s="279"/>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8">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2"/>
      <c r="M1964" s="278"/>
      <c r="N1964" s="278"/>
      <c r="O1964" s="278"/>
      <c r="P1964" s="278"/>
      <c r="Q1964" s="278"/>
      <c r="R1964" s="278"/>
      <c r="S1964" s="278"/>
      <c r="T1964" s="278"/>
      <c r="U1964" s="279"/>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8">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2"/>
      <c r="M1965" s="278"/>
      <c r="N1965" s="278"/>
      <c r="O1965" s="278"/>
      <c r="P1965" s="278"/>
      <c r="Q1965" s="278"/>
      <c r="R1965" s="278"/>
      <c r="S1965" s="278"/>
      <c r="T1965" s="278"/>
      <c r="U1965" s="279"/>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8">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2"/>
      <c r="M1966" s="278"/>
      <c r="N1966" s="278"/>
      <c r="O1966" s="278"/>
      <c r="P1966" s="278"/>
      <c r="Q1966" s="278"/>
      <c r="R1966" s="278"/>
      <c r="S1966" s="278"/>
      <c r="T1966" s="278"/>
      <c r="U1966" s="279"/>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8">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2"/>
      <c r="M1967" s="278"/>
      <c r="N1967" s="278"/>
      <c r="O1967" s="278"/>
      <c r="P1967" s="278"/>
      <c r="Q1967" s="278"/>
      <c r="R1967" s="278"/>
      <c r="S1967" s="278"/>
      <c r="T1967" s="278"/>
      <c r="U1967" s="279"/>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8">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3"/>
      <c r="M1968" s="278"/>
      <c r="N1968" s="278"/>
      <c r="O1968" s="278"/>
      <c r="P1968" s="278"/>
      <c r="Q1968" s="278"/>
      <c r="R1968" s="278"/>
      <c r="S1968" s="278"/>
      <c r="T1968" s="278"/>
      <c r="U1968" s="279"/>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7"/>
    </row>
    <row r="1969" spans="1:53" ht="16.5" thickBot="1" x14ac:dyDescent="0.3">
      <c r="A1969" s="88"/>
      <c r="B1969" s="319" t="s">
        <v>399</v>
      </c>
      <c r="C1969" s="320"/>
      <c r="D1969" s="79"/>
      <c r="E1969" s="80"/>
      <c r="F1969" s="80"/>
      <c r="G1969" s="81"/>
      <c r="H1969" s="191"/>
      <c r="I1969" s="191"/>
      <c r="J1969" s="191"/>
      <c r="K1969" s="82"/>
      <c r="L1969" s="319" t="s">
        <v>306</v>
      </c>
      <c r="M1969" s="330"/>
      <c r="N1969" s="330"/>
      <c r="O1969" s="330"/>
      <c r="P1969" s="330"/>
      <c r="Q1969" s="330"/>
      <c r="R1969" s="330"/>
      <c r="S1969" s="330"/>
      <c r="T1969" s="330"/>
      <c r="U1969" s="320"/>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7"/>
    </row>
    <row r="1970" spans="1:53" ht="16.5" thickBot="1" x14ac:dyDescent="0.3">
      <c r="A1970" s="88"/>
      <c r="B1970" s="319" t="s">
        <v>307</v>
      </c>
      <c r="C1970" s="320"/>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5"/>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5" t="s">
        <v>210</v>
      </c>
      <c r="N1973" s="195" t="s">
        <v>211</v>
      </c>
      <c r="O1973" s="195" t="s">
        <v>212</v>
      </c>
      <c r="P1973" s="195" t="s">
        <v>213</v>
      </c>
      <c r="Q1973" s="195" t="s">
        <v>214</v>
      </c>
      <c r="R1973" s="195" t="s">
        <v>215</v>
      </c>
      <c r="S1973" s="195" t="s">
        <v>216</v>
      </c>
      <c r="T1973" s="195" t="s">
        <v>217</v>
      </c>
      <c r="U1973" s="195" t="s">
        <v>218</v>
      </c>
      <c r="V1973" s="195" t="s">
        <v>219</v>
      </c>
      <c r="W1973" s="113" t="s">
        <v>220</v>
      </c>
      <c r="X1973" s="195" t="s">
        <v>221</v>
      </c>
      <c r="Y1973" s="25"/>
      <c r="Z1973" s="25"/>
      <c r="AA1973" s="25"/>
      <c r="AB1973" s="25"/>
      <c r="AC1973" s="25"/>
      <c r="AD1973" s="25"/>
      <c r="BA1973" s="225"/>
    </row>
    <row r="1974" spans="1:53" ht="16.5" thickTop="1" thickBot="1" x14ac:dyDescent="0.3">
      <c r="A1974" s="88"/>
      <c r="B1974" s="312" t="s">
        <v>222</v>
      </c>
      <c r="C1974" s="313"/>
      <c r="D1974" s="314" t="s">
        <v>223</v>
      </c>
      <c r="E1974" s="305"/>
      <c r="F1974" s="88"/>
      <c r="G1974" s="315" t="s">
        <v>224</v>
      </c>
      <c r="H1974" s="316"/>
      <c r="I1974" s="28">
        <f>SUM(E1985:E2009)</f>
        <v>0</v>
      </c>
      <c r="J1974" s="317" t="s">
        <v>225</v>
      </c>
      <c r="K1974" s="318"/>
      <c r="L1974" s="305"/>
      <c r="M1974" s="195">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5" t="s">
        <v>226</v>
      </c>
      <c r="AA1974" s="296"/>
      <c r="AB1974" s="297"/>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5"/>
    </row>
    <row r="1975" spans="1:53" ht="16.5" customHeight="1" thickTop="1" thickBot="1" x14ac:dyDescent="0.3">
      <c r="A1975" s="88"/>
      <c r="B1975" s="29" t="s">
        <v>228</v>
      </c>
      <c r="C1975" s="30">
        <v>0</v>
      </c>
      <c r="D1975" s="31" t="s">
        <v>229</v>
      </c>
      <c r="E1975" s="66" t="str">
        <f>TEXT(IF('Cable Calculator'!IJ7="","",'Cable Calculator'!IJ7),)</f>
        <v/>
      </c>
      <c r="F1975" s="88"/>
      <c r="G1975" s="304" t="s">
        <v>230</v>
      </c>
      <c r="H1975" s="305"/>
      <c r="I1975" s="33">
        <f>E1976-I1974</f>
        <v>0</v>
      </c>
      <c r="J1975" s="289" t="s">
        <v>231</v>
      </c>
      <c r="K1975" s="290"/>
      <c r="L1975" s="34">
        <f>I1979</f>
        <v>0</v>
      </c>
      <c r="M1975" s="195">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8" t="s">
        <v>232</v>
      </c>
      <c r="AA1975" s="300" t="s">
        <v>233</v>
      </c>
      <c r="AB1975" s="301"/>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6"/>
    </row>
    <row r="1976" spans="1:53" ht="16.5" thickTop="1" thickBot="1" x14ac:dyDescent="0.3">
      <c r="A1976" s="88"/>
      <c r="B1976" s="36" t="s">
        <v>235</v>
      </c>
      <c r="C1976" s="37">
        <v>0</v>
      </c>
      <c r="D1976" s="38" t="s">
        <v>236</v>
      </c>
      <c r="E1976" s="32"/>
      <c r="F1976" s="88"/>
      <c r="G1976" s="291" t="s">
        <v>237</v>
      </c>
      <c r="H1976" s="292"/>
      <c r="I1976" s="35">
        <f>IF(E1976=0,0,12-(MOD(I1974,12)))</f>
        <v>0</v>
      </c>
      <c r="J1976" s="289" t="s">
        <v>238</v>
      </c>
      <c r="K1976" s="290"/>
      <c r="L1976" s="39">
        <f>I1980-I1974</f>
        <v>0</v>
      </c>
      <c r="M1976" s="195">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9"/>
      <c r="AA1976" s="302"/>
      <c r="AB1976" s="303"/>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6"/>
    </row>
    <row r="1977" spans="1:53" ht="16.5" customHeight="1" thickTop="1" thickBot="1" x14ac:dyDescent="0.3">
      <c r="A1977" s="88"/>
      <c r="B1977" s="40" t="s">
        <v>240</v>
      </c>
      <c r="C1977" s="30">
        <v>0</v>
      </c>
      <c r="D1977" s="41" t="s">
        <v>241</v>
      </c>
      <c r="E1977" s="42"/>
      <c r="F1977" s="88"/>
      <c r="G1977" s="321" t="s">
        <v>242</v>
      </c>
      <c r="H1977" s="43" t="s">
        <v>243</v>
      </c>
      <c r="I1977" s="35">
        <f>IF(E1977&lt;&gt;0,1,0)</f>
        <v>0</v>
      </c>
      <c r="J1977" s="291" t="s">
        <v>244</v>
      </c>
      <c r="K1977" s="292"/>
      <c r="L1977" s="44" t="str">
        <f>'Cable Calculator'!IJ3</f>
        <v/>
      </c>
      <c r="M1977" s="195">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6"/>
    </row>
    <row r="1978" spans="1:53" ht="16.5" thickTop="1" thickBot="1" x14ac:dyDescent="0.3">
      <c r="A1978" s="88"/>
      <c r="B1978" s="29" t="s">
        <v>246</v>
      </c>
      <c r="C1978" s="37">
        <v>0</v>
      </c>
      <c r="D1978" s="41" t="s">
        <v>247</v>
      </c>
      <c r="E1978" s="42"/>
      <c r="F1978" s="88"/>
      <c r="G1978" s="322"/>
      <c r="H1978" s="47" t="s">
        <v>248</v>
      </c>
      <c r="I1978" s="35">
        <f>IF(E1977&lt;&gt;0,E1977,0)</f>
        <v>0</v>
      </c>
      <c r="J1978" s="193"/>
      <c r="K1978" s="194"/>
      <c r="L1978" s="48"/>
      <c r="M1978" s="195">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6"/>
    </row>
    <row r="1979" spans="1:53" ht="16.5" customHeight="1" thickTop="1" thickBot="1" x14ac:dyDescent="0.3">
      <c r="A1979" s="88"/>
      <c r="B1979" s="36" t="s">
        <v>249</v>
      </c>
      <c r="C1979" s="30">
        <v>0</v>
      </c>
      <c r="D1979" s="49" t="s">
        <v>250</v>
      </c>
      <c r="E1979" s="50">
        <f>E1976/12</f>
        <v>0</v>
      </c>
      <c r="F1979" s="88"/>
      <c r="G1979" s="321" t="s">
        <v>251</v>
      </c>
      <c r="H1979" s="51" t="s">
        <v>252</v>
      </c>
      <c r="I1979" s="112">
        <f>E1978</f>
        <v>0</v>
      </c>
      <c r="J1979" s="323" t="s">
        <v>253</v>
      </c>
      <c r="K1979" s="324"/>
      <c r="L1979" s="325"/>
      <c r="M1979" s="52" t="s">
        <v>254</v>
      </c>
      <c r="N1979" s="106"/>
      <c r="O1979" s="106"/>
      <c r="P1979" s="191"/>
      <c r="Q1979" s="191"/>
      <c r="R1979" s="191"/>
      <c r="S1979" s="191"/>
      <c r="T1979" s="191"/>
      <c r="U1979" s="191"/>
      <c r="V1979" s="191"/>
      <c r="W1979" s="53">
        <f>SUM(P1979:U1979)</f>
        <v>0</v>
      </c>
      <c r="X1979" s="54"/>
      <c r="Y1979" s="25"/>
      <c r="Z1979" s="45">
        <v>3</v>
      </c>
      <c r="AA1979" s="46">
        <v>25</v>
      </c>
      <c r="AB1979" s="46">
        <v>36</v>
      </c>
      <c r="AC1979" s="25"/>
      <c r="AD1979" s="25"/>
      <c r="BA1979" s="226"/>
    </row>
    <row r="1980" spans="1:53" ht="16.5" thickTop="1" thickBot="1" x14ac:dyDescent="0.3">
      <c r="A1980" s="88"/>
      <c r="B1980" s="36" t="s">
        <v>255</v>
      </c>
      <c r="C1980" s="30">
        <v>0</v>
      </c>
      <c r="D1980" s="31" t="s">
        <v>256</v>
      </c>
      <c r="E1980" s="101" t="str">
        <f>IF('Cable Calculator'!IJ5="","",'Cable Calculator'!IJ5)</f>
        <v/>
      </c>
      <c r="F1980" s="88"/>
      <c r="G1980" s="322"/>
      <c r="H1980" s="47" t="s">
        <v>257</v>
      </c>
      <c r="I1980" s="35" t="str">
        <f>IF(E1978="","0",IF(AND(E1975="EUC",E1976=432), I1979+(203-E1977),IF(E1978=0,0,(E1978+(E1976-E1977)-1))))</f>
        <v>0</v>
      </c>
      <c r="J1980" s="286" t="str">
        <f>IFERROR(IF(OR(E1975="EUC",E1975="SS"),"---",IF(OR(P1974,S1974),"NO 2F Tethers for RPX!",IF(OR(P1976,S1976),"NO 6F Tethers for RPX!","---"))),"---")</f>
        <v>---</v>
      </c>
      <c r="K1980" s="287"/>
      <c r="L1980" s="288"/>
      <c r="M1980" s="286" t="str">
        <f>IF(E1977&gt;60,"Dead Count &gt;60: Consider Downsize","---")</f>
        <v>---</v>
      </c>
      <c r="N1980" s="287"/>
      <c r="O1980" s="287"/>
      <c r="P1980" s="287"/>
      <c r="Q1980" s="287"/>
      <c r="R1980" s="287"/>
      <c r="S1980" s="287"/>
      <c r="T1980" s="287"/>
      <c r="U1980" s="288"/>
      <c r="V1980" s="100"/>
      <c r="W1980" s="54">
        <f>SUM(P1980:U1980)</f>
        <v>0</v>
      </c>
      <c r="X1980" s="54"/>
      <c r="Y1980" s="25"/>
      <c r="Z1980" s="45">
        <v>4</v>
      </c>
      <c r="AA1980" s="46">
        <v>37</v>
      </c>
      <c r="AB1980" s="46">
        <v>48</v>
      </c>
      <c r="AC1980" s="25"/>
      <c r="AD1980" s="25"/>
      <c r="BA1980" s="226"/>
    </row>
    <row r="1981" spans="1:53" ht="16.5" thickTop="1" thickBot="1" x14ac:dyDescent="0.3">
      <c r="A1981" s="88"/>
      <c r="B1981" s="55" t="s">
        <v>258</v>
      </c>
      <c r="C1981" s="56">
        <f>SUM(C1975:C1980)+I1974</f>
        <v>0</v>
      </c>
      <c r="D1981" s="31" t="s">
        <v>259</v>
      </c>
      <c r="E1981" s="101" t="str">
        <f>IF(AS1975="Y","DBL",IF(AS1976="Y","TRPL",IF(AS1977="Y","QUAD","")))</f>
        <v/>
      </c>
      <c r="F1981" s="88"/>
      <c r="G1981" s="191"/>
      <c r="H1981" s="57"/>
      <c r="I1981" s="191"/>
      <c r="J1981" s="286"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7"/>
      <c r="L1981" s="288"/>
      <c r="M1981" s="286" t="str">
        <f>IF(AND(OR(E1975="SS",E1975="RPX",E1975="EUC",E1975="RPX-T"),(OR(C1985="",C1985="Field SPL"))),"Cannot have FlexNap cables without tethers","---")</f>
        <v>---</v>
      </c>
      <c r="N1981" s="287"/>
      <c r="O1981" s="287"/>
      <c r="P1981" s="287"/>
      <c r="Q1981" s="287"/>
      <c r="R1981" s="287"/>
      <c r="S1981" s="287"/>
      <c r="T1981" s="287"/>
      <c r="U1981" s="288"/>
      <c r="V1981" s="25"/>
      <c r="W1981" s="58"/>
      <c r="X1981" s="58"/>
      <c r="Y1981" s="25"/>
      <c r="Z1981" s="45">
        <v>5</v>
      </c>
      <c r="AA1981" s="46">
        <v>49</v>
      </c>
      <c r="AB1981" s="46">
        <v>60</v>
      </c>
      <c r="AC1981" s="25"/>
      <c r="AD1981" s="25"/>
      <c r="BA1981" s="226"/>
    </row>
    <row r="1982" spans="1:53" ht="16.5" thickTop="1" thickBot="1" x14ac:dyDescent="0.3">
      <c r="A1982" s="88"/>
      <c r="B1982" s="59"/>
      <c r="C1982" s="60"/>
      <c r="D1982" s="61"/>
      <c r="E1982" s="62"/>
      <c r="F1982" s="88"/>
      <c r="G1982" s="63"/>
      <c r="H1982" s="64"/>
      <c r="I1982" s="63"/>
      <c r="J1982" s="286" t="str">
        <f>IF(AND(OR(E1975="RPX", E1975="RPX-T", E1975="SS"),E1976=216),"NO 216 For RPX, RPX-T, OR SS CABLE","---")</f>
        <v>---</v>
      </c>
      <c r="K1982" s="287"/>
      <c r="L1982" s="288"/>
      <c r="M1982" s="286" t="str" cm="1">
        <f t="array" ref="M1982">IF(AND(E1975="",OR(C1985:C2009="FST",C1985:C2009="REV T",C1985:C2009="DBL REV",C1985:C2009="TPL REV", C1985:C2009="QD REV")),"Non-FlexNap cables cannot have tethers","---")</f>
        <v>---</v>
      </c>
      <c r="N1982" s="287"/>
      <c r="O1982" s="287"/>
      <c r="P1982" s="287"/>
      <c r="Q1982" s="287"/>
      <c r="R1982" s="287"/>
      <c r="S1982" s="287"/>
      <c r="T1982" s="287"/>
      <c r="U1982" s="288"/>
      <c r="V1982" s="25"/>
      <c r="W1982" s="58"/>
      <c r="X1982" s="58"/>
      <c r="Y1982" s="25"/>
      <c r="Z1982" s="45">
        <v>6</v>
      </c>
      <c r="AA1982" s="65">
        <v>61</v>
      </c>
      <c r="AB1982" s="65">
        <v>72</v>
      </c>
      <c r="AC1982" s="25"/>
      <c r="AD1982" s="25"/>
      <c r="BA1982" s="225"/>
    </row>
    <row r="1983" spans="1:53" ht="15.75" customHeight="1" thickBot="1" x14ac:dyDescent="0.3">
      <c r="A1983" s="88"/>
      <c r="B1983" s="321" t="s">
        <v>260</v>
      </c>
      <c r="C1983" s="293" t="s">
        <v>261</v>
      </c>
      <c r="D1983" s="293" t="s">
        <v>262</v>
      </c>
      <c r="E1983" s="306" t="s">
        <v>263</v>
      </c>
      <c r="F1983" s="293" t="s">
        <v>264</v>
      </c>
      <c r="G1983" s="308" t="s">
        <v>265</v>
      </c>
      <c r="H1983" s="308" t="s">
        <v>266</v>
      </c>
      <c r="I1983" s="308" t="s">
        <v>267</v>
      </c>
      <c r="J1983" s="310" t="s">
        <v>268</v>
      </c>
      <c r="K1983" s="293" t="s">
        <v>269</v>
      </c>
      <c r="L1983" s="280" t="s">
        <v>270</v>
      </c>
      <c r="M1983" s="282" t="s">
        <v>271</v>
      </c>
      <c r="N1983" s="282"/>
      <c r="O1983" s="282"/>
      <c r="P1983" s="282"/>
      <c r="Q1983" s="282"/>
      <c r="R1983" s="282"/>
      <c r="S1983" s="282"/>
      <c r="T1983" s="282"/>
      <c r="U1983" s="283"/>
      <c r="V1983" s="107"/>
      <c r="W1983" s="72"/>
      <c r="X1983" s="72"/>
      <c r="Y1983" s="72"/>
      <c r="Z1983" s="45">
        <v>7</v>
      </c>
      <c r="AA1983" s="65">
        <v>73</v>
      </c>
      <c r="AB1983" s="65">
        <v>84</v>
      </c>
      <c r="AC1983" s="25"/>
      <c r="AD1983" s="25"/>
      <c r="BA1983" s="227"/>
    </row>
    <row r="1984" spans="1:53" ht="15.75" thickBot="1" x14ac:dyDescent="0.3">
      <c r="A1984" s="88"/>
      <c r="B1984" s="322"/>
      <c r="C1984" s="294"/>
      <c r="D1984" s="294"/>
      <c r="E1984" s="307"/>
      <c r="F1984" s="294"/>
      <c r="G1984" s="309"/>
      <c r="H1984" s="309"/>
      <c r="I1984" s="309"/>
      <c r="J1984" s="311"/>
      <c r="K1984" s="294"/>
      <c r="L1984" s="281"/>
      <c r="M1984" s="284"/>
      <c r="N1984" s="284"/>
      <c r="O1984" s="284"/>
      <c r="P1984" s="284"/>
      <c r="Q1984" s="284"/>
      <c r="R1984" s="284"/>
      <c r="S1984" s="284"/>
      <c r="T1984" s="284"/>
      <c r="U1984" s="285"/>
      <c r="V1984" s="107"/>
      <c r="W1984" s="72"/>
      <c r="X1984" s="72"/>
      <c r="Y1984" s="72"/>
      <c r="Z1984" s="45">
        <v>8</v>
      </c>
      <c r="AA1984" s="46">
        <v>85</v>
      </c>
      <c r="AB1984" s="46">
        <v>96</v>
      </c>
      <c r="AC1984" s="25"/>
      <c r="AD1984" s="25"/>
      <c r="AI1984" s="109" t="s">
        <v>272</v>
      </c>
      <c r="AJ1984" s="109" t="s">
        <v>273</v>
      </c>
      <c r="AK1984" s="109" t="s">
        <v>274</v>
      </c>
      <c r="AL1984" s="109" t="s">
        <v>275</v>
      </c>
      <c r="BA1984" s="227"/>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2"/>
      <c r="M1985" s="278"/>
      <c r="N1985" s="278"/>
      <c r="O1985" s="278"/>
      <c r="P1985" s="278"/>
      <c r="Q1985" s="278"/>
      <c r="R1985" s="278"/>
      <c r="S1985" s="278"/>
      <c r="T1985" s="278"/>
      <c r="U1985" s="279"/>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8">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2"/>
      <c r="M1986" s="278"/>
      <c r="N1986" s="278"/>
      <c r="O1986" s="278"/>
      <c r="P1986" s="278"/>
      <c r="Q1986" s="278"/>
      <c r="R1986" s="278"/>
      <c r="S1986" s="278"/>
      <c r="T1986" s="278"/>
      <c r="U1986" s="279"/>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8">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2"/>
      <c r="M1987" s="278"/>
      <c r="N1987" s="278"/>
      <c r="O1987" s="278"/>
      <c r="P1987" s="278"/>
      <c r="Q1987" s="278"/>
      <c r="R1987" s="278"/>
      <c r="S1987" s="278"/>
      <c r="T1987" s="278"/>
      <c r="U1987" s="279"/>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8">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2"/>
      <c r="M1988" s="278"/>
      <c r="N1988" s="278"/>
      <c r="O1988" s="278"/>
      <c r="P1988" s="278"/>
      <c r="Q1988" s="278"/>
      <c r="R1988" s="278"/>
      <c r="S1988" s="278"/>
      <c r="T1988" s="278"/>
      <c r="U1988" s="279"/>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8">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2"/>
      <c r="M1989" s="278"/>
      <c r="N1989" s="278"/>
      <c r="O1989" s="278"/>
      <c r="P1989" s="278"/>
      <c r="Q1989" s="278"/>
      <c r="R1989" s="278"/>
      <c r="S1989" s="278"/>
      <c r="T1989" s="278"/>
      <c r="U1989" s="279"/>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8">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2"/>
      <c r="M1990" s="278"/>
      <c r="N1990" s="278"/>
      <c r="O1990" s="278"/>
      <c r="P1990" s="278"/>
      <c r="Q1990" s="278"/>
      <c r="R1990" s="278"/>
      <c r="S1990" s="278"/>
      <c r="T1990" s="278"/>
      <c r="U1990" s="279"/>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8">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2"/>
      <c r="M1991" s="278"/>
      <c r="N1991" s="278"/>
      <c r="O1991" s="278"/>
      <c r="P1991" s="278"/>
      <c r="Q1991" s="278"/>
      <c r="R1991" s="278"/>
      <c r="S1991" s="278"/>
      <c r="T1991" s="278"/>
      <c r="U1991" s="279"/>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8">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2"/>
      <c r="M1992" s="278"/>
      <c r="N1992" s="278"/>
      <c r="O1992" s="278"/>
      <c r="P1992" s="278"/>
      <c r="Q1992" s="278"/>
      <c r="R1992" s="278"/>
      <c r="S1992" s="278"/>
      <c r="T1992" s="278"/>
      <c r="U1992" s="279"/>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8">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2"/>
      <c r="M1993" s="278"/>
      <c r="N1993" s="278"/>
      <c r="O1993" s="278"/>
      <c r="P1993" s="278"/>
      <c r="Q1993" s="278"/>
      <c r="R1993" s="278"/>
      <c r="S1993" s="278"/>
      <c r="T1993" s="278"/>
      <c r="U1993" s="279"/>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8">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2"/>
      <c r="M1994" s="278"/>
      <c r="N1994" s="278"/>
      <c r="O1994" s="278"/>
      <c r="P1994" s="278"/>
      <c r="Q1994" s="278"/>
      <c r="R1994" s="278"/>
      <c r="S1994" s="278"/>
      <c r="T1994" s="278"/>
      <c r="U1994" s="279"/>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8">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2"/>
      <c r="M1995" s="278"/>
      <c r="N1995" s="278"/>
      <c r="O1995" s="278"/>
      <c r="P1995" s="278"/>
      <c r="Q1995" s="278"/>
      <c r="R1995" s="278"/>
      <c r="S1995" s="278"/>
      <c r="T1995" s="278"/>
      <c r="U1995" s="279"/>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8">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2"/>
      <c r="M1996" s="278"/>
      <c r="N1996" s="278"/>
      <c r="O1996" s="278"/>
      <c r="P1996" s="278"/>
      <c r="Q1996" s="278"/>
      <c r="R1996" s="278"/>
      <c r="S1996" s="278"/>
      <c r="T1996" s="278"/>
      <c r="U1996" s="279"/>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8">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2"/>
      <c r="M1997" s="278"/>
      <c r="N1997" s="278"/>
      <c r="O1997" s="278"/>
      <c r="P1997" s="278"/>
      <c r="Q1997" s="278"/>
      <c r="R1997" s="278"/>
      <c r="S1997" s="278"/>
      <c r="T1997" s="278"/>
      <c r="U1997" s="279"/>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8">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2"/>
      <c r="M1998" s="278"/>
      <c r="N1998" s="278"/>
      <c r="O1998" s="278"/>
      <c r="P1998" s="278"/>
      <c r="Q1998" s="278"/>
      <c r="R1998" s="278"/>
      <c r="S1998" s="278"/>
      <c r="T1998" s="278"/>
      <c r="U1998" s="279"/>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8">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2"/>
      <c r="M1999" s="278"/>
      <c r="N1999" s="278"/>
      <c r="O1999" s="278"/>
      <c r="P1999" s="278"/>
      <c r="Q1999" s="278"/>
      <c r="R1999" s="278"/>
      <c r="S1999" s="278"/>
      <c r="T1999" s="278"/>
      <c r="U1999" s="279"/>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8">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2"/>
      <c r="M2000" s="278"/>
      <c r="N2000" s="278"/>
      <c r="O2000" s="278"/>
      <c r="P2000" s="278"/>
      <c r="Q2000" s="278"/>
      <c r="R2000" s="278"/>
      <c r="S2000" s="278"/>
      <c r="T2000" s="278"/>
      <c r="U2000" s="279"/>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8">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2"/>
      <c r="M2001" s="278"/>
      <c r="N2001" s="278"/>
      <c r="O2001" s="278"/>
      <c r="P2001" s="278"/>
      <c r="Q2001" s="278"/>
      <c r="R2001" s="278"/>
      <c r="S2001" s="278"/>
      <c r="T2001" s="278"/>
      <c r="U2001" s="279"/>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8">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2"/>
      <c r="M2002" s="278"/>
      <c r="N2002" s="278"/>
      <c r="O2002" s="278"/>
      <c r="P2002" s="278"/>
      <c r="Q2002" s="278"/>
      <c r="R2002" s="278"/>
      <c r="S2002" s="278"/>
      <c r="T2002" s="278"/>
      <c r="U2002" s="279"/>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8">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2"/>
      <c r="M2003" s="278"/>
      <c r="N2003" s="278"/>
      <c r="O2003" s="278"/>
      <c r="P2003" s="278"/>
      <c r="Q2003" s="278"/>
      <c r="R2003" s="278"/>
      <c r="S2003" s="278"/>
      <c r="T2003" s="278"/>
      <c r="U2003" s="279"/>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8">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2"/>
      <c r="M2004" s="278"/>
      <c r="N2004" s="278"/>
      <c r="O2004" s="278"/>
      <c r="P2004" s="278"/>
      <c r="Q2004" s="278"/>
      <c r="R2004" s="278"/>
      <c r="S2004" s="278"/>
      <c r="T2004" s="278"/>
      <c r="U2004" s="279"/>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8">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2"/>
      <c r="M2005" s="278"/>
      <c r="N2005" s="278"/>
      <c r="O2005" s="278"/>
      <c r="P2005" s="278"/>
      <c r="Q2005" s="278"/>
      <c r="R2005" s="278"/>
      <c r="S2005" s="278"/>
      <c r="T2005" s="278"/>
      <c r="U2005" s="279"/>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8">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2"/>
      <c r="M2006" s="278"/>
      <c r="N2006" s="278"/>
      <c r="O2006" s="278"/>
      <c r="P2006" s="278"/>
      <c r="Q2006" s="278"/>
      <c r="R2006" s="278"/>
      <c r="S2006" s="278"/>
      <c r="T2006" s="278"/>
      <c r="U2006" s="279"/>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8">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2"/>
      <c r="M2007" s="278"/>
      <c r="N2007" s="278"/>
      <c r="O2007" s="278"/>
      <c r="P2007" s="278"/>
      <c r="Q2007" s="278"/>
      <c r="R2007" s="278"/>
      <c r="S2007" s="278"/>
      <c r="T2007" s="278"/>
      <c r="U2007" s="279"/>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8">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2"/>
      <c r="M2008" s="278"/>
      <c r="N2008" s="278"/>
      <c r="O2008" s="278"/>
      <c r="P2008" s="278"/>
      <c r="Q2008" s="278"/>
      <c r="R2008" s="278"/>
      <c r="S2008" s="278"/>
      <c r="T2008" s="278"/>
      <c r="U2008" s="279"/>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8">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3"/>
      <c r="M2009" s="278"/>
      <c r="N2009" s="278"/>
      <c r="O2009" s="278"/>
      <c r="P2009" s="278"/>
      <c r="Q2009" s="278"/>
      <c r="R2009" s="278"/>
      <c r="S2009" s="278"/>
      <c r="T2009" s="278"/>
      <c r="U2009" s="279"/>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7"/>
    </row>
    <row r="2010" spans="1:53" ht="16.5" thickBot="1" x14ac:dyDescent="0.3">
      <c r="A2010" s="88"/>
      <c r="B2010" s="319" t="s">
        <v>401</v>
      </c>
      <c r="C2010" s="320"/>
      <c r="D2010" s="79"/>
      <c r="E2010" s="80"/>
      <c r="F2010" s="80"/>
      <c r="G2010" s="81"/>
      <c r="H2010" s="191"/>
      <c r="I2010" s="191"/>
      <c r="J2010" s="191"/>
      <c r="K2010" s="82"/>
      <c r="L2010" s="319" t="s">
        <v>306</v>
      </c>
      <c r="M2010" s="330"/>
      <c r="N2010" s="330"/>
      <c r="O2010" s="330"/>
      <c r="P2010" s="330"/>
      <c r="Q2010" s="330"/>
      <c r="R2010" s="330"/>
      <c r="S2010" s="330"/>
      <c r="T2010" s="330"/>
      <c r="U2010" s="320"/>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7"/>
    </row>
    <row r="2011" spans="1:53" ht="16.5" thickBot="1" x14ac:dyDescent="0.3">
      <c r="A2011" s="88"/>
      <c r="B2011" s="319" t="s">
        <v>307</v>
      </c>
      <c r="C2011" s="320"/>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5"/>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5" t="s">
        <v>210</v>
      </c>
      <c r="N2014" s="195" t="s">
        <v>211</v>
      </c>
      <c r="O2014" s="195" t="s">
        <v>212</v>
      </c>
      <c r="P2014" s="195" t="s">
        <v>213</v>
      </c>
      <c r="Q2014" s="195" t="s">
        <v>214</v>
      </c>
      <c r="R2014" s="195" t="s">
        <v>215</v>
      </c>
      <c r="S2014" s="195" t="s">
        <v>216</v>
      </c>
      <c r="T2014" s="195" t="s">
        <v>217</v>
      </c>
      <c r="U2014" s="195" t="s">
        <v>218</v>
      </c>
      <c r="V2014" s="195" t="s">
        <v>219</v>
      </c>
      <c r="W2014" s="113" t="s">
        <v>220</v>
      </c>
      <c r="X2014" s="195" t="s">
        <v>221</v>
      </c>
      <c r="Y2014" s="25"/>
      <c r="Z2014" s="25"/>
      <c r="AA2014" s="25"/>
      <c r="AB2014" s="25"/>
      <c r="AC2014" s="25"/>
      <c r="AD2014" s="25"/>
      <c r="BA2014" s="225"/>
    </row>
    <row r="2015" spans="1:53" ht="16.5" thickTop="1" thickBot="1" x14ac:dyDescent="0.3">
      <c r="A2015" s="88"/>
      <c r="B2015" s="312" t="s">
        <v>222</v>
      </c>
      <c r="C2015" s="313"/>
      <c r="D2015" s="314" t="s">
        <v>223</v>
      </c>
      <c r="E2015" s="305"/>
      <c r="F2015" s="88"/>
      <c r="G2015" s="315" t="s">
        <v>224</v>
      </c>
      <c r="H2015" s="316"/>
      <c r="I2015" s="28">
        <f>SUM(E2026:E2050)</f>
        <v>0</v>
      </c>
      <c r="J2015" s="317" t="s">
        <v>225</v>
      </c>
      <c r="K2015" s="318"/>
      <c r="L2015" s="305"/>
      <c r="M2015" s="195">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5" t="s">
        <v>226</v>
      </c>
      <c r="AA2015" s="296"/>
      <c r="AB2015" s="297"/>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5"/>
    </row>
    <row r="2016" spans="1:53" ht="16.5" customHeight="1" thickTop="1" thickBot="1" x14ac:dyDescent="0.3">
      <c r="A2016" s="88"/>
      <c r="B2016" s="29" t="s">
        <v>228</v>
      </c>
      <c r="C2016" s="30">
        <v>0</v>
      </c>
      <c r="D2016" s="31" t="s">
        <v>229</v>
      </c>
      <c r="E2016" s="66" t="str">
        <f>TEXT(IF('Cable Calculator'!IO7="","",'Cable Calculator'!IO7),)</f>
        <v/>
      </c>
      <c r="F2016" s="88"/>
      <c r="G2016" s="304" t="s">
        <v>230</v>
      </c>
      <c r="H2016" s="305"/>
      <c r="I2016" s="33">
        <f>E2017-I2015</f>
        <v>0</v>
      </c>
      <c r="J2016" s="289" t="s">
        <v>231</v>
      </c>
      <c r="K2016" s="290"/>
      <c r="L2016" s="34">
        <f>I2020</f>
        <v>0</v>
      </c>
      <c r="M2016" s="195">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8" t="s">
        <v>232</v>
      </c>
      <c r="AA2016" s="300" t="s">
        <v>233</v>
      </c>
      <c r="AB2016" s="301"/>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6"/>
    </row>
    <row r="2017" spans="1:53" ht="16.5" thickTop="1" thickBot="1" x14ac:dyDescent="0.3">
      <c r="A2017" s="88"/>
      <c r="B2017" s="36" t="s">
        <v>235</v>
      </c>
      <c r="C2017" s="37">
        <v>0</v>
      </c>
      <c r="D2017" s="38" t="s">
        <v>236</v>
      </c>
      <c r="E2017" s="32"/>
      <c r="F2017" s="88"/>
      <c r="G2017" s="291" t="s">
        <v>237</v>
      </c>
      <c r="H2017" s="292"/>
      <c r="I2017" s="35">
        <f>IF(E2017=0,0,12-(MOD(I2015,12)))</f>
        <v>0</v>
      </c>
      <c r="J2017" s="289" t="s">
        <v>238</v>
      </c>
      <c r="K2017" s="290"/>
      <c r="L2017" s="39">
        <f>I2021-I2015</f>
        <v>0</v>
      </c>
      <c r="M2017" s="195">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9"/>
      <c r="AA2017" s="302"/>
      <c r="AB2017" s="303"/>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6"/>
    </row>
    <row r="2018" spans="1:53" ht="16.5" customHeight="1" thickTop="1" thickBot="1" x14ac:dyDescent="0.3">
      <c r="A2018" s="88"/>
      <c r="B2018" s="40" t="s">
        <v>240</v>
      </c>
      <c r="C2018" s="30">
        <v>0</v>
      </c>
      <c r="D2018" s="41" t="s">
        <v>241</v>
      </c>
      <c r="E2018" s="42"/>
      <c r="F2018" s="88"/>
      <c r="G2018" s="321" t="s">
        <v>242</v>
      </c>
      <c r="H2018" s="43" t="s">
        <v>243</v>
      </c>
      <c r="I2018" s="35">
        <f>IF(E2018&lt;&gt;0,1,0)</f>
        <v>0</v>
      </c>
      <c r="J2018" s="291" t="s">
        <v>244</v>
      </c>
      <c r="K2018" s="292"/>
      <c r="L2018" s="44" t="str">
        <f>'Cable Calculator'!IO3</f>
        <v/>
      </c>
      <c r="M2018" s="195">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6"/>
    </row>
    <row r="2019" spans="1:53" ht="16.5" thickTop="1" thickBot="1" x14ac:dyDescent="0.3">
      <c r="A2019" s="88"/>
      <c r="B2019" s="29" t="s">
        <v>246</v>
      </c>
      <c r="C2019" s="37">
        <v>0</v>
      </c>
      <c r="D2019" s="41" t="s">
        <v>247</v>
      </c>
      <c r="E2019" s="42"/>
      <c r="F2019" s="88"/>
      <c r="G2019" s="322"/>
      <c r="H2019" s="47" t="s">
        <v>248</v>
      </c>
      <c r="I2019" s="35">
        <f>IF(E2018&lt;&gt;0,E2018,0)</f>
        <v>0</v>
      </c>
      <c r="J2019" s="193"/>
      <c r="K2019" s="194"/>
      <c r="L2019" s="48"/>
      <c r="M2019" s="195">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6"/>
    </row>
    <row r="2020" spans="1:53" ht="16.5" customHeight="1" thickTop="1" thickBot="1" x14ac:dyDescent="0.3">
      <c r="A2020" s="88"/>
      <c r="B2020" s="36" t="s">
        <v>249</v>
      </c>
      <c r="C2020" s="30">
        <v>0</v>
      </c>
      <c r="D2020" s="49" t="s">
        <v>250</v>
      </c>
      <c r="E2020" s="50">
        <f>E2017/12</f>
        <v>0</v>
      </c>
      <c r="F2020" s="88"/>
      <c r="G2020" s="321" t="s">
        <v>251</v>
      </c>
      <c r="H2020" s="51" t="s">
        <v>252</v>
      </c>
      <c r="I2020" s="112">
        <f>E2019</f>
        <v>0</v>
      </c>
      <c r="J2020" s="323" t="s">
        <v>253</v>
      </c>
      <c r="K2020" s="324"/>
      <c r="L2020" s="325"/>
      <c r="M2020" s="52" t="s">
        <v>254</v>
      </c>
      <c r="N2020" s="106"/>
      <c r="O2020" s="106"/>
      <c r="P2020" s="191"/>
      <c r="Q2020" s="191"/>
      <c r="R2020" s="191"/>
      <c r="S2020" s="191"/>
      <c r="T2020" s="191"/>
      <c r="U2020" s="191"/>
      <c r="V2020" s="191"/>
      <c r="W2020" s="53">
        <f>SUM(P2020:U2020)</f>
        <v>0</v>
      </c>
      <c r="X2020" s="54"/>
      <c r="Y2020" s="25"/>
      <c r="Z2020" s="45">
        <v>3</v>
      </c>
      <c r="AA2020" s="46">
        <v>25</v>
      </c>
      <c r="AB2020" s="46">
        <v>36</v>
      </c>
      <c r="AC2020" s="25"/>
      <c r="AD2020" s="25"/>
      <c r="BA2020" s="226"/>
    </row>
    <row r="2021" spans="1:53" ht="16.5" thickTop="1" thickBot="1" x14ac:dyDescent="0.3">
      <c r="A2021" s="88"/>
      <c r="B2021" s="36" t="s">
        <v>255</v>
      </c>
      <c r="C2021" s="30">
        <v>0</v>
      </c>
      <c r="D2021" s="31" t="s">
        <v>256</v>
      </c>
      <c r="E2021" s="101" t="str">
        <f>IF('Cable Calculator'!IO5="","",'Cable Calculator'!IO5)</f>
        <v/>
      </c>
      <c r="F2021" s="88"/>
      <c r="G2021" s="322"/>
      <c r="H2021" s="47" t="s">
        <v>257</v>
      </c>
      <c r="I2021" s="35" t="str">
        <f>IF(E2019="","0",IF(AND(E2016="EUC",E2017=432), I2020+(203-E2018),IF(E2019=0,0,(E2019+(E2017-E2018)-1))))</f>
        <v>0</v>
      </c>
      <c r="J2021" s="286" t="str">
        <f>IFERROR(IF(OR(E2016="EUC",E2016="SS"),"---",IF(OR(P2015,S2015),"NO 2F Tethers for RPX!",IF(OR(P2017,S2017),"NO 6F Tethers for RPX!","---"))),"---")</f>
        <v>---</v>
      </c>
      <c r="K2021" s="287"/>
      <c r="L2021" s="288"/>
      <c r="M2021" s="286" t="str">
        <f>IF(E2018&gt;60,"Dead Count &gt;60: Consider Downsize","---")</f>
        <v>---</v>
      </c>
      <c r="N2021" s="287"/>
      <c r="O2021" s="287"/>
      <c r="P2021" s="287"/>
      <c r="Q2021" s="287"/>
      <c r="R2021" s="287"/>
      <c r="S2021" s="287"/>
      <c r="T2021" s="287"/>
      <c r="U2021" s="288"/>
      <c r="V2021" s="100"/>
      <c r="W2021" s="54">
        <f>SUM(P2021:U2021)</f>
        <v>0</v>
      </c>
      <c r="X2021" s="54"/>
      <c r="Y2021" s="25"/>
      <c r="Z2021" s="45">
        <v>4</v>
      </c>
      <c r="AA2021" s="46">
        <v>37</v>
      </c>
      <c r="AB2021" s="46">
        <v>48</v>
      </c>
      <c r="AC2021" s="25"/>
      <c r="AD2021" s="25"/>
      <c r="BA2021" s="226"/>
    </row>
    <row r="2022" spans="1:53" ht="16.5" thickTop="1" thickBot="1" x14ac:dyDescent="0.3">
      <c r="A2022" s="88"/>
      <c r="B2022" s="55" t="s">
        <v>258</v>
      </c>
      <c r="C2022" s="56">
        <f>SUM(C2016:C2021)+I2015</f>
        <v>0</v>
      </c>
      <c r="D2022" s="31" t="s">
        <v>259</v>
      </c>
      <c r="E2022" s="101" t="str">
        <f>IF(AS2016="Y","DBL",IF(AS2017="Y","TRPL",IF(AS2018="Y","QUAD","")))</f>
        <v/>
      </c>
      <c r="F2022" s="88"/>
      <c r="G2022" s="191"/>
      <c r="H2022" s="57"/>
      <c r="I2022" s="191"/>
      <c r="J2022" s="286"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7"/>
      <c r="L2022" s="288"/>
      <c r="M2022" s="286" t="str">
        <f>IF(AND(OR(E2016="SS",E2016="RPX",E2016="EUC",E2016="RPX-T"),(OR(C2026="",C2026="Field SPL"))),"Cannot have FlexNap cables without tethers","---")</f>
        <v>---</v>
      </c>
      <c r="N2022" s="287"/>
      <c r="O2022" s="287"/>
      <c r="P2022" s="287"/>
      <c r="Q2022" s="287"/>
      <c r="R2022" s="287"/>
      <c r="S2022" s="287"/>
      <c r="T2022" s="287"/>
      <c r="U2022" s="288"/>
      <c r="V2022" s="25"/>
      <c r="W2022" s="58"/>
      <c r="X2022" s="58"/>
      <c r="Y2022" s="25"/>
      <c r="Z2022" s="45">
        <v>5</v>
      </c>
      <c r="AA2022" s="46">
        <v>49</v>
      </c>
      <c r="AB2022" s="46">
        <v>60</v>
      </c>
      <c r="AC2022" s="25"/>
      <c r="AD2022" s="25"/>
      <c r="BA2022" s="226"/>
    </row>
    <row r="2023" spans="1:53" ht="16.5" thickTop="1" thickBot="1" x14ac:dyDescent="0.3">
      <c r="A2023" s="88"/>
      <c r="B2023" s="59"/>
      <c r="C2023" s="60"/>
      <c r="D2023" s="61"/>
      <c r="E2023" s="62"/>
      <c r="F2023" s="88"/>
      <c r="G2023" s="63"/>
      <c r="H2023" s="64"/>
      <c r="I2023" s="63"/>
      <c r="J2023" s="286" t="str">
        <f>IF(AND(OR(E2016="RPX", E2016="RPX-T", E2016="SS"),E2017=216),"NO 216 For RPX, RPX-T, OR SS CABLE","---")</f>
        <v>---</v>
      </c>
      <c r="K2023" s="287"/>
      <c r="L2023" s="288"/>
      <c r="M2023" s="286" t="str" cm="1">
        <f t="array" ref="M2023">IF(AND(E2016="",OR(C2026:C2050="FST",C2026:C2050="REV T",C2026:C2050="DBL REV",C2026:C2050="TPL REV", C2026:C2050="QD REV")),"Non-FlexNap cables cannot have tethers","---")</f>
        <v>---</v>
      </c>
      <c r="N2023" s="287"/>
      <c r="O2023" s="287"/>
      <c r="P2023" s="287"/>
      <c r="Q2023" s="287"/>
      <c r="R2023" s="287"/>
      <c r="S2023" s="287"/>
      <c r="T2023" s="287"/>
      <c r="U2023" s="288"/>
      <c r="V2023" s="25"/>
      <c r="W2023" s="58"/>
      <c r="X2023" s="58"/>
      <c r="Y2023" s="25"/>
      <c r="Z2023" s="45">
        <v>6</v>
      </c>
      <c r="AA2023" s="65">
        <v>61</v>
      </c>
      <c r="AB2023" s="65">
        <v>72</v>
      </c>
      <c r="AC2023" s="25"/>
      <c r="AD2023" s="25"/>
      <c r="BA2023" s="225"/>
    </row>
    <row r="2024" spans="1:53" ht="15.75" customHeight="1" thickBot="1" x14ac:dyDescent="0.3">
      <c r="A2024" s="88"/>
      <c r="B2024" s="321" t="s">
        <v>260</v>
      </c>
      <c r="C2024" s="293" t="s">
        <v>261</v>
      </c>
      <c r="D2024" s="293" t="s">
        <v>262</v>
      </c>
      <c r="E2024" s="306" t="s">
        <v>263</v>
      </c>
      <c r="F2024" s="293" t="s">
        <v>264</v>
      </c>
      <c r="G2024" s="308" t="s">
        <v>265</v>
      </c>
      <c r="H2024" s="308" t="s">
        <v>266</v>
      </c>
      <c r="I2024" s="308" t="s">
        <v>267</v>
      </c>
      <c r="J2024" s="310" t="s">
        <v>268</v>
      </c>
      <c r="K2024" s="293" t="s">
        <v>269</v>
      </c>
      <c r="L2024" s="280" t="s">
        <v>270</v>
      </c>
      <c r="M2024" s="282" t="s">
        <v>271</v>
      </c>
      <c r="N2024" s="282"/>
      <c r="O2024" s="282"/>
      <c r="P2024" s="282"/>
      <c r="Q2024" s="282"/>
      <c r="R2024" s="282"/>
      <c r="S2024" s="282"/>
      <c r="T2024" s="282"/>
      <c r="U2024" s="283"/>
      <c r="V2024" s="107"/>
      <c r="W2024" s="72"/>
      <c r="X2024" s="72"/>
      <c r="Y2024" s="72"/>
      <c r="Z2024" s="45">
        <v>7</v>
      </c>
      <c r="AA2024" s="65">
        <v>73</v>
      </c>
      <c r="AB2024" s="65">
        <v>84</v>
      </c>
      <c r="AC2024" s="25"/>
      <c r="AD2024" s="25"/>
      <c r="BA2024" s="227"/>
    </row>
    <row r="2025" spans="1:53" ht="15.75" thickBot="1" x14ac:dyDescent="0.3">
      <c r="A2025" s="88"/>
      <c r="B2025" s="322"/>
      <c r="C2025" s="294"/>
      <c r="D2025" s="294"/>
      <c r="E2025" s="307"/>
      <c r="F2025" s="294"/>
      <c r="G2025" s="309"/>
      <c r="H2025" s="309"/>
      <c r="I2025" s="309"/>
      <c r="J2025" s="311"/>
      <c r="K2025" s="294"/>
      <c r="L2025" s="281"/>
      <c r="M2025" s="284"/>
      <c r="N2025" s="284"/>
      <c r="O2025" s="284"/>
      <c r="P2025" s="284"/>
      <c r="Q2025" s="284"/>
      <c r="R2025" s="284"/>
      <c r="S2025" s="284"/>
      <c r="T2025" s="284"/>
      <c r="U2025" s="285"/>
      <c r="V2025" s="107"/>
      <c r="W2025" s="72"/>
      <c r="X2025" s="72"/>
      <c r="Y2025" s="72"/>
      <c r="Z2025" s="45">
        <v>8</v>
      </c>
      <c r="AA2025" s="46">
        <v>85</v>
      </c>
      <c r="AB2025" s="46">
        <v>96</v>
      </c>
      <c r="AC2025" s="25"/>
      <c r="AD2025" s="25"/>
      <c r="AI2025" s="109" t="s">
        <v>272</v>
      </c>
      <c r="AJ2025" s="109" t="s">
        <v>273</v>
      </c>
      <c r="AK2025" s="109" t="s">
        <v>274</v>
      </c>
      <c r="AL2025" s="109" t="s">
        <v>275</v>
      </c>
      <c r="BA2025" s="227"/>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2"/>
      <c r="M2026" s="278"/>
      <c r="N2026" s="278"/>
      <c r="O2026" s="278"/>
      <c r="P2026" s="278"/>
      <c r="Q2026" s="278"/>
      <c r="R2026" s="278"/>
      <c r="S2026" s="278"/>
      <c r="T2026" s="278"/>
      <c r="U2026" s="279"/>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8">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2"/>
      <c r="M2027" s="278"/>
      <c r="N2027" s="278"/>
      <c r="O2027" s="278"/>
      <c r="P2027" s="278"/>
      <c r="Q2027" s="278"/>
      <c r="R2027" s="278"/>
      <c r="S2027" s="278"/>
      <c r="T2027" s="278"/>
      <c r="U2027" s="279"/>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8">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2"/>
      <c r="M2028" s="278"/>
      <c r="N2028" s="278"/>
      <c r="O2028" s="278"/>
      <c r="P2028" s="278"/>
      <c r="Q2028" s="278"/>
      <c r="R2028" s="278"/>
      <c r="S2028" s="278"/>
      <c r="T2028" s="278"/>
      <c r="U2028" s="279"/>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8">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2"/>
      <c r="M2029" s="278"/>
      <c r="N2029" s="278"/>
      <c r="O2029" s="278"/>
      <c r="P2029" s="278"/>
      <c r="Q2029" s="278"/>
      <c r="R2029" s="278"/>
      <c r="S2029" s="278"/>
      <c r="T2029" s="278"/>
      <c r="U2029" s="279"/>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8">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2"/>
      <c r="M2030" s="278"/>
      <c r="N2030" s="278"/>
      <c r="O2030" s="278"/>
      <c r="P2030" s="278"/>
      <c r="Q2030" s="278"/>
      <c r="R2030" s="278"/>
      <c r="S2030" s="278"/>
      <c r="T2030" s="278"/>
      <c r="U2030" s="279"/>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8">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2"/>
      <c r="M2031" s="278"/>
      <c r="N2031" s="278"/>
      <c r="O2031" s="278"/>
      <c r="P2031" s="278"/>
      <c r="Q2031" s="278"/>
      <c r="R2031" s="278"/>
      <c r="S2031" s="278"/>
      <c r="T2031" s="278"/>
      <c r="U2031" s="279"/>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8">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2"/>
      <c r="M2032" s="278"/>
      <c r="N2032" s="278"/>
      <c r="O2032" s="278"/>
      <c r="P2032" s="278"/>
      <c r="Q2032" s="278"/>
      <c r="R2032" s="278"/>
      <c r="S2032" s="278"/>
      <c r="T2032" s="278"/>
      <c r="U2032" s="279"/>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8">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2"/>
      <c r="M2033" s="278"/>
      <c r="N2033" s="278"/>
      <c r="O2033" s="278"/>
      <c r="P2033" s="278"/>
      <c r="Q2033" s="278"/>
      <c r="R2033" s="278"/>
      <c r="S2033" s="278"/>
      <c r="T2033" s="278"/>
      <c r="U2033" s="279"/>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8">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2"/>
      <c r="M2034" s="278"/>
      <c r="N2034" s="278"/>
      <c r="O2034" s="278"/>
      <c r="P2034" s="278"/>
      <c r="Q2034" s="278"/>
      <c r="R2034" s="278"/>
      <c r="S2034" s="278"/>
      <c r="T2034" s="278"/>
      <c r="U2034" s="279"/>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8">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2"/>
      <c r="M2035" s="278"/>
      <c r="N2035" s="278"/>
      <c r="O2035" s="278"/>
      <c r="P2035" s="278"/>
      <c r="Q2035" s="278"/>
      <c r="R2035" s="278"/>
      <c r="S2035" s="278"/>
      <c r="T2035" s="278"/>
      <c r="U2035" s="279"/>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8">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2"/>
      <c r="M2036" s="278"/>
      <c r="N2036" s="278"/>
      <c r="O2036" s="278"/>
      <c r="P2036" s="278"/>
      <c r="Q2036" s="278"/>
      <c r="R2036" s="278"/>
      <c r="S2036" s="278"/>
      <c r="T2036" s="278"/>
      <c r="U2036" s="279"/>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8">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2"/>
      <c r="M2037" s="278"/>
      <c r="N2037" s="278"/>
      <c r="O2037" s="278"/>
      <c r="P2037" s="278"/>
      <c r="Q2037" s="278"/>
      <c r="R2037" s="278"/>
      <c r="S2037" s="278"/>
      <c r="T2037" s="278"/>
      <c r="U2037" s="279"/>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8">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2"/>
      <c r="M2038" s="278"/>
      <c r="N2038" s="278"/>
      <c r="O2038" s="278"/>
      <c r="P2038" s="278"/>
      <c r="Q2038" s="278"/>
      <c r="R2038" s="278"/>
      <c r="S2038" s="278"/>
      <c r="T2038" s="278"/>
      <c r="U2038" s="279"/>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8">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2"/>
      <c r="M2039" s="278"/>
      <c r="N2039" s="278"/>
      <c r="O2039" s="278"/>
      <c r="P2039" s="278"/>
      <c r="Q2039" s="278"/>
      <c r="R2039" s="278"/>
      <c r="S2039" s="278"/>
      <c r="T2039" s="278"/>
      <c r="U2039" s="279"/>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8">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2"/>
      <c r="M2040" s="278"/>
      <c r="N2040" s="278"/>
      <c r="O2040" s="278"/>
      <c r="P2040" s="278"/>
      <c r="Q2040" s="278"/>
      <c r="R2040" s="278"/>
      <c r="S2040" s="278"/>
      <c r="T2040" s="278"/>
      <c r="U2040" s="279"/>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8">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2"/>
      <c r="M2041" s="278"/>
      <c r="N2041" s="278"/>
      <c r="O2041" s="278"/>
      <c r="P2041" s="278"/>
      <c r="Q2041" s="278"/>
      <c r="R2041" s="278"/>
      <c r="S2041" s="278"/>
      <c r="T2041" s="278"/>
      <c r="U2041" s="279"/>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8">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2"/>
      <c r="M2042" s="278"/>
      <c r="N2042" s="278"/>
      <c r="O2042" s="278"/>
      <c r="P2042" s="278"/>
      <c r="Q2042" s="278"/>
      <c r="R2042" s="278"/>
      <c r="S2042" s="278"/>
      <c r="T2042" s="278"/>
      <c r="U2042" s="279"/>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8">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2"/>
      <c r="M2043" s="278"/>
      <c r="N2043" s="278"/>
      <c r="O2043" s="278"/>
      <c r="P2043" s="278"/>
      <c r="Q2043" s="278"/>
      <c r="R2043" s="278"/>
      <c r="S2043" s="278"/>
      <c r="T2043" s="278"/>
      <c r="U2043" s="279"/>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8">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2"/>
      <c r="M2044" s="278"/>
      <c r="N2044" s="278"/>
      <c r="O2044" s="278"/>
      <c r="P2044" s="278"/>
      <c r="Q2044" s="278"/>
      <c r="R2044" s="278"/>
      <c r="S2044" s="278"/>
      <c r="T2044" s="278"/>
      <c r="U2044" s="279"/>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8">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2"/>
      <c r="M2045" s="278"/>
      <c r="N2045" s="278"/>
      <c r="O2045" s="278"/>
      <c r="P2045" s="278"/>
      <c r="Q2045" s="278"/>
      <c r="R2045" s="278"/>
      <c r="S2045" s="278"/>
      <c r="T2045" s="278"/>
      <c r="U2045" s="279"/>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8">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2"/>
      <c r="M2046" s="278"/>
      <c r="N2046" s="278"/>
      <c r="O2046" s="278"/>
      <c r="P2046" s="278"/>
      <c r="Q2046" s="278"/>
      <c r="R2046" s="278"/>
      <c r="S2046" s="278"/>
      <c r="T2046" s="278"/>
      <c r="U2046" s="279"/>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8">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2"/>
      <c r="M2047" s="278"/>
      <c r="N2047" s="278"/>
      <c r="O2047" s="278"/>
      <c r="P2047" s="278"/>
      <c r="Q2047" s="278"/>
      <c r="R2047" s="278"/>
      <c r="S2047" s="278"/>
      <c r="T2047" s="278"/>
      <c r="U2047" s="279"/>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8">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2"/>
      <c r="M2048" s="278"/>
      <c r="N2048" s="278"/>
      <c r="O2048" s="278"/>
      <c r="P2048" s="278"/>
      <c r="Q2048" s="278"/>
      <c r="R2048" s="278"/>
      <c r="S2048" s="278"/>
      <c r="T2048" s="278"/>
      <c r="U2048" s="279"/>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8">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2"/>
      <c r="M2049" s="278"/>
      <c r="N2049" s="278"/>
      <c r="O2049" s="278"/>
      <c r="P2049" s="278"/>
      <c r="Q2049" s="278"/>
      <c r="R2049" s="278"/>
      <c r="S2049" s="278"/>
      <c r="T2049" s="278"/>
      <c r="U2049" s="279"/>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8">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3"/>
      <c r="M2050" s="278"/>
      <c r="N2050" s="278"/>
      <c r="O2050" s="278"/>
      <c r="P2050" s="278"/>
      <c r="Q2050" s="278"/>
      <c r="R2050" s="278"/>
      <c r="S2050" s="278"/>
      <c r="T2050" s="278"/>
      <c r="U2050" s="279"/>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7"/>
    </row>
    <row r="2051" spans="1:53" ht="16.5" thickBot="1" x14ac:dyDescent="0.3">
      <c r="A2051" s="88"/>
      <c r="B2051" s="319" t="s">
        <v>307</v>
      </c>
      <c r="C2051" s="320"/>
      <c r="D2051" s="79"/>
      <c r="E2051" s="80"/>
      <c r="F2051" s="80"/>
      <c r="G2051" s="81"/>
      <c r="H2051" s="191"/>
      <c r="I2051" s="191"/>
      <c r="J2051" s="191"/>
      <c r="K2051" s="82"/>
      <c r="L2051" s="319" t="s">
        <v>306</v>
      </c>
      <c r="M2051" s="330"/>
      <c r="N2051" s="330"/>
      <c r="O2051" s="330"/>
      <c r="P2051" s="330"/>
      <c r="Q2051" s="330"/>
      <c r="R2051" s="330"/>
      <c r="S2051" s="330"/>
      <c r="T2051" s="330"/>
      <c r="U2051" s="320"/>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phoneticPr fontId="60" type="noConversion"/>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1" t="s">
        <v>403</v>
      </c>
      <c r="B1" s="332"/>
      <c r="C1" s="332"/>
      <c r="D1" s="333"/>
      <c r="E1" s="331" t="s">
        <v>404</v>
      </c>
      <c r="F1" s="332"/>
      <c r="G1" s="332"/>
      <c r="H1" s="333"/>
      <c r="I1" s="331" t="s">
        <v>405</v>
      </c>
      <c r="J1" s="332"/>
      <c r="K1" s="332"/>
      <c r="L1" s="333"/>
      <c r="M1" s="331" t="s">
        <v>406</v>
      </c>
      <c r="N1" s="332"/>
      <c r="O1" s="332"/>
      <c r="P1" s="333"/>
      <c r="Q1" s="331" t="s">
        <v>407</v>
      </c>
      <c r="R1" s="332"/>
      <c r="S1" s="332"/>
      <c r="T1" s="333"/>
      <c r="U1" s="331" t="s">
        <v>408</v>
      </c>
      <c r="V1" s="332"/>
      <c r="W1" s="332"/>
      <c r="X1" s="333"/>
      <c r="Y1" s="331" t="s">
        <v>409</v>
      </c>
      <c r="Z1" s="332"/>
      <c r="AA1" s="332"/>
      <c r="AB1" s="333"/>
      <c r="AC1" s="331" t="s">
        <v>410</v>
      </c>
      <c r="AD1" s="332"/>
      <c r="AE1" s="332"/>
      <c r="AF1" s="333"/>
      <c r="AG1" s="331" t="s">
        <v>411</v>
      </c>
      <c r="AH1" s="332"/>
      <c r="AI1" s="332"/>
      <c r="AJ1" s="333"/>
      <c r="AK1" s="331" t="s">
        <v>412</v>
      </c>
      <c r="AL1" s="332"/>
      <c r="AM1" s="332"/>
      <c r="AN1" s="333"/>
      <c r="AO1" s="331" t="s">
        <v>413</v>
      </c>
      <c r="AP1" s="332"/>
      <c r="AQ1" s="332"/>
      <c r="AR1" s="333"/>
      <c r="AS1" s="331" t="s">
        <v>414</v>
      </c>
      <c r="AT1" s="332"/>
      <c r="AU1" s="332"/>
      <c r="AV1" s="333"/>
      <c r="AW1" s="331" t="s">
        <v>415</v>
      </c>
      <c r="AX1" s="332"/>
      <c r="AY1" s="332"/>
      <c r="AZ1" s="333"/>
      <c r="BA1" s="331" t="s">
        <v>416</v>
      </c>
      <c r="BB1" s="332"/>
      <c r="BC1" s="332"/>
      <c r="BD1" s="333"/>
      <c r="BE1" s="331" t="s">
        <v>417</v>
      </c>
      <c r="BF1" s="332"/>
      <c r="BG1" s="332"/>
      <c r="BH1" s="333"/>
      <c r="BI1" s="331" t="s">
        <v>418</v>
      </c>
      <c r="BJ1" s="332"/>
      <c r="BK1" s="332"/>
      <c r="BL1" s="333"/>
      <c r="BM1" s="331" t="s">
        <v>419</v>
      </c>
      <c r="BN1" s="332"/>
      <c r="BO1" s="332"/>
      <c r="BP1" s="333"/>
      <c r="BQ1" s="331" t="s">
        <v>420</v>
      </c>
      <c r="BR1" s="332"/>
      <c r="BS1" s="332"/>
      <c r="BT1" s="333"/>
      <c r="BU1" s="331" t="s">
        <v>421</v>
      </c>
      <c r="BV1" s="332"/>
      <c r="BW1" s="332"/>
      <c r="BX1" s="333"/>
      <c r="BY1" s="331" t="s">
        <v>422</v>
      </c>
      <c r="BZ1" s="332"/>
      <c r="CA1" s="332"/>
      <c r="CB1" s="333"/>
      <c r="CC1" s="331" t="s">
        <v>423</v>
      </c>
      <c r="CD1" s="332"/>
      <c r="CE1" s="332"/>
      <c r="CF1" s="333"/>
      <c r="CG1" s="331" t="s">
        <v>424</v>
      </c>
      <c r="CH1" s="332"/>
      <c r="CI1" s="332"/>
      <c r="CJ1" s="333"/>
      <c r="CK1" s="331" t="s">
        <v>425</v>
      </c>
      <c r="CL1" s="332"/>
      <c r="CM1" s="332"/>
      <c r="CN1" s="333"/>
      <c r="CO1" s="331" t="s">
        <v>426</v>
      </c>
      <c r="CP1" s="332"/>
      <c r="CQ1" s="332"/>
      <c r="CR1" s="333"/>
      <c r="CS1" s="331" t="s">
        <v>427</v>
      </c>
      <c r="CT1" s="332"/>
      <c r="CU1" s="332"/>
      <c r="CV1" s="333"/>
      <c r="CW1" s="331" t="s">
        <v>428</v>
      </c>
      <c r="CX1" s="332"/>
      <c r="CY1" s="332"/>
      <c r="CZ1" s="333"/>
      <c r="DA1" s="331" t="s">
        <v>429</v>
      </c>
      <c r="DB1" s="332"/>
      <c r="DC1" s="332"/>
      <c r="DD1" s="333"/>
      <c r="DE1" s="331" t="s">
        <v>430</v>
      </c>
      <c r="DF1" s="332"/>
      <c r="DG1" s="332"/>
      <c r="DH1" s="333"/>
      <c r="DI1" s="331" t="s">
        <v>431</v>
      </c>
      <c r="DJ1" s="332"/>
      <c r="DK1" s="332"/>
      <c r="DL1" s="333"/>
      <c r="DM1" s="331" t="s">
        <v>432</v>
      </c>
      <c r="DN1" s="332"/>
      <c r="DO1" s="332"/>
      <c r="DP1" s="333"/>
      <c r="DQ1" s="331" t="s">
        <v>433</v>
      </c>
      <c r="DR1" s="332"/>
      <c r="DS1" s="332"/>
      <c r="DT1" s="333"/>
      <c r="DU1" s="331" t="s">
        <v>434</v>
      </c>
      <c r="DV1" s="332"/>
      <c r="DW1" s="332"/>
      <c r="DX1" s="333"/>
      <c r="DY1" s="331" t="s">
        <v>435</v>
      </c>
      <c r="DZ1" s="332"/>
      <c r="EA1" s="332"/>
      <c r="EB1" s="333"/>
      <c r="EC1" s="331" t="s">
        <v>436</v>
      </c>
      <c r="ED1" s="332"/>
      <c r="EE1" s="332"/>
      <c r="EF1" s="333"/>
      <c r="EG1" s="331" t="s">
        <v>437</v>
      </c>
      <c r="EH1" s="332"/>
      <c r="EI1" s="332"/>
      <c r="EJ1" s="333"/>
      <c r="EK1" s="331" t="s">
        <v>438</v>
      </c>
      <c r="EL1" s="332"/>
      <c r="EM1" s="332"/>
      <c r="EN1" s="333"/>
      <c r="EO1" s="331" t="s">
        <v>439</v>
      </c>
      <c r="EP1" s="332"/>
      <c r="EQ1" s="332"/>
      <c r="ER1" s="333"/>
      <c r="ES1" s="331" t="s">
        <v>440</v>
      </c>
      <c r="ET1" s="332"/>
      <c r="EU1" s="332"/>
      <c r="EV1" s="333"/>
      <c r="EW1" s="331" t="s">
        <v>441</v>
      </c>
      <c r="EX1" s="332"/>
      <c r="EY1" s="332"/>
      <c r="EZ1" s="333"/>
      <c r="FA1" s="331" t="s">
        <v>442</v>
      </c>
      <c r="FB1" s="332"/>
      <c r="FC1" s="332"/>
      <c r="FD1" s="333"/>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G27" sqref="G27"/>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6" t="s">
        <v>451</v>
      </c>
      <c r="C2" s="336"/>
      <c r="D2" s="336"/>
      <c r="E2" s="336"/>
      <c r="F2" s="336"/>
      <c r="G2" s="336"/>
      <c r="H2" s="336"/>
      <c r="I2" s="336"/>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5" t="s">
        <v>453</v>
      </c>
      <c r="D3" s="335"/>
      <c r="E3" s="335"/>
      <c r="F3" s="335"/>
      <c r="G3" s="335"/>
      <c r="H3" s="335"/>
      <c r="I3" s="335"/>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4" t="s">
        <v>454</v>
      </c>
      <c r="D4" s="334"/>
      <c r="E4" s="334" t="s">
        <v>455</v>
      </c>
      <c r="F4" s="334"/>
      <c r="G4" s="334"/>
      <c r="H4" s="334"/>
      <c r="I4" s="148">
        <f>Data!Q2</f>
        <v>22021.070000000003</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4" t="s">
        <v>454</v>
      </c>
      <c r="D5" s="334"/>
      <c r="E5" s="334" t="s">
        <v>457</v>
      </c>
      <c r="F5" s="334"/>
      <c r="G5" s="334"/>
      <c r="H5" s="334"/>
      <c r="I5" s="148">
        <f>Data!P2</f>
        <v>9183.2100000000009</v>
      </c>
      <c r="J5" s="146"/>
      <c r="K5" s="146"/>
      <c r="L5" s="146"/>
      <c r="M5" s="146"/>
      <c r="N5" s="146"/>
      <c r="O5" s="146"/>
      <c r="P5" s="146"/>
      <c r="Q5" s="146"/>
      <c r="R5" s="146"/>
      <c r="S5" s="146"/>
      <c r="T5" s="146"/>
      <c r="U5" s="146"/>
      <c r="V5" s="146"/>
      <c r="W5" s="146"/>
      <c r="X5" s="146"/>
      <c r="Y5" s="146"/>
      <c r="Z5" s="146"/>
      <c r="AA5" s="146"/>
    </row>
    <row r="6" spans="1:27" ht="18.75" x14ac:dyDescent="0.3">
      <c r="A6" s="146"/>
      <c r="B6" s="147"/>
      <c r="C6" s="335" t="s">
        <v>458</v>
      </c>
      <c r="D6" s="335"/>
      <c r="E6" s="335"/>
      <c r="F6" s="335"/>
      <c r="G6" s="335"/>
      <c r="H6" s="335"/>
      <c r="I6" s="335"/>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4" t="s">
        <v>454</v>
      </c>
      <c r="D7" s="334"/>
      <c r="E7" s="334" t="s">
        <v>460</v>
      </c>
      <c r="F7" s="334"/>
      <c r="G7" s="334"/>
      <c r="H7" s="334"/>
      <c r="I7" s="148">
        <f>Data!R2</f>
        <v>1859.8000000000002</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5" t="s">
        <v>461</v>
      </c>
      <c r="D9" s="335"/>
      <c r="E9" s="335"/>
      <c r="F9" s="335"/>
      <c r="G9" s="335"/>
      <c r="H9" s="335"/>
      <c r="I9" s="335"/>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4" t="s">
        <v>462</v>
      </c>
      <c r="D10" s="334"/>
      <c r="E10" s="334" t="s">
        <v>463</v>
      </c>
      <c r="F10" s="334"/>
      <c r="G10" s="334"/>
      <c r="H10" s="334"/>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6" t="s">
        <v>469</v>
      </c>
      <c r="H1" s="183" t="s">
        <v>470</v>
      </c>
      <c r="I1" s="183" t="s">
        <v>471</v>
      </c>
      <c r="J1" s="187" t="s">
        <v>472</v>
      </c>
      <c r="K1" s="188" t="s">
        <v>473</v>
      </c>
      <c r="L1" s="188" t="s">
        <v>474</v>
      </c>
      <c r="M1" s="207"/>
      <c r="N1" s="180" t="s">
        <v>475</v>
      </c>
      <c r="O1" s="179" t="s">
        <v>476</v>
      </c>
      <c r="P1" s="180" t="s">
        <v>456</v>
      </c>
      <c r="Q1" s="179" t="s">
        <v>89</v>
      </c>
      <c r="R1" s="125" t="s">
        <v>459</v>
      </c>
      <c r="S1" s="1" t="s">
        <v>477</v>
      </c>
      <c r="T1" s="1" t="s">
        <v>478</v>
      </c>
      <c r="Z1" s="1">
        <v>0</v>
      </c>
      <c r="AA1" s="1">
        <v>0</v>
      </c>
      <c r="AB1" s="1">
        <v>0</v>
      </c>
    </row>
    <row r="2" spans="1:29" x14ac:dyDescent="0.25">
      <c r="A2" s="1">
        <v>200008938</v>
      </c>
      <c r="B2" s="1" t="s">
        <v>84</v>
      </c>
      <c r="C2" s="1" t="s">
        <v>479</v>
      </c>
      <c r="D2" s="1">
        <v>112.15</v>
      </c>
      <c r="E2" s="1">
        <f>SUM(G2:L2)</f>
        <v>47</v>
      </c>
      <c r="F2" s="185">
        <f t="shared" ref="F2:F5" si="0">PRODUCT(D2:E2)</f>
        <v>5271.05</v>
      </c>
      <c r="G2" s="180">
        <f>COUNTIFS('Assignment Tool'!$E$17:$E$2050, "2", 'Assignment Tool'!$F$17:$F$2050, "POLE", 'Assignment Tool'!$C$17:$C$2050, "FST",'Assignment Tool'!$K$17:$K$2050,"")</f>
        <v>0</v>
      </c>
      <c r="H2" s="179">
        <f>COUNTIFS('Assignment Tool'!$E$17:$E$2050, "2",'Assignment Tool'!$F$17:$F$2050,"PED", 'Assignment Tool'!$C$17:$C$2050, "FST",'Assignment Tool'!$K$17:$K$2050,"")</f>
        <v>0</v>
      </c>
      <c r="I2" s="179">
        <f>COUNTIFS('Assignment Tool'!$E$17:$E$2050, "2",'Assignment Tool'!$F$17:$F$2050,"HH", 'Assignment Tool'!$C$17:$C$2050, "FST",'Assignment Tool'!$K$17:$K$2050,"")</f>
        <v>6</v>
      </c>
      <c r="J2" s="180">
        <f>COUNTIFS('Assignment Tool'!$E$17:$E$2050, "4",'Assignment Tool'!$F$17:$F$2050,"POLE", 'Assignment Tool'!$C$17:$C$2050, "FST",'Assignment Tool'!$K$17:$K$2050,"")</f>
        <v>24</v>
      </c>
      <c r="K2" s="179">
        <f>COUNTIFS('Assignment Tool'!$E$17:$E$2050, "4",'Assignment Tool'!$F$17:$F$2050,"PED", 'Assignment Tool'!$C$17:$C$2050, "FST",'Assignment Tool'!$K$17:$K$2050,"")</f>
        <v>0</v>
      </c>
      <c r="L2" s="179">
        <f>COUNTIFS('Assignment Tool'!$E$17:$E$2050, "4",'Assignment Tool'!$F$17:$F$2050,"HH", 'Assignment Tool'!$C$17:$C$2050, "FST",'Assignment Tool'!$K$17:$K$2050,"")</f>
        <v>17</v>
      </c>
      <c r="N2" s="180">
        <f>PRODUCT(SUM(G2,J2),D2)</f>
        <v>2691.6000000000004</v>
      </c>
      <c r="O2" s="179">
        <f>PRODUCT(SUM(H2:I2,K2:L2),D2)</f>
        <v>2579.4500000000003</v>
      </c>
      <c r="P2" s="182">
        <f>SUM(N2:N5,F11:F16,F27:F36,F43:F46,F51:F54,N88:N135)</f>
        <v>9183.2100000000009</v>
      </c>
      <c r="Q2" s="181">
        <f>SUM(O2:O5,F17:F26,F37:F42,F47:F50,F55:F58,F60:F67,O88:O135)</f>
        <v>22021.070000000003</v>
      </c>
      <c r="R2" s="126">
        <f>SUM(F69:F71)</f>
        <v>1859.8000000000002</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5">
        <f t="shared" si="0"/>
        <v>0</v>
      </c>
      <c r="G3" s="180">
        <f>COUNTIFS('Assignment Tool'!$E$17:$E$2050, "6", 'Assignment Tool'!$F$17:$F$2050, "POLE", 'Assignment Tool'!$C$17:$C$2050, "FST",'Assignment Tool'!$K$17:$K$2050,"")</f>
        <v>0</v>
      </c>
      <c r="H3" s="179">
        <f>COUNTIFS('Assignment Tool'!$E$17:$E$2050, "6", 'Assignment Tool'!$F$17:$F$2050, "PED", 'Assignment Tool'!$C$17:$C$2050, "FST",'Assignment Tool'!$K$17:$K$2050,"")</f>
        <v>0</v>
      </c>
      <c r="I3" s="179">
        <f>COUNTIFS('Assignment Tool'!$E$17:$E$2050, "6", 'Assignment Tool'!$F$17:$F$2050, "HH", 'Assignment Tool'!$C$17:$C$2050, "FST",'Assignment Tool'!$K$17:$K$2050,"")</f>
        <v>0</v>
      </c>
      <c r="N3" s="180">
        <f>PRODUCT(G3,D3)</f>
        <v>0</v>
      </c>
      <c r="O3" s="179">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18</v>
      </c>
      <c r="F4" s="185">
        <f t="shared" si="0"/>
        <v>3055.86</v>
      </c>
      <c r="G4" s="180">
        <f>COUNTIFS('Assignment Tool'!$E$17:$E$2050, "8", 'Assignment Tool'!$F$17:$F$2050, "POLE", 'Assignment Tool'!$C$17:$C$2050, "FST",'Assignment Tool'!$K$17:$K$2050,"")</f>
        <v>13</v>
      </c>
      <c r="H4" s="179">
        <f>COUNTIFS('Assignment Tool'!$E$17:$E$2050, "8", 'Assignment Tool'!$F$17:$F$2050, "PED", 'Assignment Tool'!$C$17:$C$2050, "FST",'Assignment Tool'!$K$17:$K$2050,"")</f>
        <v>0</v>
      </c>
      <c r="I4" s="179">
        <f>COUNTIFS('Assignment Tool'!$E$17:$E$2050, "8", 'Assignment Tool'!$F$17:$F$2050, "HH", 'Assignment Tool'!$C$17:$C$2050, "FST",'Assignment Tool'!$K$17:$K$2050,"")</f>
        <v>5</v>
      </c>
      <c r="N4" s="180">
        <f t="shared" ref="N4:N5" si="2">PRODUCT(G4,D4)</f>
        <v>2207.0100000000002</v>
      </c>
      <c r="O4" s="179">
        <f t="shared" ref="O4:O5" si="3">PRODUCT(SUM(H4:I4),D4)</f>
        <v>848.85</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3</v>
      </c>
      <c r="F5" s="185">
        <f t="shared" si="0"/>
        <v>683.84999999999991</v>
      </c>
      <c r="G5" s="180">
        <f>COUNTIFS('Assignment Tool'!$E$17:$E$2050, "12", 'Assignment Tool'!$F$17:$F$2050, "POLE", 'Assignment Tool'!$C$17:$C$2050, "FST",'Assignment Tool'!$K$17:$K$2050,"")</f>
        <v>0</v>
      </c>
      <c r="H5" s="179">
        <f>COUNTIFS('Assignment Tool'!$E$17:$E$2050, "12", 'Assignment Tool'!$F$17:$F$2050, "PED", 'Assignment Tool'!$C$17:$C$2050, "FST",'Assignment Tool'!$K$17:$K$2050,"")</f>
        <v>0</v>
      </c>
      <c r="I5" s="179">
        <f>COUNTIFS('Assignment Tool'!$E$17:$E$2050, "12", 'Assignment Tool'!$F$17:$F$2050, "HH", 'Assignment Tool'!$C$17:$C$2050, "FST",'Assignment Tool'!$K$17:$K$2050,"")</f>
        <v>3</v>
      </c>
      <c r="N5" s="180">
        <f t="shared" si="2"/>
        <v>0</v>
      </c>
      <c r="O5" s="179">
        <f t="shared" si="3"/>
        <v>683.84999999999991</v>
      </c>
      <c r="S5" s="1" t="s">
        <v>496</v>
      </c>
      <c r="T5" s="1" t="s">
        <v>497</v>
      </c>
      <c r="U5" s="1" t="s">
        <v>498</v>
      </c>
      <c r="X5" s="1" t="s">
        <v>499</v>
      </c>
      <c r="Y5" s="1">
        <v>6</v>
      </c>
      <c r="AA5" s="1">
        <f t="shared" si="4"/>
        <v>48</v>
      </c>
      <c r="AB5" s="1">
        <v>144</v>
      </c>
      <c r="AC5" s="1">
        <v>200</v>
      </c>
    </row>
    <row r="6" spans="1:29" x14ac:dyDescent="0.25">
      <c r="F6" s="185"/>
      <c r="X6" s="1" t="s">
        <v>500</v>
      </c>
      <c r="Y6" s="1">
        <v>8</v>
      </c>
      <c r="AA6" s="1">
        <f t="shared" si="4"/>
        <v>60</v>
      </c>
      <c r="AB6" s="1">
        <v>216</v>
      </c>
      <c r="AC6" s="1">
        <v>300</v>
      </c>
    </row>
    <row r="7" spans="1:29" x14ac:dyDescent="0.25">
      <c r="F7" s="185"/>
      <c r="X7" s="1" t="s">
        <v>501</v>
      </c>
      <c r="Y7" s="1">
        <v>12</v>
      </c>
      <c r="AA7" s="1">
        <f t="shared" si="4"/>
        <v>72</v>
      </c>
      <c r="AB7" s="1">
        <v>288</v>
      </c>
      <c r="AC7" s="1">
        <v>400</v>
      </c>
    </row>
    <row r="8" spans="1:29" x14ac:dyDescent="0.25">
      <c r="F8" s="185"/>
      <c r="X8" s="1" t="s">
        <v>502</v>
      </c>
      <c r="Y8" s="1">
        <v>24</v>
      </c>
      <c r="AA8" s="1">
        <f t="shared" si="4"/>
        <v>84</v>
      </c>
      <c r="AB8" s="1">
        <v>360</v>
      </c>
      <c r="AC8" s="1">
        <v>500</v>
      </c>
    </row>
    <row r="9" spans="1:29" x14ac:dyDescent="0.25">
      <c r="F9" s="185"/>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0">
        <v>100083495</v>
      </c>
      <c r="B11" s="180"/>
      <c r="C11" s="180" t="s">
        <v>503</v>
      </c>
      <c r="D11" s="1">
        <v>247.18</v>
      </c>
      <c r="E11" s="162">
        <f>'Construction Exempt Material'!B17</f>
        <v>0</v>
      </c>
      <c r="F11" s="180">
        <f>E11*D11</f>
        <v>0</v>
      </c>
      <c r="Q11" s="21"/>
      <c r="R11" s="21"/>
      <c r="Y11" s="1">
        <v>60</v>
      </c>
      <c r="AA11" s="1">
        <f t="shared" si="4"/>
        <v>120</v>
      </c>
      <c r="AB11" s="1">
        <v>864</v>
      </c>
      <c r="AC11" s="1">
        <v>800</v>
      </c>
    </row>
    <row r="12" spans="1:29" x14ac:dyDescent="0.25">
      <c r="A12" s="180">
        <v>100083494</v>
      </c>
      <c r="B12" s="180"/>
      <c r="C12" s="180" t="s">
        <v>504</v>
      </c>
      <c r="D12" s="1">
        <v>215.15</v>
      </c>
      <c r="E12" s="162">
        <f>'Construction Exempt Material'!B18</f>
        <v>8</v>
      </c>
      <c r="F12" s="180">
        <f t="shared" ref="F12:F58" si="5">E12*D12</f>
        <v>1721.2</v>
      </c>
      <c r="Q12" s="21"/>
      <c r="R12" s="21"/>
      <c r="Y12" s="1">
        <v>72</v>
      </c>
      <c r="AA12" s="1">
        <f t="shared" si="4"/>
        <v>132</v>
      </c>
      <c r="AC12" s="1">
        <v>900</v>
      </c>
    </row>
    <row r="13" spans="1:29" x14ac:dyDescent="0.25">
      <c r="A13" s="180">
        <v>100083493</v>
      </c>
      <c r="B13" s="180"/>
      <c r="C13" s="180" t="s">
        <v>505</v>
      </c>
      <c r="D13" s="1">
        <v>183.1</v>
      </c>
      <c r="E13" s="162">
        <f>'Construction Exempt Material'!B19</f>
        <v>14</v>
      </c>
      <c r="F13" s="180">
        <f t="shared" si="5"/>
        <v>2563.4</v>
      </c>
      <c r="Q13" s="21"/>
      <c r="R13" s="21"/>
      <c r="Y13" s="1">
        <v>84</v>
      </c>
      <c r="AA13" s="1">
        <f t="shared" si="4"/>
        <v>144</v>
      </c>
      <c r="AC13" s="1">
        <v>1000</v>
      </c>
    </row>
    <row r="14" spans="1:29" x14ac:dyDescent="0.25">
      <c r="A14" s="180">
        <v>100089023</v>
      </c>
      <c r="B14" s="180"/>
      <c r="C14" s="180" t="s">
        <v>506</v>
      </c>
      <c r="D14" s="1">
        <v>247.18</v>
      </c>
      <c r="E14" s="162">
        <f>'Construction Exempt Material'!B20</f>
        <v>0</v>
      </c>
      <c r="F14" s="180">
        <f t="shared" si="5"/>
        <v>0</v>
      </c>
      <c r="Q14" s="21"/>
      <c r="R14" s="21"/>
      <c r="Y14" s="1">
        <v>96</v>
      </c>
      <c r="AA14" s="1">
        <f t="shared" si="4"/>
        <v>156</v>
      </c>
    </row>
    <row r="15" spans="1:29" x14ac:dyDescent="0.25">
      <c r="A15" s="180">
        <v>200000002</v>
      </c>
      <c r="B15" s="180"/>
      <c r="C15" s="180" t="s">
        <v>507</v>
      </c>
      <c r="D15" s="1">
        <v>215.15</v>
      </c>
      <c r="E15" s="162">
        <f>'Construction Exempt Material'!B21</f>
        <v>0</v>
      </c>
      <c r="F15" s="180">
        <f t="shared" si="5"/>
        <v>0</v>
      </c>
      <c r="Q15" s="21"/>
      <c r="R15" s="21"/>
      <c r="Y15" s="1">
        <v>108</v>
      </c>
      <c r="AA15" s="1">
        <f t="shared" si="4"/>
        <v>168</v>
      </c>
    </row>
    <row r="16" spans="1:29" x14ac:dyDescent="0.25">
      <c r="A16" s="180">
        <v>200000003</v>
      </c>
      <c r="B16" s="180"/>
      <c r="C16" s="180" t="s">
        <v>508</v>
      </c>
      <c r="D16" s="1">
        <v>183.1</v>
      </c>
      <c r="E16" s="162">
        <f>'Construction Exempt Material'!B22</f>
        <v>0</v>
      </c>
      <c r="F16" s="180">
        <f t="shared" si="5"/>
        <v>0</v>
      </c>
      <c r="Q16" s="21"/>
      <c r="R16" s="21"/>
      <c r="Y16" s="1">
        <v>120</v>
      </c>
      <c r="AA16" s="1">
        <f t="shared" si="4"/>
        <v>180</v>
      </c>
    </row>
    <row r="17" spans="1:27" x14ac:dyDescent="0.25">
      <c r="A17" s="179">
        <v>100083595</v>
      </c>
      <c r="B17" s="179"/>
      <c r="C17" s="179" t="s">
        <v>509</v>
      </c>
      <c r="D17" s="1">
        <v>266.77</v>
      </c>
      <c r="E17" s="162">
        <f>'Construction Exempt Material'!B23</f>
        <v>5</v>
      </c>
      <c r="F17" s="179">
        <f t="shared" si="5"/>
        <v>1333.85</v>
      </c>
      <c r="Q17" s="21"/>
      <c r="Y17" s="1">
        <v>132</v>
      </c>
      <c r="AA17" s="1">
        <f t="shared" si="4"/>
        <v>192</v>
      </c>
    </row>
    <row r="18" spans="1:27" x14ac:dyDescent="0.25">
      <c r="A18" s="179">
        <v>100083594</v>
      </c>
      <c r="B18" s="179"/>
      <c r="C18" s="179" t="s">
        <v>510</v>
      </c>
      <c r="D18" s="1">
        <v>233.96</v>
      </c>
      <c r="E18" s="162">
        <f>'Construction Exempt Material'!B24</f>
        <v>10</v>
      </c>
      <c r="F18" s="179">
        <f t="shared" si="5"/>
        <v>2339.6</v>
      </c>
      <c r="Q18" s="21"/>
      <c r="Y18" s="1">
        <v>144</v>
      </c>
      <c r="AA18" s="1">
        <f t="shared" si="4"/>
        <v>204</v>
      </c>
    </row>
    <row r="19" spans="1:27" x14ac:dyDescent="0.25">
      <c r="A19" s="179">
        <v>100083593</v>
      </c>
      <c r="B19" s="179"/>
      <c r="C19" s="179" t="s">
        <v>511</v>
      </c>
      <c r="D19" s="1">
        <v>226.44</v>
      </c>
      <c r="E19" s="162">
        <f>'Construction Exempt Material'!B25</f>
        <v>0</v>
      </c>
      <c r="F19" s="179">
        <f t="shared" si="5"/>
        <v>0</v>
      </c>
      <c r="Y19" s="1">
        <v>216</v>
      </c>
      <c r="AA19" s="1">
        <f t="shared" si="4"/>
        <v>216</v>
      </c>
    </row>
    <row r="20" spans="1:27" x14ac:dyDescent="0.25">
      <c r="A20" s="179">
        <v>100083592</v>
      </c>
      <c r="B20" s="179"/>
      <c r="C20" s="179" t="s">
        <v>512</v>
      </c>
      <c r="D20" s="1">
        <v>199.86</v>
      </c>
      <c r="E20" s="162">
        <f>'Construction Exempt Material'!B26</f>
        <v>27</v>
      </c>
      <c r="F20" s="179">
        <f t="shared" si="5"/>
        <v>5396.22</v>
      </c>
      <c r="AA20" s="1">
        <f t="shared" si="4"/>
        <v>228</v>
      </c>
    </row>
    <row r="21" spans="1:27" x14ac:dyDescent="0.25">
      <c r="A21" s="179">
        <v>200008456</v>
      </c>
      <c r="B21" s="179"/>
      <c r="C21" s="179" t="s">
        <v>513</v>
      </c>
      <c r="D21" s="1">
        <v>201.13</v>
      </c>
      <c r="E21" s="162">
        <f>'Construction Exempt Material'!B27</f>
        <v>6</v>
      </c>
      <c r="F21" s="179">
        <f t="shared" si="5"/>
        <v>1206.78</v>
      </c>
      <c r="AA21" s="1">
        <f t="shared" si="4"/>
        <v>240</v>
      </c>
    </row>
    <row r="22" spans="1:27" x14ac:dyDescent="0.25">
      <c r="A22" s="179">
        <v>100089396</v>
      </c>
      <c r="B22" s="179"/>
      <c r="C22" s="179" t="s">
        <v>514</v>
      </c>
      <c r="D22" s="1">
        <v>266.77</v>
      </c>
      <c r="E22" s="162">
        <f>'Construction Exempt Material'!B28</f>
        <v>1</v>
      </c>
      <c r="F22" s="179">
        <f t="shared" si="5"/>
        <v>266.77</v>
      </c>
      <c r="AA22" s="1">
        <f>12+AA21</f>
        <v>252</v>
      </c>
    </row>
    <row r="23" spans="1:27" x14ac:dyDescent="0.25">
      <c r="A23" s="179">
        <v>100089548</v>
      </c>
      <c r="B23" s="179"/>
      <c r="C23" s="179" t="s">
        <v>515</v>
      </c>
      <c r="D23" s="1">
        <v>233.96</v>
      </c>
      <c r="E23" s="162">
        <f>'Construction Exempt Material'!B29</f>
        <v>0</v>
      </c>
      <c r="F23" s="179">
        <f t="shared" si="5"/>
        <v>0</v>
      </c>
      <c r="AA23" s="1">
        <f>12+AA22</f>
        <v>264</v>
      </c>
    </row>
    <row r="24" spans="1:27" x14ac:dyDescent="0.25">
      <c r="A24" s="179">
        <v>100089397</v>
      </c>
      <c r="B24" s="179"/>
      <c r="C24" s="179" t="s">
        <v>516</v>
      </c>
      <c r="D24" s="1">
        <v>226.44</v>
      </c>
      <c r="E24" s="162">
        <f>'Construction Exempt Material'!B30</f>
        <v>0</v>
      </c>
      <c r="F24" s="179">
        <f t="shared" si="5"/>
        <v>0</v>
      </c>
      <c r="AA24" s="1">
        <f>12+AA23</f>
        <v>276</v>
      </c>
    </row>
    <row r="25" spans="1:27" x14ac:dyDescent="0.25">
      <c r="A25" s="179">
        <v>100089549</v>
      </c>
      <c r="B25" s="179"/>
      <c r="C25" s="179" t="s">
        <v>517</v>
      </c>
      <c r="D25" s="1">
        <v>199.86</v>
      </c>
      <c r="E25" s="162">
        <f>'Construction Exempt Material'!B31</f>
        <v>0</v>
      </c>
      <c r="F25" s="179">
        <f t="shared" si="5"/>
        <v>0</v>
      </c>
    </row>
    <row r="26" spans="1:27" x14ac:dyDescent="0.25">
      <c r="A26" s="179">
        <v>200008455</v>
      </c>
      <c r="B26" s="179"/>
      <c r="C26" s="179" t="s">
        <v>518</v>
      </c>
      <c r="D26" s="1">
        <v>201.13</v>
      </c>
      <c r="E26" s="162">
        <f>'Construction Exempt Material'!B32</f>
        <v>0</v>
      </c>
      <c r="F26" s="179">
        <f t="shared" si="5"/>
        <v>0</v>
      </c>
    </row>
    <row r="27" spans="1:27" x14ac:dyDescent="0.25">
      <c r="A27" s="180">
        <v>200002278</v>
      </c>
      <c r="B27" s="180"/>
      <c r="C27" s="180" t="s">
        <v>519</v>
      </c>
      <c r="D27" s="1">
        <v>323.39</v>
      </c>
      <c r="E27" s="162">
        <f>'Construction Exempt Material'!B33</f>
        <v>0</v>
      </c>
      <c r="F27" s="180">
        <f t="shared" si="5"/>
        <v>0</v>
      </c>
    </row>
    <row r="28" spans="1:27" x14ac:dyDescent="0.25">
      <c r="A28" s="180">
        <v>200002276</v>
      </c>
      <c r="B28" s="180"/>
      <c r="C28" s="180" t="s">
        <v>520</v>
      </c>
      <c r="D28" s="1">
        <v>282.69</v>
      </c>
      <c r="E28" s="162">
        <f>'Construction Exempt Material'!B34</f>
        <v>0</v>
      </c>
      <c r="F28" s="180">
        <f t="shared" si="5"/>
        <v>0</v>
      </c>
    </row>
    <row r="29" spans="1:27" x14ac:dyDescent="0.25">
      <c r="A29" s="180">
        <v>200002273</v>
      </c>
      <c r="B29" s="180"/>
      <c r="C29" s="180" t="s">
        <v>521</v>
      </c>
      <c r="D29" s="1">
        <v>268.75</v>
      </c>
      <c r="E29" s="162">
        <f>'Construction Exempt Material'!B35</f>
        <v>0</v>
      </c>
      <c r="F29" s="180">
        <f t="shared" si="5"/>
        <v>0</v>
      </c>
    </row>
    <row r="30" spans="1:27" x14ac:dyDescent="0.25">
      <c r="A30" s="180">
        <v>200002272</v>
      </c>
      <c r="B30" s="180"/>
      <c r="C30" s="180" t="s">
        <v>522</v>
      </c>
      <c r="D30" s="1">
        <v>242.07</v>
      </c>
      <c r="E30" s="162">
        <f>'Construction Exempt Material'!B36</f>
        <v>0</v>
      </c>
      <c r="F30" s="180">
        <f t="shared" si="5"/>
        <v>0</v>
      </c>
    </row>
    <row r="31" spans="1:27" x14ac:dyDescent="0.25">
      <c r="A31" s="180">
        <v>200008457</v>
      </c>
      <c r="B31" s="180"/>
      <c r="C31" s="180" t="s">
        <v>523</v>
      </c>
      <c r="D31" s="1">
        <v>232.72</v>
      </c>
      <c r="E31" s="162">
        <f>'Construction Exempt Material'!B37</f>
        <v>0</v>
      </c>
      <c r="F31" s="180">
        <f t="shared" si="5"/>
        <v>0</v>
      </c>
    </row>
    <row r="32" spans="1:27" x14ac:dyDescent="0.25">
      <c r="A32" s="180">
        <v>200002284</v>
      </c>
      <c r="B32" s="180"/>
      <c r="C32" s="180" t="s">
        <v>524</v>
      </c>
      <c r="D32" s="1">
        <v>323.39</v>
      </c>
      <c r="E32" s="162">
        <f>'Construction Exempt Material'!B38</f>
        <v>0</v>
      </c>
      <c r="F32" s="180">
        <f t="shared" si="5"/>
        <v>0</v>
      </c>
    </row>
    <row r="33" spans="1:6" x14ac:dyDescent="0.25">
      <c r="A33" s="180">
        <v>200002283</v>
      </c>
      <c r="B33" s="180"/>
      <c r="C33" s="180" t="s">
        <v>525</v>
      </c>
      <c r="D33" s="1">
        <v>282.69</v>
      </c>
      <c r="E33" s="162">
        <f>'Construction Exempt Material'!B39</f>
        <v>0</v>
      </c>
      <c r="F33" s="180">
        <f t="shared" si="5"/>
        <v>0</v>
      </c>
    </row>
    <row r="34" spans="1:6" x14ac:dyDescent="0.25">
      <c r="A34" s="180">
        <v>200002282</v>
      </c>
      <c r="B34" s="180"/>
      <c r="C34" s="180" t="s">
        <v>526</v>
      </c>
      <c r="D34" s="1">
        <v>268.75</v>
      </c>
      <c r="E34" s="162">
        <f>'Construction Exempt Material'!B40</f>
        <v>0</v>
      </c>
      <c r="F34" s="180">
        <f t="shared" si="5"/>
        <v>0</v>
      </c>
    </row>
    <row r="35" spans="1:6" x14ac:dyDescent="0.25">
      <c r="A35" s="180">
        <v>200002279</v>
      </c>
      <c r="B35" s="180"/>
      <c r="C35" s="180" t="s">
        <v>527</v>
      </c>
      <c r="D35" s="1">
        <v>242.07</v>
      </c>
      <c r="E35" s="162">
        <f>'Construction Exempt Material'!B41</f>
        <v>0</v>
      </c>
      <c r="F35" s="180">
        <f t="shared" si="5"/>
        <v>0</v>
      </c>
    </row>
    <row r="36" spans="1:6" x14ac:dyDescent="0.25">
      <c r="A36" s="180">
        <v>200008458</v>
      </c>
      <c r="B36" s="180"/>
      <c r="C36" s="180" t="s">
        <v>528</v>
      </c>
      <c r="D36" s="1">
        <v>232.72</v>
      </c>
      <c r="E36" s="162">
        <f>'Construction Exempt Material'!B42</f>
        <v>0</v>
      </c>
      <c r="F36" s="180">
        <f t="shared" si="5"/>
        <v>0</v>
      </c>
    </row>
    <row r="37" spans="1:6" x14ac:dyDescent="0.25">
      <c r="A37" s="179">
        <v>200002409</v>
      </c>
      <c r="B37" s="179"/>
      <c r="C37" s="179" t="s">
        <v>529</v>
      </c>
      <c r="D37" s="1">
        <v>271.56</v>
      </c>
      <c r="E37" s="162">
        <f>'Construction Exempt Material'!B43</f>
        <v>0</v>
      </c>
      <c r="F37" s="179">
        <f t="shared" si="5"/>
        <v>0</v>
      </c>
    </row>
    <row r="38" spans="1:6" x14ac:dyDescent="0.25">
      <c r="A38" s="179">
        <v>200002407</v>
      </c>
      <c r="B38" s="179"/>
      <c r="C38" s="179" t="s">
        <v>530</v>
      </c>
      <c r="D38" s="1">
        <v>236.35</v>
      </c>
      <c r="E38" s="162">
        <f>'Construction Exempt Material'!B44</f>
        <v>0</v>
      </c>
      <c r="F38" s="179">
        <f t="shared" si="5"/>
        <v>0</v>
      </c>
    </row>
    <row r="39" spans="1:6" x14ac:dyDescent="0.25">
      <c r="A39" s="179">
        <v>200002408</v>
      </c>
      <c r="B39" s="179"/>
      <c r="C39" s="179" t="s">
        <v>531</v>
      </c>
      <c r="D39" s="1">
        <v>201.17</v>
      </c>
      <c r="E39" s="162">
        <f>'Construction Exempt Material'!B45</f>
        <v>0</v>
      </c>
      <c r="F39" s="179">
        <f t="shared" si="5"/>
        <v>0</v>
      </c>
    </row>
    <row r="40" spans="1:6" x14ac:dyDescent="0.25">
      <c r="A40" s="179">
        <v>200002414</v>
      </c>
      <c r="B40" s="179"/>
      <c r="C40" s="179" t="s">
        <v>532</v>
      </c>
      <c r="D40" s="1">
        <v>271.56</v>
      </c>
      <c r="E40" s="162">
        <f>'Construction Exempt Material'!B46</f>
        <v>0</v>
      </c>
      <c r="F40" s="179">
        <f t="shared" si="5"/>
        <v>0</v>
      </c>
    </row>
    <row r="41" spans="1:6" x14ac:dyDescent="0.25">
      <c r="A41" s="179">
        <v>200002404</v>
      </c>
      <c r="B41" s="179"/>
      <c r="C41" s="179" t="s">
        <v>533</v>
      </c>
      <c r="D41" s="1">
        <v>236.35</v>
      </c>
      <c r="E41" s="162">
        <f>'Construction Exempt Material'!B47</f>
        <v>0</v>
      </c>
      <c r="F41" s="179">
        <f t="shared" si="5"/>
        <v>0</v>
      </c>
    </row>
    <row r="42" spans="1:6" x14ac:dyDescent="0.25">
      <c r="A42" s="179">
        <v>200002411</v>
      </c>
      <c r="B42" s="179"/>
      <c r="C42" s="179" t="s">
        <v>534</v>
      </c>
      <c r="D42" s="1">
        <v>201.17</v>
      </c>
      <c r="E42" s="162">
        <f>'Construction Exempt Material'!B48</f>
        <v>0</v>
      </c>
      <c r="F42" s="179">
        <f t="shared" si="5"/>
        <v>0</v>
      </c>
    </row>
    <row r="43" spans="1:6" x14ac:dyDescent="0.25">
      <c r="A43" s="180">
        <v>100088379</v>
      </c>
      <c r="B43" s="180"/>
      <c r="C43" s="180" t="s">
        <v>535</v>
      </c>
      <c r="D43" s="1">
        <v>247.44</v>
      </c>
      <c r="E43" s="162">
        <f>'Construction Exempt Material'!B49</f>
        <v>0</v>
      </c>
      <c r="F43" s="180">
        <f t="shared" si="5"/>
        <v>0</v>
      </c>
    </row>
    <row r="44" spans="1:6" x14ac:dyDescent="0.25">
      <c r="A44" s="180">
        <v>100088380</v>
      </c>
      <c r="B44" s="180"/>
      <c r="C44" s="180" t="s">
        <v>536</v>
      </c>
      <c r="D44" s="1">
        <v>494.87</v>
      </c>
      <c r="E44" s="162">
        <f>'Construction Exempt Material'!B50</f>
        <v>0</v>
      </c>
      <c r="F44" s="180">
        <f t="shared" si="5"/>
        <v>0</v>
      </c>
    </row>
    <row r="45" spans="1:6" x14ac:dyDescent="0.25">
      <c r="A45" s="180">
        <v>200002564</v>
      </c>
      <c r="B45" s="180"/>
      <c r="C45" s="180" t="s">
        <v>537</v>
      </c>
      <c r="D45" s="1">
        <v>742.32</v>
      </c>
      <c r="E45" s="162">
        <f>'Construction Exempt Material'!B51</f>
        <v>0</v>
      </c>
      <c r="F45" s="180">
        <f t="shared" si="5"/>
        <v>0</v>
      </c>
    </row>
    <row r="46" spans="1:6" x14ac:dyDescent="0.25">
      <c r="A46" s="180">
        <v>200002567</v>
      </c>
      <c r="B46" s="180"/>
      <c r="C46" s="180" t="s">
        <v>538</v>
      </c>
      <c r="D46" s="1">
        <v>989.75</v>
      </c>
      <c r="E46" s="162">
        <f>'Construction Exempt Material'!B52</f>
        <v>0</v>
      </c>
      <c r="F46" s="180">
        <f t="shared" si="5"/>
        <v>0</v>
      </c>
    </row>
    <row r="47" spans="1:6" x14ac:dyDescent="0.25">
      <c r="A47" s="179">
        <v>100089546</v>
      </c>
      <c r="B47" s="179"/>
      <c r="C47" s="179" t="s">
        <v>539</v>
      </c>
      <c r="D47" s="1">
        <v>266.77</v>
      </c>
      <c r="E47" s="162">
        <f>'Construction Exempt Material'!B53</f>
        <v>1</v>
      </c>
      <c r="F47" s="179">
        <f t="shared" si="5"/>
        <v>266.77</v>
      </c>
    </row>
    <row r="48" spans="1:6" x14ac:dyDescent="0.25">
      <c r="A48" s="179">
        <v>100089547</v>
      </c>
      <c r="B48" s="179"/>
      <c r="C48" s="179" t="s">
        <v>540</v>
      </c>
      <c r="D48" s="1">
        <v>533.53</v>
      </c>
      <c r="E48" s="162">
        <f>'Construction Exempt Material'!B54</f>
        <v>1</v>
      </c>
      <c r="F48" s="179">
        <f t="shared" si="5"/>
        <v>533.53</v>
      </c>
    </row>
    <row r="49" spans="1:10" x14ac:dyDescent="0.25">
      <c r="A49" s="179">
        <v>200002565</v>
      </c>
      <c r="B49" s="179"/>
      <c r="C49" s="179" t="s">
        <v>541</v>
      </c>
      <c r="D49" s="1">
        <v>804.41</v>
      </c>
      <c r="E49" s="162">
        <f>'Construction Exempt Material'!B55</f>
        <v>0</v>
      </c>
      <c r="F49" s="179">
        <f t="shared" si="5"/>
        <v>0</v>
      </c>
    </row>
    <row r="50" spans="1:10" x14ac:dyDescent="0.25">
      <c r="A50" s="179">
        <v>200002568</v>
      </c>
      <c r="B50" s="179"/>
      <c r="C50" s="179" t="s">
        <v>542</v>
      </c>
      <c r="D50" s="1">
        <v>1067.08</v>
      </c>
      <c r="E50" s="162">
        <f>'Construction Exempt Material'!B56</f>
        <v>0</v>
      </c>
      <c r="F50" s="179">
        <f t="shared" si="5"/>
        <v>0</v>
      </c>
    </row>
    <row r="51" spans="1:10" x14ac:dyDescent="0.25">
      <c r="A51" s="180">
        <v>200002285</v>
      </c>
      <c r="B51" s="180"/>
      <c r="C51" s="180" t="s">
        <v>543</v>
      </c>
      <c r="D51" s="1">
        <v>323.39</v>
      </c>
      <c r="E51" s="162">
        <f>'Construction Exempt Material'!B57</f>
        <v>0</v>
      </c>
      <c r="F51" s="180">
        <f t="shared" si="5"/>
        <v>0</v>
      </c>
      <c r="J51" s="1" t="s">
        <v>544</v>
      </c>
    </row>
    <row r="52" spans="1:10" x14ac:dyDescent="0.25">
      <c r="A52" s="180">
        <v>200002286</v>
      </c>
      <c r="B52" s="180"/>
      <c r="C52" s="180" t="s">
        <v>545</v>
      </c>
      <c r="D52" s="1">
        <v>646.77</v>
      </c>
      <c r="E52" s="162">
        <f>'Construction Exempt Material'!B58</f>
        <v>0</v>
      </c>
      <c r="F52" s="180">
        <f t="shared" si="5"/>
        <v>0</v>
      </c>
    </row>
    <row r="53" spans="1:10" x14ac:dyDescent="0.25">
      <c r="A53" s="180">
        <v>200004243</v>
      </c>
      <c r="B53" s="180"/>
      <c r="C53" s="180" t="s">
        <v>546</v>
      </c>
      <c r="D53" s="1">
        <v>970.16</v>
      </c>
      <c r="E53" s="162">
        <f>'Construction Exempt Material'!B59</f>
        <v>0</v>
      </c>
      <c r="F53" s="180">
        <f t="shared" si="5"/>
        <v>0</v>
      </c>
    </row>
    <row r="54" spans="1:10" x14ac:dyDescent="0.25">
      <c r="A54" s="180">
        <v>200004245</v>
      </c>
      <c r="B54" s="180"/>
      <c r="C54" s="180" t="s">
        <v>547</v>
      </c>
      <c r="D54" s="1">
        <v>1293.55</v>
      </c>
      <c r="E54" s="162">
        <f>'Construction Exempt Material'!B60</f>
        <v>0</v>
      </c>
      <c r="F54" s="180">
        <f t="shared" si="5"/>
        <v>0</v>
      </c>
    </row>
    <row r="55" spans="1:10" x14ac:dyDescent="0.25">
      <c r="A55" s="179">
        <v>200002410</v>
      </c>
      <c r="B55" s="179"/>
      <c r="C55" s="179" t="s">
        <v>548</v>
      </c>
      <c r="D55" s="1">
        <v>271.56</v>
      </c>
      <c r="E55" s="162">
        <f>'Construction Exempt Material'!B61</f>
        <v>0</v>
      </c>
      <c r="F55" s="179">
        <f t="shared" si="5"/>
        <v>0</v>
      </c>
    </row>
    <row r="56" spans="1:10" x14ac:dyDescent="0.25">
      <c r="A56" s="179">
        <v>200002412</v>
      </c>
      <c r="B56" s="179"/>
      <c r="C56" s="179" t="s">
        <v>549</v>
      </c>
      <c r="D56" s="1">
        <v>543.11</v>
      </c>
      <c r="E56" s="162">
        <f>'Construction Exempt Material'!B62</f>
        <v>0</v>
      </c>
      <c r="F56" s="179">
        <f t="shared" si="5"/>
        <v>0</v>
      </c>
    </row>
    <row r="57" spans="1:10" x14ac:dyDescent="0.25">
      <c r="A57" s="179">
        <v>200002566</v>
      </c>
      <c r="B57" s="179"/>
      <c r="C57" s="179" t="s">
        <v>550</v>
      </c>
      <c r="D57" s="1">
        <v>814.67</v>
      </c>
      <c r="E57" s="162">
        <f>'Construction Exempt Material'!B63</f>
        <v>0</v>
      </c>
      <c r="F57" s="179">
        <f t="shared" si="5"/>
        <v>0</v>
      </c>
    </row>
    <row r="58" spans="1:10" x14ac:dyDescent="0.25">
      <c r="A58" s="179">
        <v>200002569</v>
      </c>
      <c r="B58" s="179"/>
      <c r="C58" s="179" t="s">
        <v>551</v>
      </c>
      <c r="D58" s="1">
        <v>1086.21</v>
      </c>
      <c r="E58" s="162">
        <f>'Construction Exempt Material'!B64</f>
        <v>0</v>
      </c>
      <c r="F58" s="179">
        <f t="shared" si="5"/>
        <v>0</v>
      </c>
    </row>
    <row r="59" spans="1:10" x14ac:dyDescent="0.25">
      <c r="I59" s="1" t="s">
        <v>552</v>
      </c>
      <c r="J59" s="1" t="s">
        <v>553</v>
      </c>
    </row>
    <row r="60" spans="1:10" x14ac:dyDescent="0.25">
      <c r="A60" s="183">
        <v>100083605</v>
      </c>
      <c r="B60" s="179" t="s">
        <v>91</v>
      </c>
      <c r="C60" s="179" t="s">
        <v>554</v>
      </c>
      <c r="D60" s="1">
        <v>91.63</v>
      </c>
      <c r="E60" s="1">
        <f>SUM(H2,K2,H3:H5)</f>
        <v>0</v>
      </c>
      <c r="F60" s="179">
        <f>E60*D60</f>
        <v>0</v>
      </c>
      <c r="I60" s="1" t="s">
        <v>488</v>
      </c>
      <c r="J60" s="1" t="s">
        <v>488</v>
      </c>
    </row>
    <row r="61" spans="1:10" x14ac:dyDescent="0.25">
      <c r="A61" s="179">
        <v>100006143</v>
      </c>
      <c r="B61" s="179" t="s">
        <v>90</v>
      </c>
      <c r="C61" s="179" t="s">
        <v>555</v>
      </c>
      <c r="D61" s="1">
        <v>24.46</v>
      </c>
      <c r="E61" s="1">
        <f>'Construction Exempt Material'!B10</f>
        <v>0</v>
      </c>
      <c r="F61" s="179">
        <f t="shared" ref="F61:F67" si="6">E61*D61</f>
        <v>0</v>
      </c>
      <c r="G61" s="1">
        <f>SUM(I2:I4,L2,I88:I123,L88:L99,I61:I64)</f>
        <v>28</v>
      </c>
      <c r="I61" s="1">
        <f>COUNTIFS('Assignment Tool'!$C$17:$C$2050,"TCF",'Assignment Tool'!$E$17:$E$2050,"2",'Assignment Tool'!$F$17:$F$2050,"HH")</f>
        <v>0</v>
      </c>
      <c r="J61" s="1">
        <f>COUNTIFS('Assignment Tool'!$C$17:$C$2050,"TCF",'Assignment Tool'!$E$17:$E$2050,"12",'Assignment Tool'!$F$17:$F$2050,"HH")</f>
        <v>0</v>
      </c>
    </row>
    <row r="62" spans="1:10" x14ac:dyDescent="0.25">
      <c r="A62" s="179">
        <v>200001922</v>
      </c>
      <c r="B62" s="179" t="s">
        <v>90</v>
      </c>
      <c r="C62" s="179" t="s">
        <v>556</v>
      </c>
      <c r="D62" s="1">
        <v>143.94</v>
      </c>
      <c r="E62" s="1">
        <f>'Construction Exempt Material'!B11</f>
        <v>23</v>
      </c>
      <c r="F62" s="179">
        <f t="shared" si="6"/>
        <v>3310.62</v>
      </c>
      <c r="I62" s="1">
        <f>COUNTIFS('Assignment Tool'!C$17:C$2050,"TCF",'Assignment Tool'!E$17:E$2050,"4",'Assignment Tool'!F$17:F$2050,"HH")</f>
        <v>0</v>
      </c>
    </row>
    <row r="63" spans="1:10" x14ac:dyDescent="0.25">
      <c r="A63" s="184">
        <v>100035465</v>
      </c>
      <c r="B63" s="179" t="s">
        <v>557</v>
      </c>
      <c r="C63" s="179" t="s">
        <v>558</v>
      </c>
      <c r="D63" s="1">
        <v>493.77</v>
      </c>
      <c r="E63" s="1">
        <f>'Construction Exempt Material'!B13</f>
        <v>4</v>
      </c>
      <c r="F63" s="179">
        <f t="shared" si="6"/>
        <v>1975.08</v>
      </c>
      <c r="I63" s="1">
        <f>COUNTIFS('Assignment Tool'!C$17:C$2050,"TCF",'Assignment Tool'!E$17:E$2050,"6",'Assignment Tool'!F$17:F$2050,"HH")</f>
        <v>0</v>
      </c>
    </row>
    <row r="64" spans="1:10" x14ac:dyDescent="0.25">
      <c r="A64" s="179">
        <v>100081409</v>
      </c>
      <c r="B64" s="179" t="s">
        <v>559</v>
      </c>
      <c r="C64" s="179" t="s">
        <v>560</v>
      </c>
      <c r="D64" s="1">
        <v>639.85</v>
      </c>
      <c r="E64" s="1">
        <f>'Construction Exempt Material'!B15</f>
        <v>2</v>
      </c>
      <c r="F64" s="179">
        <f t="shared" si="6"/>
        <v>1279.7</v>
      </c>
      <c r="I64" s="1">
        <f>COUNTIFS('Assignment Tool'!C$17:C$2050,"TCF",'Assignment Tool'!E$17:E$2050,"8",'Assignment Tool'!F$17:F$2050,"HH")</f>
        <v>0</v>
      </c>
    </row>
    <row r="65" spans="1:16" x14ac:dyDescent="0.25">
      <c r="A65" s="179">
        <v>100006191</v>
      </c>
      <c r="B65" s="179" t="s">
        <v>559</v>
      </c>
      <c r="C65" s="179" t="s">
        <v>561</v>
      </c>
      <c r="D65" s="1">
        <v>654.95000000000005</v>
      </c>
      <c r="E65" s="1">
        <f>'Construction Exempt Material'!B16</f>
        <v>0</v>
      </c>
      <c r="F65" s="179">
        <f t="shared" ref="F65" si="7">E65*D65</f>
        <v>0</v>
      </c>
    </row>
    <row r="66" spans="1:16" x14ac:dyDescent="0.25">
      <c r="A66" s="179">
        <v>100006155</v>
      </c>
      <c r="B66" s="179"/>
      <c r="C66" s="179" t="s">
        <v>562</v>
      </c>
      <c r="D66" s="1">
        <v>87.96</v>
      </c>
      <c r="E66" s="1">
        <f>'Construction Exempt Material'!B12</f>
        <v>0</v>
      </c>
      <c r="F66" s="179">
        <f t="shared" si="6"/>
        <v>0</v>
      </c>
      <c r="G66" s="1">
        <f>SUM(I5,I124:I135,J61)</f>
        <v>3</v>
      </c>
    </row>
    <row r="67" spans="1:16" x14ac:dyDescent="0.25">
      <c r="A67" s="179">
        <v>100006173</v>
      </c>
      <c r="B67" s="179"/>
      <c r="C67" s="179" t="s">
        <v>563</v>
      </c>
      <c r="D67" s="1">
        <v>424.23</v>
      </c>
      <c r="E67" s="1">
        <f>'Construction Exempt Material'!B14</f>
        <v>0</v>
      </c>
      <c r="F67" s="179">
        <f t="shared" si="6"/>
        <v>0</v>
      </c>
    </row>
    <row r="69" spans="1:16" x14ac:dyDescent="0.25">
      <c r="A69" s="1">
        <v>100006143</v>
      </c>
      <c r="B69" s="1" t="s">
        <v>90</v>
      </c>
      <c r="C69" s="1" t="s">
        <v>564</v>
      </c>
      <c r="D69" s="1">
        <v>22.66</v>
      </c>
      <c r="E69" s="1">
        <f>'Construction Exempt Material'!B70</f>
        <v>20</v>
      </c>
      <c r="F69" s="126">
        <f>E69*D69</f>
        <v>453.2</v>
      </c>
    </row>
    <row r="70" spans="1:16" x14ac:dyDescent="0.25">
      <c r="A70" s="1">
        <v>100069989</v>
      </c>
      <c r="B70" s="1" t="s">
        <v>565</v>
      </c>
      <c r="C70" s="1" t="s">
        <v>566</v>
      </c>
      <c r="D70" s="1">
        <v>0.65</v>
      </c>
      <c r="E70" s="1">
        <f>'Construction Exempt Material'!B69</f>
        <v>2164</v>
      </c>
      <c r="F70" s="126">
        <f>E70*D70</f>
        <v>1406.6000000000001</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7" t="s">
        <v>571</v>
      </c>
      <c r="D76" s="337">
        <v>1.08</v>
      </c>
    </row>
    <row r="77" spans="1:16" x14ac:dyDescent="0.25">
      <c r="A77" s="1">
        <v>100001338</v>
      </c>
      <c r="B77" s="124" t="s">
        <v>572</v>
      </c>
      <c r="C77" s="337"/>
      <c r="D77" s="337"/>
    </row>
    <row r="78" spans="1:16" x14ac:dyDescent="0.25">
      <c r="A78" s="1">
        <v>100001308</v>
      </c>
      <c r="B78" s="124" t="s">
        <v>573</v>
      </c>
      <c r="C78" s="337" t="s">
        <v>574</v>
      </c>
      <c r="D78" s="337">
        <v>1.62</v>
      </c>
    </row>
    <row r="79" spans="1:16" x14ac:dyDescent="0.25">
      <c r="A79" s="1">
        <v>100001310</v>
      </c>
      <c r="B79" s="124" t="s">
        <v>575</v>
      </c>
      <c r="C79" s="337"/>
      <c r="D79" s="337"/>
    </row>
    <row r="80" spans="1:16" x14ac:dyDescent="0.25">
      <c r="A80" s="1">
        <v>100001338</v>
      </c>
      <c r="B80" s="124"/>
      <c r="C80" s="337"/>
      <c r="D80" s="337"/>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7" t="s">
        <v>469</v>
      </c>
      <c r="H87" s="207" t="s">
        <v>470</v>
      </c>
      <c r="I87" s="207" t="s">
        <v>471</v>
      </c>
      <c r="J87" s="207" t="s">
        <v>472</v>
      </c>
      <c r="K87" s="207" t="s">
        <v>473</v>
      </c>
      <c r="L87" s="207" t="s">
        <v>474</v>
      </c>
      <c r="M87" s="207"/>
      <c r="N87" s="1" t="s">
        <v>475</v>
      </c>
      <c r="O87" s="1" t="s">
        <v>476</v>
      </c>
    </row>
    <row r="88" spans="1:15" x14ac:dyDescent="0.25">
      <c r="A88" s="1">
        <v>200008960</v>
      </c>
      <c r="B88" s="1" t="s">
        <v>584</v>
      </c>
      <c r="C88" s="1" t="s">
        <v>585</v>
      </c>
      <c r="D88" s="1">
        <v>105.07</v>
      </c>
      <c r="E88" s="1">
        <f>SUM(G88:L88)</f>
        <v>0</v>
      </c>
      <c r="G88" s="180">
        <f>COUNTIFS('Assignment Tool'!$E$17:$E$2050, "2", 'Assignment Tool'!$F$17:$F$2050, "POLE", 'Assignment Tool'!$C$17:$C$2050, "FST",'Assignment Tool'!$K$17:$K$2050,"25")</f>
        <v>0</v>
      </c>
      <c r="H88" s="179">
        <f>COUNTIFS('Assignment Tool'!$E$17:$E$2050, "2",'Assignment Tool'!$F$17:$F$2050,"PED", 'Assignment Tool'!$C$17:$C$2050, "FST",'Assignment Tool'!$K$17:$K$2050,"25")</f>
        <v>0</v>
      </c>
      <c r="I88" s="179">
        <f>COUNTIFS('Assignment Tool'!$E$17:$E$2050, "2",'Assignment Tool'!$F$17:$F$2050,"HH", 'Assignment Tool'!$C$17:$C$2050, "FST",'Assignment Tool'!$K$17:$K$2050,"25")</f>
        <v>0</v>
      </c>
      <c r="J88" s="180">
        <f>COUNTIFS('Assignment Tool'!$E$17:$E$2050, "4",'Assignment Tool'!$F$17:$F$2050,"POLE", 'Assignment Tool'!$C$17:$C$2050, "FST",'Assignment Tool'!$K$17:$K$2050,"25")</f>
        <v>0</v>
      </c>
      <c r="K88" s="179">
        <f>COUNTIFS('Assignment Tool'!$E$17:$E$2050, "4",'Assignment Tool'!$F$17:$F$2050,"PED", 'Assignment Tool'!$C$17:$C$2050, "FST",'Assignment Tool'!$K$17:$K$2050,"25")</f>
        <v>0</v>
      </c>
      <c r="L88" s="179">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0">
        <f>COUNTIFS('Assignment Tool'!$E$17:$E$2050, "2", 'Assignment Tool'!$F$17:$F$2050, "POLE", 'Assignment Tool'!$C$17:$C$2050, "FST",'Assignment Tool'!$K$17:$K$2050,"50")</f>
        <v>0</v>
      </c>
      <c r="H89" s="179">
        <f>COUNTIFS('Assignment Tool'!$E$17:$E$2050, "2",'Assignment Tool'!$F$17:$F$2050,"PED", 'Assignment Tool'!$C$17:$C$2050, "FST",'Assignment Tool'!$K$17:$K$2050,"50")</f>
        <v>0</v>
      </c>
      <c r="I89" s="179">
        <f>COUNTIFS('Assignment Tool'!$E$17:$E$2050, "2",'Assignment Tool'!$F$17:$F$2050,"HH", 'Assignment Tool'!$C$17:$C$2050, "FST",'Assignment Tool'!$K$17:$K$2050,"50")</f>
        <v>0</v>
      </c>
      <c r="J89" s="180">
        <f>COUNTIFS('Assignment Tool'!$E$17:$E$2050, "4",'Assignment Tool'!$F$17:$F$2050,"POLE", 'Assignment Tool'!$C$17:$C$2050, "FST",'Assignment Tool'!$K$17:$K$2050,"50")</f>
        <v>0</v>
      </c>
      <c r="K89" s="179">
        <f>COUNTIFS('Assignment Tool'!$E$17:$E$2050, "4",'Assignment Tool'!$F$17:$F$2050,"PED", 'Assignment Tool'!$C$17:$C$2050, "FST",'Assignment Tool'!$K$17:$K$2050,"50")</f>
        <v>0</v>
      </c>
      <c r="L89" s="179">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0">
        <f>COUNTIFS('Assignment Tool'!$E$17:$E$2050, "2", 'Assignment Tool'!$F$17:$F$2050, "POLE", 'Assignment Tool'!$C$17:$C$2050, "FST",'Assignment Tool'!$K$17:$K$2050,"100")</f>
        <v>0</v>
      </c>
      <c r="H90" s="179">
        <f>COUNTIFS('Assignment Tool'!$E$17:$E$2050, "2",'Assignment Tool'!$F$17:$F$2050,"PED", 'Assignment Tool'!$C$17:$C$2050, "FST",'Assignment Tool'!$K$17:$K$2050,"100")</f>
        <v>0</v>
      </c>
      <c r="I90" s="179">
        <f>COUNTIFS('Assignment Tool'!$E$17:$E$2050, "2",'Assignment Tool'!$F$17:$F$2050,"HH", 'Assignment Tool'!$C$17:$C$2050, "FST",'Assignment Tool'!$K$17:$K$2050,"100")</f>
        <v>0</v>
      </c>
      <c r="J90" s="180">
        <f>COUNTIFS('Assignment Tool'!$E$17:$E$2050, "4",'Assignment Tool'!$F$17:$F$2050,"POLE", 'Assignment Tool'!$C$17:$C$2050, "FST",'Assignment Tool'!$K$17:$K$2050,"100")</f>
        <v>0</v>
      </c>
      <c r="K90" s="179">
        <f>COUNTIFS('Assignment Tool'!$E$17:$E$2050, "4",'Assignment Tool'!$F$17:$F$2050,"PED", 'Assignment Tool'!$C$17:$C$2050, "FST",'Assignment Tool'!$K$17:$K$2050,"100")</f>
        <v>0</v>
      </c>
      <c r="L90" s="179">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0">
        <f>COUNTIFS('Assignment Tool'!$E$17:$E$2050, "2", 'Assignment Tool'!$F$17:$F$2050, "POLE", 'Assignment Tool'!$C$17:$C$2050, "FST",'Assignment Tool'!$K$17:$K$2050,"200")</f>
        <v>0</v>
      </c>
      <c r="H91" s="179">
        <f>COUNTIFS('Assignment Tool'!$E$17:$E$2050, "2",'Assignment Tool'!$F$17:$F$2050,"PED", 'Assignment Tool'!$C$17:$C$2050, "FST",'Assignment Tool'!$K$17:$K$2050,"200")</f>
        <v>0</v>
      </c>
      <c r="I91" s="179">
        <f>COUNTIFS('Assignment Tool'!$E$17:$E$2050, "2",'Assignment Tool'!$F$17:$F$2050,"HH", 'Assignment Tool'!$C$17:$C$2050, "FST",'Assignment Tool'!$K$17:$K$2050,"200")</f>
        <v>0</v>
      </c>
      <c r="J91" s="180">
        <f>COUNTIFS('Assignment Tool'!$E$17:$E$2050, "4",'Assignment Tool'!$F$17:$F$2050,"POLE", 'Assignment Tool'!$C$17:$C$2050, "FST",'Assignment Tool'!$K$17:$K$2050,"200")</f>
        <v>0</v>
      </c>
      <c r="K91" s="179">
        <f>COUNTIFS('Assignment Tool'!$E$17:$E$2050, "4",'Assignment Tool'!$F$17:$F$2050,"PED", 'Assignment Tool'!$C$17:$C$2050, "FST",'Assignment Tool'!$K$17:$K$2050,"200")</f>
        <v>0</v>
      </c>
      <c r="L91" s="179">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0">
        <f>COUNTIFS('Assignment Tool'!$E$17:$E$2050, "2", 'Assignment Tool'!$F$17:$F$2050, "POLE", 'Assignment Tool'!$C$17:$C$2050, "FST",'Assignment Tool'!$K$17:$K$2050,"300")</f>
        <v>0</v>
      </c>
      <c r="H92" s="179">
        <f>COUNTIFS('Assignment Tool'!$E$17:$E$2050, "2",'Assignment Tool'!$F$17:$F$2050,"PED", 'Assignment Tool'!$C$17:$C$2050, "FST",'Assignment Tool'!$K$17:$K$2050,"300")</f>
        <v>0</v>
      </c>
      <c r="I92" s="179">
        <f>COUNTIFS('Assignment Tool'!$E$17:$E$2050, "2",'Assignment Tool'!$F$17:$F$2050,"HH", 'Assignment Tool'!$C$17:$C$2050, "FST",'Assignment Tool'!$K$17:$K$2050,"300")</f>
        <v>0</v>
      </c>
      <c r="J92" s="180">
        <f>COUNTIFS('Assignment Tool'!$E$17:$E$2050, "4",'Assignment Tool'!$F$17:$F$2050,"POLE", 'Assignment Tool'!$C$17:$C$2050, "FST",'Assignment Tool'!$K$17:$K$2050,"300")</f>
        <v>0</v>
      </c>
      <c r="K92" s="179">
        <f>COUNTIFS('Assignment Tool'!$E$17:$E$2050, "4",'Assignment Tool'!$F$17:$F$2050,"PED", 'Assignment Tool'!$C$17:$C$2050, "FST",'Assignment Tool'!$K$17:$K$2050,"300")</f>
        <v>0</v>
      </c>
      <c r="L92" s="179">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0">
        <f>COUNTIFS('Assignment Tool'!$E$17:$E$2050, "2", 'Assignment Tool'!$F$17:$F$2050, "POLE", 'Assignment Tool'!$C$17:$C$2050, "FST",'Assignment Tool'!$K$17:$K$2050,"400")</f>
        <v>0</v>
      </c>
      <c r="H93" s="179">
        <f>COUNTIFS('Assignment Tool'!$E$17:$E$2050, "2",'Assignment Tool'!$F$17:$F$2050,"PED", 'Assignment Tool'!$C$17:$C$2050, "FST",'Assignment Tool'!$K$17:$K$2050,"400")</f>
        <v>0</v>
      </c>
      <c r="I93" s="179">
        <f>COUNTIFS('Assignment Tool'!$E$17:$E$2050, "2",'Assignment Tool'!$F$17:$F$2050,"HH", 'Assignment Tool'!$C$17:$C$2050, "FST",'Assignment Tool'!$K$17:$K$2050,"400")</f>
        <v>0</v>
      </c>
      <c r="J93" s="180">
        <f>COUNTIFS('Assignment Tool'!$E$17:$E$2050, "4",'Assignment Tool'!$F$17:$F$2050,"POLE", 'Assignment Tool'!$C$17:$C$2050, "FST",'Assignment Tool'!$K$17:$K$2050,"400")</f>
        <v>0</v>
      </c>
      <c r="K93" s="179">
        <f>COUNTIFS('Assignment Tool'!$E$17:$E$2050, "4",'Assignment Tool'!$F$17:$F$2050,"PED", 'Assignment Tool'!$C$17:$C$2050, "FST",'Assignment Tool'!$K$17:$K$2050,"400")</f>
        <v>0</v>
      </c>
      <c r="L93" s="179">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0">
        <f>COUNTIFS('Assignment Tool'!$E$17:$E$2050, "2", 'Assignment Tool'!$F$17:$F$2050, "POLE", 'Assignment Tool'!$C$17:$C$2050, "FST",'Assignment Tool'!$K$17:$K$2050,"500")</f>
        <v>0</v>
      </c>
      <c r="H94" s="179">
        <f>COUNTIFS('Assignment Tool'!$E$17:$E$2050, "2",'Assignment Tool'!$F$17:$F$2050,"PED", 'Assignment Tool'!$C$17:$C$2050, "FST",'Assignment Tool'!$K$17:$K$2050,"500")</f>
        <v>0</v>
      </c>
      <c r="I94" s="179">
        <f>COUNTIFS('Assignment Tool'!$E$17:$E$2050, "2",'Assignment Tool'!$F$17:$F$2050,"HH", 'Assignment Tool'!$C$17:$C$2050, "FST",'Assignment Tool'!$K$17:$K$2050,"500")</f>
        <v>0</v>
      </c>
      <c r="J94" s="180">
        <f>COUNTIFS('Assignment Tool'!$E$17:$E$2050, "4",'Assignment Tool'!$F$17:$F$2050,"POLE", 'Assignment Tool'!$C$17:$C$2050, "FST",'Assignment Tool'!$K$17:$K$2050,"500")</f>
        <v>0</v>
      </c>
      <c r="K94" s="179">
        <f>COUNTIFS('Assignment Tool'!$E$17:$E$2050, "4",'Assignment Tool'!$F$17:$F$2050,"PED", 'Assignment Tool'!$C$17:$C$2050, "FST",'Assignment Tool'!$K$17:$K$2050,"500")</f>
        <v>0</v>
      </c>
      <c r="L94" s="179">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0">
        <f>COUNTIFS('Assignment Tool'!$E$17:$E$2050, "2", 'Assignment Tool'!$F$17:$F$2050, "POLE", 'Assignment Tool'!$C$17:$C$2050, "FST",'Assignment Tool'!$K$17:$K$2050,"600")</f>
        <v>0</v>
      </c>
      <c r="H95" s="179">
        <f>COUNTIFS('Assignment Tool'!$E$17:$E$2050, "2",'Assignment Tool'!$F$17:$F$2050,"PED", 'Assignment Tool'!$C$17:$C$2050, "FST",'Assignment Tool'!$K$17:$K$2050,"600")</f>
        <v>0</v>
      </c>
      <c r="I95" s="179">
        <f>COUNTIFS('Assignment Tool'!$E$17:$E$2050, "2",'Assignment Tool'!$F$17:$F$2050,"HH", 'Assignment Tool'!$C$17:$C$2050, "FST",'Assignment Tool'!$K$17:$K$2050,"600")</f>
        <v>0</v>
      </c>
      <c r="J95" s="180">
        <f>COUNTIFS('Assignment Tool'!$E$17:$E$2050, "4",'Assignment Tool'!$F$17:$F$2050,"POLE", 'Assignment Tool'!$C$17:$C$2050, "FST",'Assignment Tool'!$K$17:$K$2050,"600")</f>
        <v>0</v>
      </c>
      <c r="K95" s="179">
        <f>COUNTIFS('Assignment Tool'!$E$17:$E$2050, "4",'Assignment Tool'!$F$17:$F$2050,"PED", 'Assignment Tool'!$C$17:$C$2050, "FST",'Assignment Tool'!$K$17:$K$2050,"600")</f>
        <v>0</v>
      </c>
      <c r="L95" s="179">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0">
        <f>COUNTIFS('Assignment Tool'!$E$17:$E$2050, "2", 'Assignment Tool'!$F$17:$F$2050, "POLE", 'Assignment Tool'!$C$17:$C$2050, "FST",'Assignment Tool'!$K$17:$K$2050,"700")</f>
        <v>0</v>
      </c>
      <c r="H96" s="179">
        <f>COUNTIFS('Assignment Tool'!$E$17:$E$2050, "2",'Assignment Tool'!$F$17:$F$2050,"PED", 'Assignment Tool'!$C$17:$C$2050, "FST",'Assignment Tool'!$K$17:$K$2050,"700")</f>
        <v>0</v>
      </c>
      <c r="I96" s="179">
        <f>COUNTIFS('Assignment Tool'!$E$17:$E$2050, "2",'Assignment Tool'!$F$17:$F$2050,"HH", 'Assignment Tool'!$C$17:$C$2050, "FST",'Assignment Tool'!$K$17:$K$2050,"700")</f>
        <v>0</v>
      </c>
      <c r="J96" s="180">
        <f>COUNTIFS('Assignment Tool'!$E$17:$E$2050, "4",'Assignment Tool'!$F$17:$F$2050,"POLE", 'Assignment Tool'!$C$17:$C$2050, "FST",'Assignment Tool'!$K$17:$K$2050,"700")</f>
        <v>0</v>
      </c>
      <c r="K96" s="179">
        <f>COUNTIFS('Assignment Tool'!$E$17:$E$2050, "4",'Assignment Tool'!$F$17:$F$2050,"PED", 'Assignment Tool'!$C$17:$C$2050, "FST",'Assignment Tool'!$K$17:$K$2050,"700")</f>
        <v>0</v>
      </c>
      <c r="L96" s="179">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0">
        <f>COUNTIFS('Assignment Tool'!$E$17:$E$2050, "2", 'Assignment Tool'!$F$17:$F$2050, "POLE", 'Assignment Tool'!$C$17:$C$2050, "FST",'Assignment Tool'!$K$17:$K$2050,"800")</f>
        <v>0</v>
      </c>
      <c r="H97" s="179">
        <f>COUNTIFS('Assignment Tool'!$E$17:$E$2050, "2",'Assignment Tool'!$F$17:$F$2050,"PED", 'Assignment Tool'!$C$17:$C$2050, "FST",'Assignment Tool'!$K$17:$K$2050,"800")</f>
        <v>0</v>
      </c>
      <c r="I97" s="179">
        <f>COUNTIFS('Assignment Tool'!$E$17:$E$2050, "2",'Assignment Tool'!$F$17:$F$2050,"HH", 'Assignment Tool'!$C$17:$C$2050, "FST",'Assignment Tool'!$K$17:$K$2050,"800")</f>
        <v>0</v>
      </c>
      <c r="J97" s="180">
        <f>COUNTIFS('Assignment Tool'!$E$17:$E$2050, "4",'Assignment Tool'!$F$17:$F$2050,"POLE", 'Assignment Tool'!$C$17:$C$2050, "FST",'Assignment Tool'!$K$17:$K$2050,"800")</f>
        <v>0</v>
      </c>
      <c r="K97" s="179">
        <f>COUNTIFS('Assignment Tool'!$E$17:$E$2050, "4",'Assignment Tool'!$F$17:$F$2050,"PED", 'Assignment Tool'!$C$17:$C$2050, "FST",'Assignment Tool'!$K$17:$K$2050,"800")</f>
        <v>0</v>
      </c>
      <c r="L97" s="179">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0">
        <f>COUNTIFS('Assignment Tool'!$E$17:$E$2050, "2", 'Assignment Tool'!$F$17:$F$2050, "POLE", 'Assignment Tool'!$C$17:$C$2050, "FST",'Assignment Tool'!$K$17:$K$2050,"900")</f>
        <v>0</v>
      </c>
      <c r="H98" s="179">
        <f>COUNTIFS('Assignment Tool'!$E$17:$E$2050, "2",'Assignment Tool'!$F$17:$F$2050,"PED", 'Assignment Tool'!$C$17:$C$2050, "FST",'Assignment Tool'!$K$17:$K$2050,"900")</f>
        <v>0</v>
      </c>
      <c r="I98" s="179">
        <f>COUNTIFS('Assignment Tool'!$E$17:$E$2050, "2",'Assignment Tool'!$F$17:$F$2050,"HH", 'Assignment Tool'!$C$17:$C$2050, "FST",'Assignment Tool'!$K$17:$K$2050,"900")</f>
        <v>0</v>
      </c>
      <c r="J98" s="180">
        <f>COUNTIFS('Assignment Tool'!$E$17:$E$2050, "4",'Assignment Tool'!$F$17:$F$2050,"POLE", 'Assignment Tool'!$C$17:$C$2050, "FST",'Assignment Tool'!$K$17:$K$2050,"900")</f>
        <v>0</v>
      </c>
      <c r="K98" s="179">
        <f>COUNTIFS('Assignment Tool'!$E$17:$E$2050, "4",'Assignment Tool'!$F$17:$F$2050,"PED", 'Assignment Tool'!$C$17:$C$2050, "FST",'Assignment Tool'!$K$17:$K$2050,"900")</f>
        <v>0</v>
      </c>
      <c r="L98" s="179">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0">
        <f>COUNTIFS('Assignment Tool'!$E$17:$E$2050, "2", 'Assignment Tool'!$F$17:$F$2050, "POLE", 'Assignment Tool'!$C$17:$C$2050, "FST",'Assignment Tool'!$K$17:$K$2050,"1000")</f>
        <v>0</v>
      </c>
      <c r="H99" s="179">
        <f>COUNTIFS('Assignment Tool'!$E$17:$E$2050, "2",'Assignment Tool'!$F$17:$F$2050,"PED", 'Assignment Tool'!$C$17:$C$2050, "FST",'Assignment Tool'!$K$17:$K$2050,"1000")</f>
        <v>0</v>
      </c>
      <c r="I99" s="179">
        <f>COUNTIFS('Assignment Tool'!$E$17:$E$2050, "2",'Assignment Tool'!$F$17:$F$2050,"HH", 'Assignment Tool'!$C$17:$C$2050, "FST",'Assignment Tool'!$K$17:$K$2050,"1000")</f>
        <v>0</v>
      </c>
      <c r="J99" s="180">
        <f>COUNTIFS('Assignment Tool'!$E$17:$E$2050, "4",'Assignment Tool'!$F$17:$F$2050,"POLE", 'Assignment Tool'!$C$17:$C$2050, "FST",'Assignment Tool'!$K$17:$K$2050,"1000")</f>
        <v>0</v>
      </c>
      <c r="K99" s="179">
        <f>COUNTIFS('Assignment Tool'!$E$17:$E$2050, "4",'Assignment Tool'!$F$17:$F$2050,"PED", 'Assignment Tool'!$C$17:$C$2050, "FST",'Assignment Tool'!$K$17:$K$2050,"1000")</f>
        <v>0</v>
      </c>
      <c r="L99" s="179">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0">
        <f>COUNTIFS('Assignment Tool'!$E$17:$E$2050, "6", 'Assignment Tool'!$F$17:$F$2050, "POLE", 'Assignment Tool'!$C$17:$C$2050, "FST",'Assignment Tool'!$K$17:$K$2050,"25")</f>
        <v>0</v>
      </c>
      <c r="H100" s="179">
        <f>COUNTIFS('Assignment Tool'!$E$17:$E$2050, "6", 'Assignment Tool'!$F$17:$F$2050, "PED", 'Assignment Tool'!$C$17:$C$2050, "FST",'Assignment Tool'!$K$17:$K$2050,"25")</f>
        <v>0</v>
      </c>
      <c r="I100" s="179">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0">
        <f>COUNTIFS('Assignment Tool'!$E$17:$E$2050, "6", 'Assignment Tool'!$F$17:$F$2050, "POLE", 'Assignment Tool'!$C$17:$C$2050, "FST",'Assignment Tool'!$K$17:$K$2050,"50")</f>
        <v>0</v>
      </c>
      <c r="H101" s="179">
        <f>COUNTIFS('Assignment Tool'!$E$17:$E$2050, "6", 'Assignment Tool'!$F$17:$F$2050, "PED", 'Assignment Tool'!$C$17:$C$2050, "FST",'Assignment Tool'!$K$17:$K$2050,"50")</f>
        <v>0</v>
      </c>
      <c r="I101" s="179">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0">
        <f>COUNTIFS('Assignment Tool'!$E$17:$E$2050, "6", 'Assignment Tool'!$F$17:$F$2050, "POLE", 'Assignment Tool'!$C$17:$C$2050, "FST",'Assignment Tool'!$K$17:$K$2050,"100")</f>
        <v>0</v>
      </c>
      <c r="H102" s="179">
        <f>COUNTIFS('Assignment Tool'!$E$17:$E$2050, "6", 'Assignment Tool'!$F$17:$F$2050, "PED", 'Assignment Tool'!$C$17:$C$2050, "FST",'Assignment Tool'!$K$17:$K$2050,"100")</f>
        <v>0</v>
      </c>
      <c r="I102" s="179">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0">
        <f>COUNTIFS('Assignment Tool'!$E$17:$E$2050, "6", 'Assignment Tool'!$F$17:$F$2050, "POLE", 'Assignment Tool'!$C$17:$C$2050, "FST",'Assignment Tool'!$K$17:$K$2050,"200")</f>
        <v>0</v>
      </c>
      <c r="H103" s="179">
        <f>COUNTIFS('Assignment Tool'!$E$17:$E$2050, "6", 'Assignment Tool'!$F$17:$F$2050, "PED", 'Assignment Tool'!$C$17:$C$2050, "FST",'Assignment Tool'!$K$17:$K$2050,"200")</f>
        <v>0</v>
      </c>
      <c r="I103" s="179">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0">
        <f>COUNTIFS('Assignment Tool'!$E$17:$E$2050, "6", 'Assignment Tool'!$F$17:$F$2050, "POLE", 'Assignment Tool'!$C$17:$C$2050, "FST",'Assignment Tool'!$K$17:$K$2050,"300")</f>
        <v>0</v>
      </c>
      <c r="H104" s="179">
        <f>COUNTIFS('Assignment Tool'!$E$17:$E$2050, "6", 'Assignment Tool'!$F$17:$F$2050, "PED", 'Assignment Tool'!$C$17:$C$2050, "FST",'Assignment Tool'!$K$17:$K$2050,"300")</f>
        <v>0</v>
      </c>
      <c r="I104" s="179">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0">
        <f>COUNTIFS('Assignment Tool'!$E$17:$E$2050, "6", 'Assignment Tool'!$F$17:$F$2050, "POLE", 'Assignment Tool'!$C$17:$C$2050, "FST",'Assignment Tool'!$K$17:$K$2050,"400")</f>
        <v>0</v>
      </c>
      <c r="H105" s="179">
        <f>COUNTIFS('Assignment Tool'!$E$17:$E$2050, "6", 'Assignment Tool'!$F$17:$F$2050, "PED", 'Assignment Tool'!$C$17:$C$2050, "FST",'Assignment Tool'!$K$17:$K$2050,"400")</f>
        <v>0</v>
      </c>
      <c r="I105" s="179">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0">
        <f>COUNTIFS('Assignment Tool'!$E$17:$E$2050, "6", 'Assignment Tool'!$F$17:$F$2050, "POLE", 'Assignment Tool'!$C$17:$C$2050, "FST",'Assignment Tool'!$K$17:$K$2050,"500")</f>
        <v>0</v>
      </c>
      <c r="H106" s="179">
        <f>COUNTIFS('Assignment Tool'!$E$17:$E$2050, "6", 'Assignment Tool'!$F$17:$F$2050, "PED", 'Assignment Tool'!$C$17:$C$2050, "FST",'Assignment Tool'!$K$17:$K$2050,"500")</f>
        <v>0</v>
      </c>
      <c r="I106" s="179">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0">
        <f>COUNTIFS('Assignment Tool'!$E$17:$E$2050, "6", 'Assignment Tool'!$F$17:$F$2050, "POLE", 'Assignment Tool'!$C$17:$C$2050, "FST",'Assignment Tool'!$K$17:$K$2050,"600")</f>
        <v>0</v>
      </c>
      <c r="H107" s="179">
        <f>COUNTIFS('Assignment Tool'!$E$17:$E$2050, "6", 'Assignment Tool'!$F$17:$F$2050, "PED", 'Assignment Tool'!$C$17:$C$2050, "FST",'Assignment Tool'!$K$17:$K$2050,"600")</f>
        <v>0</v>
      </c>
      <c r="I107" s="179">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0">
        <f>COUNTIFS('Assignment Tool'!$E$17:$E$2050, "6", 'Assignment Tool'!$F$17:$F$2050, "POLE", 'Assignment Tool'!$C$17:$C$2050, "FST",'Assignment Tool'!$K$17:$K$2050,"700")</f>
        <v>0</v>
      </c>
      <c r="H108" s="179">
        <f>COUNTIFS('Assignment Tool'!$E$17:$E$2050, "6", 'Assignment Tool'!$F$17:$F$2050, "PED", 'Assignment Tool'!$C$17:$C$2050, "FST",'Assignment Tool'!$K$17:$K$2050,"700")</f>
        <v>0</v>
      </c>
      <c r="I108" s="179">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0">
        <f>COUNTIFS('Assignment Tool'!$E$17:$E$2050, "6", 'Assignment Tool'!$F$17:$F$2050, "POLE", 'Assignment Tool'!$C$17:$C$2050, "FST",'Assignment Tool'!$K$17:$K$2050,"800")</f>
        <v>0</v>
      </c>
      <c r="H109" s="179">
        <f>COUNTIFS('Assignment Tool'!$E$17:$E$2050, "6", 'Assignment Tool'!$F$17:$F$2050, "PED", 'Assignment Tool'!$C$17:$C$2050, "FST",'Assignment Tool'!$K$17:$K$2050,"800")</f>
        <v>0</v>
      </c>
      <c r="I109" s="179">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0">
        <f>COUNTIFS('Assignment Tool'!$E$17:$E$2050, "6", 'Assignment Tool'!$F$17:$F$2050, "POLE", 'Assignment Tool'!$C$17:$C$2050, "FST",'Assignment Tool'!$K$17:$K$2050,"900")</f>
        <v>0</v>
      </c>
      <c r="H110" s="179">
        <f>COUNTIFS('Assignment Tool'!$E$17:$E$2050, "6", 'Assignment Tool'!$F$17:$F$2050, "PED", 'Assignment Tool'!$C$17:$C$2050, "FST",'Assignment Tool'!$K$17:$K$2050,"900")</f>
        <v>0</v>
      </c>
      <c r="I110" s="179">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0">
        <f>COUNTIFS('Assignment Tool'!$E$17:$E$2050, "6", 'Assignment Tool'!$F$17:$F$2050, "POLE", 'Assignment Tool'!$C$17:$C$2050, "FST",'Assignment Tool'!$K$17:$K$2050,"1000")</f>
        <v>0</v>
      </c>
      <c r="H111" s="179">
        <f>COUNTIFS('Assignment Tool'!$E$17:$E$2050, "6", 'Assignment Tool'!$F$17:$F$2050, "PED", 'Assignment Tool'!$C$17:$C$2050, "FST",'Assignment Tool'!$K$17:$K$2050,"1000")</f>
        <v>0</v>
      </c>
      <c r="I111" s="179">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0">
        <f>COUNTIFS('Assignment Tool'!$E$17:$E$2050, "8", 'Assignment Tool'!$F$17:$F$2050, "POLE", 'Assignment Tool'!$C$17:$C$2050, "FST",'Assignment Tool'!$K$17:$K$2050,"25")</f>
        <v>0</v>
      </c>
      <c r="H112" s="179">
        <f>COUNTIFS('Assignment Tool'!$E$17:$E$2050, "8", 'Assignment Tool'!$F$17:$F$2050, "PED", 'Assignment Tool'!$C$17:$C$2050, "FST",'Assignment Tool'!$K$17:$K$2050,"25")</f>
        <v>0</v>
      </c>
      <c r="I112" s="179">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0">
        <f>COUNTIFS('Assignment Tool'!$E$17:$E$2050, "8", 'Assignment Tool'!$F$17:$F$2050, "POLE", 'Assignment Tool'!$C$17:$C$2050, "FST",'Assignment Tool'!$K$17:$K$2050,"50")</f>
        <v>0</v>
      </c>
      <c r="H113" s="179">
        <f>COUNTIFS('Assignment Tool'!$E$17:$E$2050, "8", 'Assignment Tool'!$F$17:$F$2050, "PED", 'Assignment Tool'!$C$17:$C$2050, "FST",'Assignment Tool'!$K$17:$K$2050,"50")</f>
        <v>0</v>
      </c>
      <c r="I113" s="179">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0">
        <f>COUNTIFS('Assignment Tool'!$E$17:$E$2050, "8", 'Assignment Tool'!$F$17:$F$2050, "POLE", 'Assignment Tool'!$C$17:$C$2050, "FST",'Assignment Tool'!$K$17:$K$2050,"100")</f>
        <v>0</v>
      </c>
      <c r="H114" s="179">
        <f>COUNTIFS('Assignment Tool'!$E$17:$E$2050, "8", 'Assignment Tool'!$F$17:$F$2050, "PED", 'Assignment Tool'!$C$17:$C$2050, "FST",'Assignment Tool'!$K$17:$K$2050,"100")</f>
        <v>0</v>
      </c>
      <c r="I114" s="179">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0">
        <f>COUNTIFS('Assignment Tool'!$E$17:$E$2050, "8", 'Assignment Tool'!$F$17:$F$2050, "POLE", 'Assignment Tool'!$C$17:$C$2050, "FST",'Assignment Tool'!$K$17:$K$2050,"200")</f>
        <v>0</v>
      </c>
      <c r="H115" s="179">
        <f>COUNTIFS('Assignment Tool'!$E$17:$E$2050, "8", 'Assignment Tool'!$F$17:$F$2050, "PED", 'Assignment Tool'!$C$17:$C$2050, "FST",'Assignment Tool'!$K$17:$K$2050,"200")</f>
        <v>0</v>
      </c>
      <c r="I115" s="179">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0">
        <f>COUNTIFS('Assignment Tool'!$E$17:$E$2050, "8", 'Assignment Tool'!$F$17:$F$2050, "POLE", 'Assignment Tool'!$C$17:$C$2050, "FST",'Assignment Tool'!$K$17:$K$2050,"300")</f>
        <v>0</v>
      </c>
      <c r="H116" s="179">
        <f>COUNTIFS('Assignment Tool'!$E$17:$E$2050, "8", 'Assignment Tool'!$F$17:$F$2050, "PED", 'Assignment Tool'!$C$17:$C$2050, "FST",'Assignment Tool'!$K$17:$K$2050,"300")</f>
        <v>0</v>
      </c>
      <c r="I116" s="179">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0">
        <f>COUNTIFS('Assignment Tool'!$E$17:$E$2050, "8", 'Assignment Tool'!$F$17:$F$2050, "POLE", 'Assignment Tool'!$C$17:$C$2050, "FST",'Assignment Tool'!$K$17:$K$2050,"400")</f>
        <v>0</v>
      </c>
      <c r="H117" s="179">
        <f>COUNTIFS('Assignment Tool'!$E$17:$E$2050, "8", 'Assignment Tool'!$F$17:$F$2050, "PED", 'Assignment Tool'!$C$17:$C$2050, "FST",'Assignment Tool'!$K$17:$K$2050,"400")</f>
        <v>0</v>
      </c>
      <c r="I117" s="179">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0">
        <f>COUNTIFS('Assignment Tool'!$E$17:$E$2050, "8", 'Assignment Tool'!$F$17:$F$2050, "POLE", 'Assignment Tool'!$C$17:$C$2050, "FST",'Assignment Tool'!$K$17:$K$2050,"500")</f>
        <v>0</v>
      </c>
      <c r="H118" s="179">
        <f>COUNTIFS('Assignment Tool'!$E$17:$E$2050, "8", 'Assignment Tool'!$F$17:$F$2050, "PED", 'Assignment Tool'!$C$17:$C$2050, "FST",'Assignment Tool'!$K$17:$K$2050,"500")</f>
        <v>0</v>
      </c>
      <c r="I118" s="179">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0">
        <f>COUNTIFS('Assignment Tool'!$E$17:$E$2050, "8", 'Assignment Tool'!$F$17:$F$2050, "POLE", 'Assignment Tool'!$C$17:$C$2050, "FST",'Assignment Tool'!$K$17:$K$2050,"600")</f>
        <v>0</v>
      </c>
      <c r="H119" s="179">
        <f>COUNTIFS('Assignment Tool'!$E$17:$E$2050, "8", 'Assignment Tool'!$F$17:$F$2050, "PED", 'Assignment Tool'!$C$17:$C$2050, "FST",'Assignment Tool'!$K$17:$K$2050,"600")</f>
        <v>0</v>
      </c>
      <c r="I119" s="179">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0">
        <f>COUNTIFS('Assignment Tool'!$E$17:$E$2050, "8", 'Assignment Tool'!$F$17:$F$2050, "POLE", 'Assignment Tool'!$C$17:$C$2050, "FST",'Assignment Tool'!$K$17:$K$2050,"700")</f>
        <v>0</v>
      </c>
      <c r="H120" s="179">
        <f>COUNTIFS('Assignment Tool'!$E$17:$E$2050, "8", 'Assignment Tool'!$F$17:$F$2050, "PED", 'Assignment Tool'!$C$17:$C$2050, "FST",'Assignment Tool'!$K$17:$K$2050,"700")</f>
        <v>0</v>
      </c>
      <c r="I120" s="179">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0">
        <f>COUNTIFS('Assignment Tool'!$E$17:$E$2050, "8", 'Assignment Tool'!$F$17:$F$2050, "POLE", 'Assignment Tool'!$C$17:$C$2050, "FST",'Assignment Tool'!$K$17:$K$2050,"800")</f>
        <v>0</v>
      </c>
      <c r="H121" s="179">
        <f>COUNTIFS('Assignment Tool'!$E$17:$E$2050, "8", 'Assignment Tool'!$F$17:$F$2050, "PED", 'Assignment Tool'!$C$17:$C$2050, "FST",'Assignment Tool'!$K$17:$K$2050,"800")</f>
        <v>0</v>
      </c>
      <c r="I121" s="179">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0">
        <f>COUNTIFS('Assignment Tool'!$E$17:$E$2050, "8", 'Assignment Tool'!$F$17:$F$2050, "POLE", 'Assignment Tool'!$C$17:$C$2050, "FST",'Assignment Tool'!$K$17:$K$2050,"900")</f>
        <v>0</v>
      </c>
      <c r="H122" s="179">
        <f>COUNTIFS('Assignment Tool'!$E$17:$E$2050, "8", 'Assignment Tool'!$F$17:$F$2050, "PED", 'Assignment Tool'!$C$17:$C$2050, "FST",'Assignment Tool'!$K$17:$K$2050,"900")</f>
        <v>0</v>
      </c>
      <c r="I122" s="179">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0">
        <f>COUNTIFS('Assignment Tool'!$E$17:$E$2050, "8", 'Assignment Tool'!$F$17:$F$2050, "POLE", 'Assignment Tool'!$C$17:$C$2050, "FST",'Assignment Tool'!$K$17:$K$2050,"1000")</f>
        <v>0</v>
      </c>
      <c r="H123" s="179">
        <f>COUNTIFS('Assignment Tool'!$E$17:$E$2050, "8", 'Assignment Tool'!$F$17:$F$2050, "PED", 'Assignment Tool'!$C$17:$C$2050, "FST",'Assignment Tool'!$K$17:$K$2050,"1000")</f>
        <v>0</v>
      </c>
      <c r="I123" s="179">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0">
        <f>COUNTIFS('Assignment Tool'!$E$17:$E$2050, "12", 'Assignment Tool'!$F$17:$F$2050, "POLE", 'Assignment Tool'!$C$17:$C$2050, "FST",'Assignment Tool'!$K$17:$K$2050,"25")</f>
        <v>0</v>
      </c>
      <c r="H124" s="179">
        <f>COUNTIFS('Assignment Tool'!$E$17:$E$2050, "12", 'Assignment Tool'!$F$17:$F$2050, "PED", 'Assignment Tool'!$C$17:$C$2050, "FST",'Assignment Tool'!$K$17:$K$2050,"25")</f>
        <v>0</v>
      </c>
      <c r="I124" s="179">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0">
        <f>COUNTIFS('Assignment Tool'!$E$17:$E$2050, "12", 'Assignment Tool'!$F$17:$F$2050, "POLE", 'Assignment Tool'!$C$17:$C$2050, "FST",'Assignment Tool'!$K$17:$K$2050,"50")</f>
        <v>0</v>
      </c>
      <c r="H125" s="179">
        <f>COUNTIFS('Assignment Tool'!$E$17:$E$2050, "12", 'Assignment Tool'!$F$17:$F$2050, "PED", 'Assignment Tool'!$C$17:$C$2050, "FST",'Assignment Tool'!$K$17:$K$2050,"50")</f>
        <v>0</v>
      </c>
      <c r="I125" s="179">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0">
        <f>COUNTIFS('Assignment Tool'!$E$17:$E$2050, "12", 'Assignment Tool'!$F$17:$F$2050, "POLE", 'Assignment Tool'!$C$17:$C$2050, "FST",'Assignment Tool'!$K$17:$K$2050,"100")</f>
        <v>0</v>
      </c>
      <c r="H126" s="179">
        <f>COUNTIFS('Assignment Tool'!$E$17:$E$2050, "12", 'Assignment Tool'!$F$17:$F$2050, "PED", 'Assignment Tool'!$C$17:$C$2050, "FST",'Assignment Tool'!$K$17:$K$2050,"100")</f>
        <v>0</v>
      </c>
      <c r="I126" s="179">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0">
        <f>COUNTIFS('Assignment Tool'!$E$17:$E$2050, "12", 'Assignment Tool'!$F$17:$F$2050, "POLE", 'Assignment Tool'!$C$17:$C$2050, "FST",'Assignment Tool'!$K$17:$K$2050,"200")</f>
        <v>0</v>
      </c>
      <c r="H127" s="179">
        <f>COUNTIFS('Assignment Tool'!$E$17:$E$2050, "12", 'Assignment Tool'!$F$17:$F$2050, "PED", 'Assignment Tool'!$C$17:$C$2050, "FST",'Assignment Tool'!$K$17:$K$2050,"200")</f>
        <v>0</v>
      </c>
      <c r="I127" s="179">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0">
        <f>COUNTIFS('Assignment Tool'!$E$17:$E$2050, "12", 'Assignment Tool'!$F$17:$F$2050, "POLE", 'Assignment Tool'!$C$17:$C$2050, "FST",'Assignment Tool'!$K$17:$K$2050,"300")</f>
        <v>0</v>
      </c>
      <c r="H128" s="179">
        <f>COUNTIFS('Assignment Tool'!$E$17:$E$2050, "12", 'Assignment Tool'!$F$17:$F$2050, "PED", 'Assignment Tool'!$C$17:$C$2050, "FST",'Assignment Tool'!$K$17:$K$2050,"300")</f>
        <v>0</v>
      </c>
      <c r="I128" s="179">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0">
        <f>COUNTIFS('Assignment Tool'!$E$17:$E$2050, "12", 'Assignment Tool'!$F$17:$F$2050, "POLE", 'Assignment Tool'!$C$17:$C$2050, "FST",'Assignment Tool'!$K$17:$K$2050,"400")</f>
        <v>0</v>
      </c>
      <c r="H129" s="179">
        <f>COUNTIFS('Assignment Tool'!$E$17:$E$2050, "12", 'Assignment Tool'!$F$17:$F$2050, "PED", 'Assignment Tool'!$C$17:$C$2050, "FST",'Assignment Tool'!$K$17:$K$2050,"400")</f>
        <v>0</v>
      </c>
      <c r="I129" s="179">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0">
        <f>COUNTIFS('Assignment Tool'!$E$17:$E$2050, "12", 'Assignment Tool'!$F$17:$F$2050, "POLE", 'Assignment Tool'!$C$17:$C$2050, "FST",'Assignment Tool'!$K$17:$K$2050,"500")</f>
        <v>0</v>
      </c>
      <c r="H130" s="179">
        <f>COUNTIFS('Assignment Tool'!$E$17:$E$2050, "12", 'Assignment Tool'!$F$17:$F$2050, "PED", 'Assignment Tool'!$C$17:$C$2050, "FST",'Assignment Tool'!$K$17:$K$2050,"500")</f>
        <v>0</v>
      </c>
      <c r="I130" s="179">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0">
        <f>COUNTIFS('Assignment Tool'!$E$17:$E$2050, "12", 'Assignment Tool'!$F$17:$F$2050, "POLE", 'Assignment Tool'!$C$17:$C$2050, "FST",'Assignment Tool'!$K$17:$K$2050,"600")</f>
        <v>0</v>
      </c>
      <c r="H131" s="179">
        <f>COUNTIFS('Assignment Tool'!$E$17:$E$2050, "12", 'Assignment Tool'!$F$17:$F$2050, "PED", 'Assignment Tool'!$C$17:$C$2050, "FST",'Assignment Tool'!$K$17:$K$2050,"600")</f>
        <v>0</v>
      </c>
      <c r="I131" s="179">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0">
        <f>COUNTIFS('Assignment Tool'!$E$17:$E$2050, "12", 'Assignment Tool'!$F$17:$F$2050, "POLE", 'Assignment Tool'!$C$17:$C$2050, "FST",'Assignment Tool'!$K$17:$K$2050,"700")</f>
        <v>0</v>
      </c>
      <c r="H132" s="179">
        <f>COUNTIFS('Assignment Tool'!$E$17:$E$2050, "12", 'Assignment Tool'!$F$17:$F$2050, "PED", 'Assignment Tool'!$C$17:$C$2050, "FST",'Assignment Tool'!$K$17:$K$2050,"700")</f>
        <v>0</v>
      </c>
      <c r="I132" s="179">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0">
        <f>COUNTIFS('Assignment Tool'!$E$17:$E$2050, "12", 'Assignment Tool'!$F$17:$F$2050, "POLE", 'Assignment Tool'!$C$17:$C$2050, "FST",'Assignment Tool'!$K$17:$K$2050,"800")</f>
        <v>0</v>
      </c>
      <c r="H133" s="179">
        <f>COUNTIFS('Assignment Tool'!$E$17:$E$2050, "12", 'Assignment Tool'!$F$17:$F$2050, "PED", 'Assignment Tool'!$C$17:$C$2050, "FST",'Assignment Tool'!$K$17:$K$2050,"800")</f>
        <v>0</v>
      </c>
      <c r="I133" s="179">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0">
        <f>COUNTIFS('Assignment Tool'!$E$17:$E$2050, "12", 'Assignment Tool'!$F$17:$F$2050, "POLE", 'Assignment Tool'!$C$17:$C$2050, "FST",'Assignment Tool'!$K$17:$K$2050,"900")</f>
        <v>0</v>
      </c>
      <c r="H134" s="179">
        <f>COUNTIFS('Assignment Tool'!$E$17:$E$2050, "12", 'Assignment Tool'!$F$17:$F$2050, "PED", 'Assignment Tool'!$C$17:$C$2050, "FST",'Assignment Tool'!$K$17:$K$2050,"900")</f>
        <v>0</v>
      </c>
      <c r="I134" s="179">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0">
        <f>COUNTIFS('Assignment Tool'!$E$17:$E$2050, "12", 'Assignment Tool'!$F$17:$F$2050, "POLE", 'Assignment Tool'!$C$17:$C$2050, "FST",'Assignment Tool'!$K$17:$K$2050,"1000")</f>
        <v>0</v>
      </c>
      <c r="H135" s="179">
        <f>COUNTIFS('Assignment Tool'!$E$17:$E$2050, "12", 'Assignment Tool'!$F$17:$F$2050, "PED", 'Assignment Tool'!$C$17:$C$2050, "FST",'Assignment Tool'!$K$17:$K$2050,"1000")</f>
        <v>0</v>
      </c>
      <c r="I135" s="179">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39" zoomScale="90" zoomScaleNormal="90" workbookViewId="0">
      <selection activeCell="E49" sqref="E49"/>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5" customWidth="1"/>
    <col min="7" max="7" width="12" style="206" customWidth="1"/>
    <col min="8" max="8" width="21.7109375" style="205" customWidth="1"/>
    <col min="9" max="9" width="15.7109375" style="205" customWidth="1"/>
    <col min="10" max="10" width="48.7109375" style="205" customWidth="1"/>
    <col min="11" max="18" width="9.140625" style="205"/>
    <col min="19" max="16384" width="9.140625" style="2"/>
  </cols>
  <sheetData>
    <row r="1" spans="1:23" hidden="1" x14ac:dyDescent="0.25">
      <c r="A1" s="149"/>
      <c r="B1" s="149"/>
      <c r="C1" s="149"/>
      <c r="D1" s="149"/>
      <c r="E1" s="149"/>
      <c r="F1" s="198"/>
      <c r="G1" s="199"/>
      <c r="H1" s="198"/>
      <c r="I1" s="198"/>
      <c r="J1" s="198"/>
      <c r="K1" s="198"/>
      <c r="L1" s="198"/>
      <c r="M1" s="198"/>
      <c r="N1" s="198"/>
      <c r="O1" s="198"/>
      <c r="P1" s="198"/>
      <c r="Q1" s="198"/>
      <c r="R1" s="198"/>
      <c r="S1" s="149"/>
      <c r="T1" s="149"/>
      <c r="U1" s="149"/>
      <c r="V1" s="149"/>
      <c r="W1" s="149"/>
    </row>
    <row r="2" spans="1:23" ht="21" x14ac:dyDescent="0.35">
      <c r="A2" s="149"/>
      <c r="B2" s="155" t="s">
        <v>680</v>
      </c>
      <c r="C2" s="253" t="s">
        <v>735</v>
      </c>
      <c r="D2" s="340" t="s">
        <v>681</v>
      </c>
      <c r="E2" s="341"/>
      <c r="F2" s="198"/>
      <c r="G2" s="199"/>
      <c r="H2" s="198"/>
      <c r="I2" s="198"/>
      <c r="J2" s="198"/>
      <c r="K2" s="198"/>
      <c r="L2" s="198"/>
      <c r="M2" s="198"/>
      <c r="N2" s="198"/>
      <c r="O2" s="198"/>
      <c r="P2" s="198"/>
      <c r="Q2" s="198"/>
      <c r="R2" s="198"/>
    </row>
    <row r="3" spans="1:23" ht="26.25" x14ac:dyDescent="0.4">
      <c r="A3" s="149"/>
      <c r="B3" s="222" t="s">
        <v>682</v>
      </c>
      <c r="C3" s="223"/>
      <c r="D3" s="223"/>
      <c r="E3" s="223"/>
      <c r="F3" s="223"/>
      <c r="G3" s="223"/>
      <c r="H3" s="223"/>
      <c r="I3" s="223"/>
      <c r="J3" s="224"/>
      <c r="K3" s="198"/>
      <c r="L3" s="198"/>
      <c r="M3" s="198"/>
      <c r="N3" s="198"/>
      <c r="O3" s="198"/>
      <c r="P3" s="198"/>
      <c r="Q3" s="198"/>
      <c r="R3" s="198"/>
    </row>
    <row r="4" spans="1:23" ht="24" x14ac:dyDescent="0.25">
      <c r="A4" s="149"/>
      <c r="B4" s="3" t="s">
        <v>683</v>
      </c>
      <c r="C4" s="3" t="s">
        <v>684</v>
      </c>
      <c r="D4" s="3" t="s">
        <v>464</v>
      </c>
      <c r="E4" s="23" t="s">
        <v>466</v>
      </c>
      <c r="F4" s="217"/>
      <c r="G4" s="3" t="s">
        <v>683</v>
      </c>
      <c r="H4" s="3" t="s">
        <v>684</v>
      </c>
      <c r="I4" s="3" t="s">
        <v>464</v>
      </c>
      <c r="J4" s="23" t="s">
        <v>466</v>
      </c>
      <c r="K4" s="198"/>
      <c r="L4" s="198"/>
      <c r="M4" s="198"/>
      <c r="N4" s="198"/>
      <c r="O4" s="198"/>
      <c r="P4" s="198"/>
      <c r="Q4" s="198"/>
      <c r="R4" s="198"/>
    </row>
    <row r="5" spans="1:23" x14ac:dyDescent="0.25">
      <c r="A5" s="149"/>
      <c r="B5" s="234">
        <f>Data!E2</f>
        <v>47</v>
      </c>
      <c r="C5" s="156" t="s">
        <v>84</v>
      </c>
      <c r="D5" s="156">
        <v>200008938</v>
      </c>
      <c r="E5" s="156" t="s">
        <v>479</v>
      </c>
      <c r="F5" s="218"/>
      <c r="G5" s="234">
        <f>Data!E88</f>
        <v>0</v>
      </c>
      <c r="H5" s="156" t="s">
        <v>584</v>
      </c>
      <c r="I5" s="156">
        <v>200008960</v>
      </c>
      <c r="J5" s="156" t="s">
        <v>585</v>
      </c>
      <c r="K5" s="198"/>
      <c r="L5" s="198"/>
      <c r="M5" s="198"/>
      <c r="N5" s="198"/>
      <c r="O5" s="198"/>
      <c r="P5" s="198"/>
      <c r="Q5" s="198"/>
      <c r="R5" s="198"/>
    </row>
    <row r="6" spans="1:23" x14ac:dyDescent="0.25">
      <c r="A6" s="149"/>
      <c r="B6" s="234">
        <f>Data!E3</f>
        <v>0</v>
      </c>
      <c r="C6" s="156" t="s">
        <v>85</v>
      </c>
      <c r="D6" s="156">
        <v>200008979</v>
      </c>
      <c r="E6" s="156" t="s">
        <v>485</v>
      </c>
      <c r="F6" s="218"/>
      <c r="G6" s="234">
        <f>Data!E89</f>
        <v>0</v>
      </c>
      <c r="H6" s="156" t="s">
        <v>586</v>
      </c>
      <c r="I6" s="156">
        <v>200008971</v>
      </c>
      <c r="J6" s="156" t="s">
        <v>587</v>
      </c>
      <c r="K6" s="198"/>
      <c r="L6" s="198"/>
      <c r="M6" s="198"/>
      <c r="N6" s="198"/>
      <c r="O6" s="198"/>
      <c r="P6" s="198"/>
      <c r="Q6" s="198"/>
      <c r="R6" s="198"/>
    </row>
    <row r="7" spans="1:23" x14ac:dyDescent="0.25">
      <c r="A7" s="149"/>
      <c r="B7" s="234">
        <f>Data!E4</f>
        <v>18</v>
      </c>
      <c r="C7" s="156" t="s">
        <v>86</v>
      </c>
      <c r="D7" s="156">
        <v>200008975</v>
      </c>
      <c r="E7" s="156" t="s">
        <v>490</v>
      </c>
      <c r="F7" s="218"/>
      <c r="G7" s="234">
        <f>Data!E90</f>
        <v>0</v>
      </c>
      <c r="H7" s="156" t="s">
        <v>588</v>
      </c>
      <c r="I7" s="156">
        <v>200008932</v>
      </c>
      <c r="J7" s="156" t="s">
        <v>589</v>
      </c>
      <c r="K7" s="198"/>
      <c r="L7" s="198"/>
      <c r="M7" s="198"/>
      <c r="N7" s="198"/>
      <c r="O7" s="198"/>
      <c r="P7" s="198"/>
      <c r="Q7" s="198"/>
      <c r="R7" s="198"/>
    </row>
    <row r="8" spans="1:23" x14ac:dyDescent="0.25">
      <c r="A8" s="149"/>
      <c r="B8" s="234">
        <f>Data!E5</f>
        <v>3</v>
      </c>
      <c r="C8" s="156" t="s">
        <v>87</v>
      </c>
      <c r="D8" s="156">
        <v>200009003</v>
      </c>
      <c r="E8" s="156" t="s">
        <v>495</v>
      </c>
      <c r="F8" s="218"/>
      <c r="G8" s="234">
        <f>Data!E91</f>
        <v>0</v>
      </c>
      <c r="H8" s="156" t="s">
        <v>590</v>
      </c>
      <c r="I8" s="156">
        <v>200008986</v>
      </c>
      <c r="J8" s="156" t="s">
        <v>591</v>
      </c>
      <c r="K8" s="198"/>
      <c r="L8" s="198"/>
      <c r="M8" s="198"/>
      <c r="N8" s="198"/>
      <c r="O8" s="198"/>
      <c r="P8" s="198"/>
      <c r="Q8" s="198"/>
      <c r="R8" s="198"/>
    </row>
    <row r="9" spans="1:23" x14ac:dyDescent="0.25">
      <c r="A9" s="149"/>
      <c r="B9" s="234">
        <f>'HH Calculator'!D21</f>
        <v>0</v>
      </c>
      <c r="C9" s="157" t="s">
        <v>91</v>
      </c>
      <c r="D9" s="242">
        <v>200010220</v>
      </c>
      <c r="E9" s="242" t="s">
        <v>554</v>
      </c>
      <c r="F9" s="209"/>
      <c r="G9" s="234">
        <f>Data!E92</f>
        <v>0</v>
      </c>
      <c r="H9" s="156" t="s">
        <v>592</v>
      </c>
      <c r="I9" s="156">
        <v>200008966</v>
      </c>
      <c r="J9" s="156" t="s">
        <v>593</v>
      </c>
      <c r="K9" s="198"/>
      <c r="L9" s="198"/>
      <c r="M9" s="198"/>
      <c r="N9" s="198"/>
      <c r="O9" s="198"/>
      <c r="P9" s="198"/>
      <c r="Q9" s="198"/>
      <c r="R9" s="198"/>
    </row>
    <row r="10" spans="1:23" x14ac:dyDescent="0.25">
      <c r="A10" s="149"/>
      <c r="B10" s="208"/>
      <c r="C10" s="158" t="s">
        <v>90</v>
      </c>
      <c r="D10" s="243">
        <v>100006143</v>
      </c>
      <c r="E10" s="243" t="s">
        <v>685</v>
      </c>
      <c r="F10" s="219"/>
      <c r="G10" s="234">
        <f>Data!E93</f>
        <v>0</v>
      </c>
      <c r="H10" s="156" t="s">
        <v>594</v>
      </c>
      <c r="I10" s="156">
        <v>200009011</v>
      </c>
      <c r="J10" s="156" t="s">
        <v>595</v>
      </c>
      <c r="K10" s="198"/>
      <c r="L10" s="198"/>
      <c r="M10" s="198"/>
      <c r="N10" s="198"/>
      <c r="O10" s="198"/>
      <c r="P10" s="198"/>
      <c r="Q10" s="198"/>
      <c r="R10" s="198"/>
    </row>
    <row r="11" spans="1:23" x14ac:dyDescent="0.25">
      <c r="A11" s="149"/>
      <c r="B11" s="208">
        <v>23</v>
      </c>
      <c r="C11" s="158" t="s">
        <v>90</v>
      </c>
      <c r="D11" s="243">
        <v>200001922</v>
      </c>
      <c r="E11" s="243" t="s">
        <v>686</v>
      </c>
      <c r="F11" s="219"/>
      <c r="G11" s="234">
        <f>Data!E94</f>
        <v>0</v>
      </c>
      <c r="H11" s="156" t="s">
        <v>596</v>
      </c>
      <c r="I11" s="156">
        <v>200008988</v>
      </c>
      <c r="J11" s="156" t="s">
        <v>597</v>
      </c>
      <c r="K11" s="198"/>
      <c r="L11" s="198"/>
      <c r="M11" s="198"/>
      <c r="N11" s="198"/>
      <c r="O11" s="198"/>
      <c r="P11" s="198"/>
      <c r="Q11" s="198"/>
      <c r="R11" s="198"/>
    </row>
    <row r="12" spans="1:23" x14ac:dyDescent="0.25">
      <c r="A12" s="149"/>
      <c r="B12" s="208"/>
      <c r="C12" s="159" t="s">
        <v>687</v>
      </c>
      <c r="D12" s="243">
        <v>100006155</v>
      </c>
      <c r="E12" s="244" t="s">
        <v>688</v>
      </c>
      <c r="F12" s="219"/>
      <c r="G12" s="234">
        <f>Data!E95</f>
        <v>0</v>
      </c>
      <c r="H12" s="156" t="s">
        <v>598</v>
      </c>
      <c r="I12" s="156">
        <v>200008997</v>
      </c>
      <c r="J12" s="156" t="s">
        <v>599</v>
      </c>
      <c r="K12" s="198"/>
      <c r="L12" s="198"/>
      <c r="M12" s="198"/>
      <c r="N12" s="198"/>
      <c r="O12" s="198"/>
      <c r="P12" s="198"/>
      <c r="Q12" s="198"/>
      <c r="R12" s="198"/>
    </row>
    <row r="13" spans="1:23" x14ac:dyDescent="0.25">
      <c r="A13" s="149"/>
      <c r="B13" s="208">
        <v>4</v>
      </c>
      <c r="C13" s="159" t="s">
        <v>557</v>
      </c>
      <c r="D13" s="244">
        <v>100035465</v>
      </c>
      <c r="E13" s="244" t="s">
        <v>689</v>
      </c>
      <c r="F13" s="220"/>
      <c r="G13" s="234">
        <f>Data!E96</f>
        <v>0</v>
      </c>
      <c r="H13" s="156" t="s">
        <v>600</v>
      </c>
      <c r="I13" s="156">
        <v>200008992</v>
      </c>
      <c r="J13" s="156" t="s">
        <v>601</v>
      </c>
      <c r="K13" s="198"/>
      <c r="L13" s="198"/>
      <c r="M13" s="198"/>
      <c r="N13" s="198"/>
      <c r="O13" s="198"/>
      <c r="P13" s="198"/>
      <c r="Q13" s="198"/>
      <c r="R13" s="198"/>
    </row>
    <row r="14" spans="1:23" x14ac:dyDescent="0.25">
      <c r="A14" s="149"/>
      <c r="B14" s="208"/>
      <c r="C14" s="159" t="s">
        <v>690</v>
      </c>
      <c r="D14" s="244">
        <v>100006173</v>
      </c>
      <c r="E14" s="244" t="s">
        <v>691</v>
      </c>
      <c r="F14" s="220"/>
      <c r="G14" s="234">
        <f>Data!E97</f>
        <v>0</v>
      </c>
      <c r="H14" s="156" t="s">
        <v>602</v>
      </c>
      <c r="I14" s="156">
        <v>200009013</v>
      </c>
      <c r="J14" s="156" t="s">
        <v>603</v>
      </c>
      <c r="K14" s="198"/>
      <c r="L14" s="198"/>
      <c r="M14" s="198"/>
      <c r="N14" s="198"/>
      <c r="O14" s="198"/>
      <c r="P14" s="198"/>
      <c r="Q14" s="198"/>
      <c r="R14" s="198"/>
    </row>
    <row r="15" spans="1:23" s="12" customFormat="1" ht="15" customHeight="1" x14ac:dyDescent="0.25">
      <c r="A15" s="150"/>
      <c r="B15" s="208">
        <v>2</v>
      </c>
      <c r="C15" s="160" t="s">
        <v>559</v>
      </c>
      <c r="D15" s="242">
        <v>100081409</v>
      </c>
      <c r="E15" s="246" t="s">
        <v>692</v>
      </c>
      <c r="F15" s="221"/>
      <c r="G15" s="234">
        <f>Data!E98</f>
        <v>0</v>
      </c>
      <c r="H15" s="156" t="s">
        <v>604</v>
      </c>
      <c r="I15" s="156">
        <v>200008927</v>
      </c>
      <c r="J15" s="156" t="s">
        <v>605</v>
      </c>
      <c r="K15" s="200"/>
      <c r="L15" s="200"/>
      <c r="M15" s="200"/>
      <c r="N15" s="200"/>
      <c r="O15" s="200"/>
      <c r="P15" s="200"/>
      <c r="Q15" s="200"/>
      <c r="R15" s="200"/>
    </row>
    <row r="16" spans="1:23" s="12" customFormat="1" ht="15" customHeight="1" x14ac:dyDescent="0.25">
      <c r="A16" s="150"/>
      <c r="B16" s="208"/>
      <c r="C16" s="160" t="s">
        <v>559</v>
      </c>
      <c r="D16" s="242">
        <v>100006191</v>
      </c>
      <c r="E16" s="246" t="s">
        <v>693</v>
      </c>
      <c r="F16" s="221"/>
      <c r="G16" s="234">
        <f>Data!E99</f>
        <v>0</v>
      </c>
      <c r="H16" s="156" t="s">
        <v>606</v>
      </c>
      <c r="I16" s="156">
        <v>200008934</v>
      </c>
      <c r="J16" s="156" t="s">
        <v>607</v>
      </c>
      <c r="K16" s="200"/>
      <c r="L16" s="200"/>
      <c r="M16" s="200"/>
      <c r="N16" s="200"/>
      <c r="O16" s="200"/>
      <c r="P16" s="200"/>
      <c r="Q16" s="200"/>
      <c r="R16" s="200"/>
    </row>
    <row r="17" spans="1:18" s="12" customFormat="1" ht="15" customHeight="1" x14ac:dyDescent="0.25">
      <c r="A17" s="150"/>
      <c r="B17" s="235">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3">
        <v>100083495</v>
      </c>
      <c r="E17" s="243" t="s">
        <v>503</v>
      </c>
      <c r="F17" s="219"/>
      <c r="G17" s="234">
        <f>Data!E100</f>
        <v>0</v>
      </c>
      <c r="H17" s="156" t="s">
        <v>608</v>
      </c>
      <c r="I17" s="156">
        <v>200008981</v>
      </c>
      <c r="J17" s="156" t="s">
        <v>609</v>
      </c>
      <c r="K17" s="200"/>
      <c r="L17" s="200"/>
      <c r="M17" s="200"/>
      <c r="N17" s="200"/>
      <c r="O17" s="200"/>
      <c r="P17" s="200"/>
      <c r="Q17" s="200"/>
      <c r="R17" s="200"/>
    </row>
    <row r="18" spans="1:18" s="12" customFormat="1" ht="15" customHeight="1" x14ac:dyDescent="0.25">
      <c r="A18" s="150"/>
      <c r="B18" s="234">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8</v>
      </c>
      <c r="C18" s="161" t="s">
        <v>278</v>
      </c>
      <c r="D18" s="243">
        <v>100083494</v>
      </c>
      <c r="E18" s="243" t="s">
        <v>504</v>
      </c>
      <c r="F18" s="219"/>
      <c r="G18" s="234">
        <f>Data!E101</f>
        <v>0</v>
      </c>
      <c r="H18" s="156" t="s">
        <v>610</v>
      </c>
      <c r="I18" s="156">
        <v>200008948</v>
      </c>
      <c r="J18" s="156" t="s">
        <v>611</v>
      </c>
      <c r="K18" s="200"/>
      <c r="L18" s="200"/>
      <c r="M18" s="200"/>
      <c r="N18" s="200"/>
      <c r="O18" s="200"/>
      <c r="P18" s="200"/>
      <c r="Q18" s="200"/>
      <c r="R18" s="200"/>
    </row>
    <row r="19" spans="1:18" s="12" customFormat="1" ht="15" customHeight="1" x14ac:dyDescent="0.25">
      <c r="A19" s="150"/>
      <c r="B19" s="234">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14</v>
      </c>
      <c r="C19" s="161" t="s">
        <v>278</v>
      </c>
      <c r="D19" s="243">
        <v>100083493</v>
      </c>
      <c r="E19" s="243" t="s">
        <v>505</v>
      </c>
      <c r="F19" s="219"/>
      <c r="G19" s="234">
        <f>Data!E102</f>
        <v>0</v>
      </c>
      <c r="H19" s="156" t="s">
        <v>612</v>
      </c>
      <c r="I19" s="156">
        <v>200008998</v>
      </c>
      <c r="J19" s="156" t="s">
        <v>613</v>
      </c>
      <c r="K19" s="200"/>
      <c r="L19" s="200"/>
      <c r="M19" s="200"/>
      <c r="N19" s="200"/>
      <c r="O19" s="200"/>
      <c r="P19" s="200"/>
      <c r="Q19" s="200"/>
      <c r="R19" s="200"/>
    </row>
    <row r="20" spans="1:18" s="12" customFormat="1" ht="15" customHeight="1" x14ac:dyDescent="0.25">
      <c r="A20" s="150"/>
      <c r="B20" s="234">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3">
        <v>100089023</v>
      </c>
      <c r="E20" s="243" t="s">
        <v>506</v>
      </c>
      <c r="F20" s="219"/>
      <c r="G20" s="234">
        <f>Data!E103</f>
        <v>0</v>
      </c>
      <c r="H20" s="156" t="s">
        <v>614</v>
      </c>
      <c r="I20" s="156">
        <v>200008991</v>
      </c>
      <c r="J20" s="156" t="s">
        <v>615</v>
      </c>
      <c r="K20" s="200"/>
      <c r="L20" s="200"/>
      <c r="M20" s="200"/>
      <c r="N20" s="200"/>
      <c r="O20" s="200"/>
      <c r="P20" s="200"/>
      <c r="Q20" s="200"/>
      <c r="R20" s="200"/>
    </row>
    <row r="21" spans="1:18" s="12" customFormat="1" ht="15" customHeight="1" x14ac:dyDescent="0.25">
      <c r="A21" s="150"/>
      <c r="B21" s="234">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3">
        <v>200000002</v>
      </c>
      <c r="E21" s="243" t="s">
        <v>507</v>
      </c>
      <c r="F21" s="219"/>
      <c r="G21" s="234">
        <f>Data!E104</f>
        <v>0</v>
      </c>
      <c r="H21" s="156" t="s">
        <v>616</v>
      </c>
      <c r="I21" s="156">
        <v>200008935</v>
      </c>
      <c r="J21" s="156" t="s">
        <v>617</v>
      </c>
      <c r="K21" s="200"/>
      <c r="L21" s="200"/>
      <c r="M21" s="200"/>
      <c r="N21" s="200"/>
      <c r="O21" s="200"/>
      <c r="P21" s="200"/>
      <c r="Q21" s="200"/>
      <c r="R21" s="200"/>
    </row>
    <row r="22" spans="1:18" s="12" customFormat="1" ht="15" customHeight="1" x14ac:dyDescent="0.25">
      <c r="A22" s="150"/>
      <c r="B22" s="234">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3">
        <v>200000003</v>
      </c>
      <c r="E22" s="243" t="s">
        <v>508</v>
      </c>
      <c r="F22" s="219"/>
      <c r="G22" s="234">
        <f>Data!E105</f>
        <v>0</v>
      </c>
      <c r="H22" s="156" t="s">
        <v>618</v>
      </c>
      <c r="I22" s="156">
        <v>200008924</v>
      </c>
      <c r="J22" s="156" t="s">
        <v>619</v>
      </c>
      <c r="K22" s="200"/>
      <c r="L22" s="200"/>
      <c r="M22" s="200"/>
      <c r="N22" s="200"/>
      <c r="O22" s="200"/>
      <c r="P22" s="200"/>
      <c r="Q22" s="200"/>
      <c r="R22" s="200"/>
    </row>
    <row r="23" spans="1:18" x14ac:dyDescent="0.25">
      <c r="A23" s="149"/>
      <c r="B23" s="234">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5</v>
      </c>
      <c r="C23" s="161" t="s">
        <v>278</v>
      </c>
      <c r="D23" s="242">
        <v>100083595</v>
      </c>
      <c r="E23" s="242" t="s">
        <v>509</v>
      </c>
      <c r="F23" s="209"/>
      <c r="G23" s="234">
        <f>Data!E106</f>
        <v>0</v>
      </c>
      <c r="H23" s="156" t="s">
        <v>620</v>
      </c>
      <c r="I23" s="156">
        <v>200009010</v>
      </c>
      <c r="J23" s="156" t="s">
        <v>621</v>
      </c>
      <c r="K23" s="198"/>
      <c r="L23" s="198"/>
      <c r="M23" s="198"/>
      <c r="N23" s="198"/>
      <c r="O23" s="198"/>
      <c r="P23" s="198"/>
      <c r="Q23" s="198"/>
      <c r="R23" s="198"/>
    </row>
    <row r="24" spans="1:18" x14ac:dyDescent="0.25">
      <c r="A24" s="149"/>
      <c r="B24" s="234">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10</v>
      </c>
      <c r="C24" s="161" t="s">
        <v>278</v>
      </c>
      <c r="D24" s="242">
        <v>100083594</v>
      </c>
      <c r="E24" s="242" t="s">
        <v>510</v>
      </c>
      <c r="F24" s="209"/>
      <c r="G24" s="234">
        <f>Data!E107</f>
        <v>0</v>
      </c>
      <c r="H24" s="156" t="s">
        <v>622</v>
      </c>
      <c r="I24" s="156">
        <v>200008946</v>
      </c>
      <c r="J24" s="156" t="s">
        <v>623</v>
      </c>
      <c r="K24" s="198"/>
      <c r="L24" s="198"/>
      <c r="M24" s="198"/>
      <c r="N24" s="198"/>
      <c r="O24" s="198"/>
      <c r="P24" s="198"/>
      <c r="Q24" s="198"/>
      <c r="R24" s="198"/>
    </row>
    <row r="25" spans="1:18" x14ac:dyDescent="0.25">
      <c r="A25" s="149"/>
      <c r="B25" s="234">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5">
        <v>100083593</v>
      </c>
      <c r="E25" s="245" t="s">
        <v>511</v>
      </c>
      <c r="F25" s="219"/>
      <c r="G25" s="234">
        <f>Data!E108</f>
        <v>0</v>
      </c>
      <c r="H25" s="156" t="s">
        <v>624</v>
      </c>
      <c r="I25" s="156">
        <v>200008972</v>
      </c>
      <c r="J25" s="156" t="s">
        <v>625</v>
      </c>
      <c r="K25" s="198"/>
      <c r="L25" s="198"/>
      <c r="M25" s="198"/>
      <c r="N25" s="198"/>
      <c r="O25" s="198"/>
      <c r="P25" s="198"/>
      <c r="Q25" s="198"/>
      <c r="R25" s="198"/>
    </row>
    <row r="26" spans="1:18" x14ac:dyDescent="0.25">
      <c r="A26" s="149"/>
      <c r="B26" s="234">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27</v>
      </c>
      <c r="C26" s="161" t="s">
        <v>278</v>
      </c>
      <c r="D26" s="243">
        <v>100083592</v>
      </c>
      <c r="E26" s="243" t="s">
        <v>512</v>
      </c>
      <c r="F26" s="219"/>
      <c r="G26" s="234">
        <f>Data!E109</f>
        <v>0</v>
      </c>
      <c r="H26" s="156" t="s">
        <v>626</v>
      </c>
      <c r="I26" s="156">
        <v>200008930</v>
      </c>
      <c r="J26" s="156" t="s">
        <v>627</v>
      </c>
      <c r="K26" s="198"/>
      <c r="L26" s="198"/>
      <c r="M26" s="198"/>
      <c r="N26" s="198"/>
      <c r="O26" s="198"/>
      <c r="P26" s="198"/>
      <c r="Q26" s="198"/>
      <c r="R26" s="198"/>
    </row>
    <row r="27" spans="1:18" x14ac:dyDescent="0.25">
      <c r="A27" s="149"/>
      <c r="B27" s="234">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6</v>
      </c>
      <c r="C27" s="161" t="s">
        <v>278</v>
      </c>
      <c r="D27" s="243">
        <v>200008456</v>
      </c>
      <c r="E27" s="243" t="s">
        <v>513</v>
      </c>
      <c r="F27" s="219"/>
      <c r="G27" s="234">
        <f>Data!E110</f>
        <v>0</v>
      </c>
      <c r="H27" s="156" t="s">
        <v>628</v>
      </c>
      <c r="I27" s="156">
        <v>200008957</v>
      </c>
      <c r="J27" s="156" t="s">
        <v>629</v>
      </c>
      <c r="K27" s="198"/>
      <c r="L27" s="198"/>
      <c r="M27" s="198"/>
      <c r="N27" s="198"/>
      <c r="O27" s="198"/>
      <c r="P27" s="198"/>
      <c r="Q27" s="198"/>
      <c r="R27" s="198"/>
    </row>
    <row r="28" spans="1:18" x14ac:dyDescent="0.25">
      <c r="A28" s="149"/>
      <c r="B28" s="234">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1</v>
      </c>
      <c r="C28" s="161" t="s">
        <v>278</v>
      </c>
      <c r="D28" s="242">
        <v>100089396</v>
      </c>
      <c r="E28" s="242" t="s">
        <v>514</v>
      </c>
      <c r="F28" s="209"/>
      <c r="G28" s="234">
        <f>Data!E111</f>
        <v>0</v>
      </c>
      <c r="H28" s="156" t="s">
        <v>630</v>
      </c>
      <c r="I28" s="156">
        <v>200008928</v>
      </c>
      <c r="J28" s="156" t="s">
        <v>631</v>
      </c>
      <c r="K28" s="198" t="s">
        <v>254</v>
      </c>
      <c r="L28" s="198"/>
      <c r="M28" s="198"/>
      <c r="N28" s="198"/>
      <c r="O28" s="198"/>
      <c r="P28" s="198"/>
      <c r="Q28" s="198"/>
      <c r="R28" s="198"/>
    </row>
    <row r="29" spans="1:18" x14ac:dyDescent="0.25">
      <c r="A29" s="149"/>
      <c r="B29" s="234">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2">
        <v>100089548</v>
      </c>
      <c r="E29" s="242" t="s">
        <v>515</v>
      </c>
      <c r="F29" s="209"/>
      <c r="G29" s="234">
        <f>Data!E112</f>
        <v>0</v>
      </c>
      <c r="H29" s="156" t="s">
        <v>632</v>
      </c>
      <c r="I29" s="156">
        <v>200008951</v>
      </c>
      <c r="J29" s="156" t="s">
        <v>633</v>
      </c>
      <c r="K29" s="198"/>
      <c r="L29" s="198"/>
      <c r="M29" s="198"/>
      <c r="N29" s="198"/>
      <c r="O29" s="198"/>
      <c r="P29" s="198"/>
      <c r="Q29" s="198"/>
      <c r="R29" s="198"/>
    </row>
    <row r="30" spans="1:18" x14ac:dyDescent="0.25">
      <c r="A30" s="149"/>
      <c r="B30" s="234">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5">
        <v>100089397</v>
      </c>
      <c r="E30" s="245" t="s">
        <v>516</v>
      </c>
      <c r="F30" s="219"/>
      <c r="G30" s="234">
        <f>Data!E113</f>
        <v>0</v>
      </c>
      <c r="H30" s="156" t="s">
        <v>634</v>
      </c>
      <c r="I30" s="156">
        <v>200008939</v>
      </c>
      <c r="J30" s="156" t="s">
        <v>635</v>
      </c>
      <c r="K30" s="198"/>
      <c r="L30" s="198"/>
      <c r="M30" s="198"/>
      <c r="N30" s="198"/>
      <c r="O30" s="198"/>
      <c r="P30" s="198"/>
      <c r="Q30" s="198"/>
      <c r="R30" s="198"/>
    </row>
    <row r="31" spans="1:18" x14ac:dyDescent="0.25">
      <c r="A31" s="149"/>
      <c r="B31" s="234">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3">
        <v>100089549</v>
      </c>
      <c r="E31" s="243" t="s">
        <v>517</v>
      </c>
      <c r="F31" s="219"/>
      <c r="G31" s="234">
        <f>Data!E114</f>
        <v>0</v>
      </c>
      <c r="H31" s="156" t="s">
        <v>636</v>
      </c>
      <c r="I31" s="156">
        <v>200008922</v>
      </c>
      <c r="J31" s="156" t="s">
        <v>637</v>
      </c>
      <c r="K31" s="198"/>
      <c r="L31" s="198"/>
      <c r="M31" s="198"/>
      <c r="N31" s="198"/>
      <c r="O31" s="198"/>
      <c r="P31" s="198"/>
      <c r="Q31" s="198"/>
      <c r="R31" s="198"/>
    </row>
    <row r="32" spans="1:18" x14ac:dyDescent="0.25">
      <c r="A32" s="149"/>
      <c r="B32" s="234">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3">
        <v>200008455</v>
      </c>
      <c r="E32" s="243" t="s">
        <v>518</v>
      </c>
      <c r="F32" s="219"/>
      <c r="G32" s="234">
        <f>Data!E115</f>
        <v>0</v>
      </c>
      <c r="H32" s="156" t="s">
        <v>638</v>
      </c>
      <c r="I32" s="156">
        <v>200008933</v>
      </c>
      <c r="J32" s="156" t="s">
        <v>639</v>
      </c>
      <c r="K32" s="198"/>
      <c r="L32" s="198"/>
      <c r="M32" s="198"/>
      <c r="N32" s="198"/>
      <c r="O32" s="198"/>
      <c r="P32" s="198"/>
      <c r="Q32" s="198"/>
      <c r="R32" s="198"/>
    </row>
    <row r="33" spans="1:18" x14ac:dyDescent="0.25">
      <c r="A33" s="149"/>
      <c r="B33" s="234">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6">
        <v>200002278</v>
      </c>
      <c r="E33" s="246" t="s">
        <v>519</v>
      </c>
      <c r="F33" s="221"/>
      <c r="G33" s="234">
        <f>Data!E116</f>
        <v>0</v>
      </c>
      <c r="H33" s="156" t="s">
        <v>640</v>
      </c>
      <c r="I33" s="156">
        <v>200008984</v>
      </c>
      <c r="J33" s="156" t="s">
        <v>641</v>
      </c>
      <c r="K33" s="198"/>
      <c r="L33" s="198"/>
      <c r="M33" s="198"/>
      <c r="N33" s="198"/>
      <c r="O33" s="198"/>
      <c r="P33" s="198"/>
      <c r="Q33" s="198"/>
      <c r="R33" s="198"/>
    </row>
    <row r="34" spans="1:18" x14ac:dyDescent="0.25">
      <c r="A34" s="149"/>
      <c r="B34" s="234">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6">
        <v>200002276</v>
      </c>
      <c r="E34" s="246" t="s">
        <v>520</v>
      </c>
      <c r="F34" s="221"/>
      <c r="G34" s="234">
        <f>Data!E117</f>
        <v>0</v>
      </c>
      <c r="H34" s="156" t="s">
        <v>642</v>
      </c>
      <c r="I34" s="156">
        <v>200008977</v>
      </c>
      <c r="J34" s="156" t="s">
        <v>643</v>
      </c>
      <c r="K34" s="198"/>
      <c r="L34" s="198"/>
      <c r="M34" s="198"/>
      <c r="N34" s="198"/>
      <c r="O34" s="198"/>
      <c r="P34" s="198"/>
      <c r="Q34" s="198"/>
      <c r="R34" s="198"/>
    </row>
    <row r="35" spans="1:18" x14ac:dyDescent="0.25">
      <c r="A35" s="149"/>
      <c r="B35" s="234">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6">
        <v>200002273</v>
      </c>
      <c r="E35" s="246" t="s">
        <v>521</v>
      </c>
      <c r="F35" s="221"/>
      <c r="G35" s="234">
        <f>Data!E118</f>
        <v>0</v>
      </c>
      <c r="H35" s="156" t="s">
        <v>644</v>
      </c>
      <c r="I35" s="156">
        <v>200009004</v>
      </c>
      <c r="J35" s="156" t="s">
        <v>645</v>
      </c>
      <c r="K35" s="198"/>
      <c r="L35" s="198"/>
      <c r="M35" s="198"/>
      <c r="N35" s="198"/>
      <c r="O35" s="198"/>
      <c r="P35" s="198"/>
      <c r="Q35" s="198"/>
      <c r="R35" s="198"/>
    </row>
    <row r="36" spans="1:18" x14ac:dyDescent="0.25">
      <c r="A36" s="149"/>
      <c r="B36" s="234">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6">
        <v>200002272</v>
      </c>
      <c r="E36" s="246" t="s">
        <v>522</v>
      </c>
      <c r="F36" s="221"/>
      <c r="G36" s="234">
        <f>Data!E119</f>
        <v>0</v>
      </c>
      <c r="H36" s="156" t="s">
        <v>646</v>
      </c>
      <c r="I36" s="156">
        <v>200008956</v>
      </c>
      <c r="J36" s="156" t="s">
        <v>647</v>
      </c>
      <c r="K36" s="198"/>
      <c r="L36" s="198"/>
      <c r="M36" s="198"/>
      <c r="N36" s="198"/>
      <c r="O36" s="198"/>
      <c r="P36" s="198"/>
      <c r="Q36" s="198"/>
      <c r="R36" s="198"/>
    </row>
    <row r="37" spans="1:18" x14ac:dyDescent="0.25">
      <c r="A37" s="149"/>
      <c r="B37" s="234">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6">
        <v>200008457</v>
      </c>
      <c r="E37" s="246" t="s">
        <v>523</v>
      </c>
      <c r="F37" s="221"/>
      <c r="G37" s="234">
        <f>Data!E120</f>
        <v>0</v>
      </c>
      <c r="H37" s="156" t="s">
        <v>648</v>
      </c>
      <c r="I37" s="156">
        <v>200008987</v>
      </c>
      <c r="J37" s="156" t="s">
        <v>649</v>
      </c>
      <c r="K37" s="198"/>
      <c r="L37" s="198"/>
      <c r="M37" s="198"/>
      <c r="N37" s="198"/>
      <c r="O37" s="198"/>
      <c r="P37" s="198"/>
      <c r="Q37" s="198"/>
      <c r="R37" s="198"/>
    </row>
    <row r="38" spans="1:18" x14ac:dyDescent="0.25">
      <c r="A38" s="149"/>
      <c r="B38" s="234">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6">
        <v>200002284</v>
      </c>
      <c r="E38" s="246" t="s">
        <v>524</v>
      </c>
      <c r="F38" s="221"/>
      <c r="G38" s="234">
        <f>Data!E121</f>
        <v>0</v>
      </c>
      <c r="H38" s="156" t="s">
        <v>650</v>
      </c>
      <c r="I38" s="156">
        <v>200008978</v>
      </c>
      <c r="J38" s="156" t="s">
        <v>651</v>
      </c>
      <c r="K38" s="198"/>
      <c r="L38" s="198"/>
      <c r="M38" s="198"/>
      <c r="N38" s="198"/>
      <c r="O38" s="198"/>
      <c r="P38" s="198"/>
      <c r="Q38" s="198"/>
      <c r="R38" s="198"/>
    </row>
    <row r="39" spans="1:18" x14ac:dyDescent="0.25">
      <c r="A39" s="149"/>
      <c r="B39" s="234">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6">
        <v>200002283</v>
      </c>
      <c r="E39" s="246" t="s">
        <v>525</v>
      </c>
      <c r="F39" s="221"/>
      <c r="G39" s="234">
        <f>Data!E122</f>
        <v>0</v>
      </c>
      <c r="H39" s="156" t="s">
        <v>652</v>
      </c>
      <c r="I39" s="156">
        <v>200009005</v>
      </c>
      <c r="J39" s="156" t="s">
        <v>653</v>
      </c>
      <c r="K39" s="198"/>
      <c r="L39" s="198"/>
      <c r="M39" s="198"/>
      <c r="N39" s="198"/>
      <c r="O39" s="198"/>
      <c r="P39" s="198"/>
      <c r="Q39" s="198"/>
      <c r="R39" s="198"/>
    </row>
    <row r="40" spans="1:18" x14ac:dyDescent="0.25">
      <c r="A40" s="149"/>
      <c r="B40" s="234">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6">
        <v>200002282</v>
      </c>
      <c r="E40" s="246" t="s">
        <v>526</v>
      </c>
      <c r="F40" s="221"/>
      <c r="G40" s="234">
        <f>Data!E123</f>
        <v>0</v>
      </c>
      <c r="H40" s="156" t="s">
        <v>654</v>
      </c>
      <c r="I40" s="156">
        <v>200008937</v>
      </c>
      <c r="J40" s="156" t="s">
        <v>655</v>
      </c>
      <c r="K40" s="198"/>
      <c r="L40" s="198"/>
      <c r="M40" s="198"/>
      <c r="N40" s="198"/>
      <c r="O40" s="198"/>
      <c r="P40" s="198"/>
      <c r="Q40" s="198"/>
      <c r="R40" s="198"/>
    </row>
    <row r="41" spans="1:18" x14ac:dyDescent="0.25">
      <c r="A41" s="149"/>
      <c r="B41" s="234">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6">
        <v>200002279</v>
      </c>
      <c r="E41" s="246" t="s">
        <v>527</v>
      </c>
      <c r="F41" s="221"/>
      <c r="G41" s="234">
        <f>Data!E124</f>
        <v>0</v>
      </c>
      <c r="H41" s="156" t="s">
        <v>656</v>
      </c>
      <c r="I41" s="156">
        <v>200008943</v>
      </c>
      <c r="J41" s="156" t="s">
        <v>657</v>
      </c>
      <c r="K41" s="198"/>
      <c r="L41" s="198"/>
      <c r="M41" s="198"/>
      <c r="N41" s="198"/>
      <c r="O41" s="198"/>
      <c r="P41" s="198"/>
      <c r="Q41" s="198"/>
      <c r="R41" s="198"/>
    </row>
    <row r="42" spans="1:18" x14ac:dyDescent="0.25">
      <c r="A42" s="149"/>
      <c r="B42" s="234">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6">
        <v>200008458</v>
      </c>
      <c r="E42" s="246" t="s">
        <v>528</v>
      </c>
      <c r="F42" s="221"/>
      <c r="G42" s="234">
        <f>Data!E125</f>
        <v>0</v>
      </c>
      <c r="H42" s="156" t="s">
        <v>658</v>
      </c>
      <c r="I42" s="156">
        <v>200008936</v>
      </c>
      <c r="J42" s="156" t="s">
        <v>659</v>
      </c>
      <c r="K42" s="198"/>
      <c r="L42" s="198"/>
      <c r="M42" s="198"/>
      <c r="N42" s="198"/>
      <c r="O42" s="198"/>
      <c r="P42" s="198"/>
      <c r="Q42" s="198"/>
      <c r="R42" s="198"/>
    </row>
    <row r="43" spans="1:18" x14ac:dyDescent="0.25">
      <c r="A43" s="149"/>
      <c r="B43" s="234">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3">
        <v>200002409</v>
      </c>
      <c r="E43" s="243" t="s">
        <v>529</v>
      </c>
      <c r="F43" s="219"/>
      <c r="G43" s="234">
        <f>Data!E126</f>
        <v>0</v>
      </c>
      <c r="H43" s="156" t="s">
        <v>660</v>
      </c>
      <c r="I43" s="156">
        <v>200009007</v>
      </c>
      <c r="J43" s="156" t="s">
        <v>661</v>
      </c>
      <c r="K43" s="198"/>
      <c r="L43" s="198"/>
      <c r="M43" s="198"/>
      <c r="N43" s="198"/>
      <c r="O43" s="198"/>
      <c r="P43" s="198"/>
      <c r="Q43" s="198"/>
      <c r="R43" s="198"/>
    </row>
    <row r="44" spans="1:18" x14ac:dyDescent="0.25">
      <c r="A44" s="149"/>
      <c r="B44" s="234">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3">
        <v>200002407</v>
      </c>
      <c r="E44" s="243" t="s">
        <v>530</v>
      </c>
      <c r="F44" s="219"/>
      <c r="G44" s="234">
        <f>Data!E127</f>
        <v>0</v>
      </c>
      <c r="H44" s="156" t="s">
        <v>662</v>
      </c>
      <c r="I44" s="156">
        <v>200009014</v>
      </c>
      <c r="J44" s="156" t="s">
        <v>663</v>
      </c>
      <c r="K44" s="198"/>
      <c r="L44" s="198"/>
      <c r="M44" s="198"/>
      <c r="N44" s="198"/>
      <c r="O44" s="198"/>
      <c r="P44" s="198"/>
      <c r="Q44" s="198"/>
      <c r="R44" s="198"/>
    </row>
    <row r="45" spans="1:18" x14ac:dyDescent="0.25">
      <c r="A45" s="149"/>
      <c r="B45" s="234">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3">
        <v>200002408</v>
      </c>
      <c r="E45" s="243" t="s">
        <v>531</v>
      </c>
      <c r="F45" s="219"/>
      <c r="G45" s="234">
        <f>Data!E128</f>
        <v>0</v>
      </c>
      <c r="H45" s="156" t="s">
        <v>664</v>
      </c>
      <c r="I45" s="156">
        <v>200009000</v>
      </c>
      <c r="J45" s="156" t="s">
        <v>665</v>
      </c>
      <c r="K45" s="198"/>
      <c r="L45" s="198"/>
      <c r="M45" s="198"/>
      <c r="N45" s="198"/>
      <c r="O45" s="198"/>
      <c r="P45" s="198"/>
      <c r="Q45" s="198"/>
      <c r="R45" s="198"/>
    </row>
    <row r="46" spans="1:18" x14ac:dyDescent="0.25">
      <c r="A46" s="149"/>
      <c r="B46" s="234">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3">
        <v>200002414</v>
      </c>
      <c r="E46" s="243" t="s">
        <v>532</v>
      </c>
      <c r="F46" s="219"/>
      <c r="G46" s="234">
        <f>Data!E129</f>
        <v>0</v>
      </c>
      <c r="H46" s="156" t="s">
        <v>666</v>
      </c>
      <c r="I46" s="156">
        <v>200008944</v>
      </c>
      <c r="J46" s="156" t="s">
        <v>667</v>
      </c>
      <c r="K46" s="198"/>
      <c r="L46" s="198"/>
      <c r="M46" s="198"/>
      <c r="N46" s="198"/>
      <c r="O46" s="198"/>
      <c r="P46" s="198"/>
      <c r="Q46" s="198"/>
      <c r="R46" s="198"/>
    </row>
    <row r="47" spans="1:18" x14ac:dyDescent="0.25">
      <c r="A47" s="149"/>
      <c r="B47" s="234">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3">
        <v>200002404</v>
      </c>
      <c r="E47" s="243" t="s">
        <v>533</v>
      </c>
      <c r="F47" s="219"/>
      <c r="G47" s="234">
        <f>Data!E130</f>
        <v>0</v>
      </c>
      <c r="H47" s="156" t="s">
        <v>668</v>
      </c>
      <c r="I47" s="156">
        <v>200008996</v>
      </c>
      <c r="J47" s="156" t="s">
        <v>669</v>
      </c>
      <c r="K47" s="198"/>
      <c r="L47" s="198"/>
      <c r="M47" s="198"/>
      <c r="N47" s="198"/>
      <c r="O47" s="198"/>
      <c r="P47" s="198"/>
      <c r="Q47" s="198"/>
      <c r="R47" s="198"/>
    </row>
    <row r="48" spans="1:18" x14ac:dyDescent="0.25">
      <c r="A48" s="149"/>
      <c r="B48" s="234">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3">
        <v>200002411</v>
      </c>
      <c r="E48" s="243" t="s">
        <v>534</v>
      </c>
      <c r="F48" s="219"/>
      <c r="G48" s="234">
        <f>Data!E131</f>
        <v>0</v>
      </c>
      <c r="H48" s="156" t="s">
        <v>670</v>
      </c>
      <c r="I48" s="156">
        <v>200008962</v>
      </c>
      <c r="J48" s="156" t="s">
        <v>671</v>
      </c>
      <c r="K48" s="198"/>
      <c r="L48" s="198"/>
      <c r="M48" s="198"/>
      <c r="N48" s="198"/>
      <c r="O48" s="198"/>
      <c r="P48" s="198"/>
      <c r="Q48" s="198"/>
      <c r="R48" s="198"/>
    </row>
    <row r="49" spans="1:18" x14ac:dyDescent="0.25">
      <c r="A49" s="149"/>
      <c r="B49" s="234">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3">
        <v>100088379</v>
      </c>
      <c r="E49" s="243" t="s">
        <v>535</v>
      </c>
      <c r="F49" s="219"/>
      <c r="G49" s="234">
        <f>Data!E132</f>
        <v>0</v>
      </c>
      <c r="H49" s="156" t="s">
        <v>672</v>
      </c>
      <c r="I49" s="156">
        <v>200009001</v>
      </c>
      <c r="J49" s="156" t="s">
        <v>673</v>
      </c>
      <c r="K49" s="198"/>
      <c r="L49" s="198"/>
      <c r="M49" s="198"/>
      <c r="N49" s="198"/>
      <c r="O49" s="198"/>
      <c r="P49" s="198"/>
      <c r="Q49" s="198"/>
      <c r="R49" s="198"/>
    </row>
    <row r="50" spans="1:18" x14ac:dyDescent="0.25">
      <c r="A50" s="149"/>
      <c r="B50" s="234">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5">
        <v>100088380</v>
      </c>
      <c r="E50" s="245" t="s">
        <v>536</v>
      </c>
      <c r="F50" s="219"/>
      <c r="G50" s="234">
        <f>Data!E133</f>
        <v>0</v>
      </c>
      <c r="H50" s="156" t="s">
        <v>674</v>
      </c>
      <c r="I50" s="156">
        <v>200008931</v>
      </c>
      <c r="J50" s="156" t="s">
        <v>675</v>
      </c>
      <c r="K50" s="198"/>
      <c r="L50" s="198"/>
      <c r="M50" s="198"/>
      <c r="N50" s="198"/>
      <c r="O50" s="198"/>
      <c r="P50" s="198"/>
      <c r="Q50" s="198"/>
      <c r="R50" s="198"/>
    </row>
    <row r="51" spans="1:18" x14ac:dyDescent="0.25">
      <c r="A51" s="149"/>
      <c r="B51" s="234">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5">
        <v>200002564</v>
      </c>
      <c r="E51" s="243" t="s">
        <v>537</v>
      </c>
      <c r="F51" s="219"/>
      <c r="G51" s="234">
        <f>Data!E134</f>
        <v>0</v>
      </c>
      <c r="H51" s="156" t="s">
        <v>676</v>
      </c>
      <c r="I51" s="156">
        <v>200008980</v>
      </c>
      <c r="J51" s="156" t="s">
        <v>677</v>
      </c>
      <c r="K51" s="198"/>
      <c r="L51" s="198"/>
      <c r="M51" s="198"/>
      <c r="N51" s="198"/>
      <c r="O51" s="198"/>
      <c r="P51" s="198"/>
      <c r="Q51" s="198"/>
      <c r="R51" s="198"/>
    </row>
    <row r="52" spans="1:18" x14ac:dyDescent="0.25">
      <c r="A52" s="149"/>
      <c r="B52" s="234">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5">
        <v>200002567</v>
      </c>
      <c r="E52" s="243" t="s">
        <v>538</v>
      </c>
      <c r="F52" s="219"/>
      <c r="G52" s="234">
        <f>Data!E135</f>
        <v>0</v>
      </c>
      <c r="H52" s="156" t="s">
        <v>678</v>
      </c>
      <c r="I52" s="156">
        <v>200008989</v>
      </c>
      <c r="J52" s="156" t="s">
        <v>679</v>
      </c>
      <c r="K52" s="198"/>
      <c r="L52" s="198"/>
      <c r="M52" s="198"/>
      <c r="N52" s="198"/>
      <c r="O52" s="198"/>
      <c r="P52" s="198"/>
      <c r="Q52" s="198"/>
      <c r="R52" s="198"/>
    </row>
    <row r="53" spans="1:18" x14ac:dyDescent="0.25">
      <c r="A53" s="149"/>
      <c r="B53" s="234">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2">
        <v>100089546</v>
      </c>
      <c r="E53" s="242" t="s">
        <v>539</v>
      </c>
      <c r="F53" s="209"/>
      <c r="G53" s="210"/>
      <c r="H53" s="211"/>
      <c r="I53" s="211"/>
      <c r="J53" s="212"/>
      <c r="K53" s="198"/>
      <c r="L53" s="198"/>
      <c r="M53" s="198"/>
      <c r="N53" s="198"/>
      <c r="O53" s="198"/>
      <c r="P53" s="198"/>
      <c r="Q53" s="198"/>
      <c r="R53" s="198"/>
    </row>
    <row r="54" spans="1:18" x14ac:dyDescent="0.25">
      <c r="A54" s="149"/>
      <c r="B54" s="234">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1</v>
      </c>
      <c r="C54" s="161" t="s">
        <v>278</v>
      </c>
      <c r="D54" s="242">
        <v>100089547</v>
      </c>
      <c r="E54" s="242" t="s">
        <v>540</v>
      </c>
      <c r="F54" s="209"/>
      <c r="G54" s="210"/>
      <c r="H54" s="211"/>
      <c r="I54" s="211"/>
      <c r="J54" s="212"/>
      <c r="K54" s="198"/>
      <c r="L54" s="198"/>
      <c r="M54" s="198"/>
      <c r="N54" s="198"/>
      <c r="O54" s="198"/>
      <c r="P54" s="198"/>
      <c r="Q54" s="198"/>
      <c r="R54" s="198"/>
    </row>
    <row r="55" spans="1:18" x14ac:dyDescent="0.25">
      <c r="A55" s="149"/>
      <c r="B55" s="234">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2">
        <v>200002565</v>
      </c>
      <c r="E55" s="242" t="s">
        <v>541</v>
      </c>
      <c r="F55" s="209"/>
      <c r="G55" s="210"/>
      <c r="H55" s="211"/>
      <c r="I55" s="211"/>
      <c r="J55" s="212"/>
      <c r="K55" s="198"/>
      <c r="L55" s="198"/>
      <c r="M55" s="198"/>
      <c r="N55" s="198"/>
      <c r="O55" s="198"/>
      <c r="P55" s="198"/>
      <c r="Q55" s="198"/>
      <c r="R55" s="198"/>
    </row>
    <row r="56" spans="1:18" x14ac:dyDescent="0.25">
      <c r="A56" s="149"/>
      <c r="B56" s="234">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2">
        <v>200002568</v>
      </c>
      <c r="E56" s="242" t="s">
        <v>542</v>
      </c>
      <c r="F56" s="209"/>
      <c r="G56" s="210"/>
      <c r="H56" s="211"/>
      <c r="I56" s="211"/>
      <c r="J56" s="212"/>
      <c r="K56" s="198"/>
      <c r="L56" s="198"/>
      <c r="M56" s="198"/>
      <c r="N56" s="198"/>
      <c r="O56" s="198"/>
      <c r="P56" s="198"/>
      <c r="Q56" s="198"/>
      <c r="R56" s="198"/>
    </row>
    <row r="57" spans="1:18" x14ac:dyDescent="0.25">
      <c r="A57" s="149"/>
      <c r="B57" s="234">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2">
        <v>200002285</v>
      </c>
      <c r="E57" s="242" t="s">
        <v>543</v>
      </c>
      <c r="F57" s="209"/>
      <c r="G57" s="210"/>
      <c r="H57" s="211"/>
      <c r="I57" s="211"/>
      <c r="J57" s="212"/>
      <c r="K57" s="198"/>
      <c r="L57" s="198"/>
      <c r="M57" s="198"/>
      <c r="N57" s="198"/>
      <c r="O57" s="198"/>
      <c r="P57" s="198"/>
      <c r="Q57" s="198"/>
      <c r="R57" s="198"/>
    </row>
    <row r="58" spans="1:18" x14ac:dyDescent="0.25">
      <c r="A58" s="149"/>
      <c r="B58" s="234">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2">
        <v>200002286</v>
      </c>
      <c r="E58" s="242" t="s">
        <v>545</v>
      </c>
      <c r="F58" s="209"/>
      <c r="G58" s="210"/>
      <c r="H58" s="211"/>
      <c r="I58" s="211"/>
      <c r="J58" s="212"/>
      <c r="K58" s="198"/>
      <c r="L58" s="198"/>
      <c r="M58" s="198"/>
      <c r="N58" s="198"/>
      <c r="O58" s="198"/>
      <c r="P58" s="198"/>
      <c r="Q58" s="198"/>
      <c r="R58" s="198"/>
    </row>
    <row r="59" spans="1:18" x14ac:dyDescent="0.25">
      <c r="A59" s="149"/>
      <c r="B59" s="234">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7">
        <v>200004243</v>
      </c>
      <c r="E59" s="242" t="s">
        <v>546</v>
      </c>
      <c r="F59" s="209"/>
      <c r="G59" s="210"/>
      <c r="H59" s="211"/>
      <c r="I59" s="211"/>
      <c r="J59" s="212"/>
      <c r="K59" s="198"/>
      <c r="L59" s="198"/>
      <c r="M59" s="198"/>
      <c r="N59" s="198"/>
      <c r="O59" s="198"/>
      <c r="P59" s="198"/>
      <c r="Q59" s="198"/>
      <c r="R59" s="198"/>
    </row>
    <row r="60" spans="1:18" x14ac:dyDescent="0.25">
      <c r="A60" s="149"/>
      <c r="B60" s="234">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7">
        <v>200004245</v>
      </c>
      <c r="E60" s="242" t="s">
        <v>547</v>
      </c>
      <c r="F60" s="209"/>
      <c r="G60" s="210"/>
      <c r="H60" s="211"/>
      <c r="I60" s="211"/>
      <c r="J60" s="212"/>
      <c r="K60" s="198"/>
      <c r="L60" s="198"/>
      <c r="M60" s="198"/>
      <c r="N60" s="198"/>
      <c r="O60" s="198"/>
      <c r="P60" s="198"/>
      <c r="Q60" s="198"/>
      <c r="R60" s="198"/>
    </row>
    <row r="61" spans="1:18" x14ac:dyDescent="0.25">
      <c r="A61" s="149"/>
      <c r="B61" s="234">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5">
        <v>200002410</v>
      </c>
      <c r="E61" s="242" t="s">
        <v>548</v>
      </c>
      <c r="F61" s="209"/>
      <c r="G61" s="210"/>
      <c r="H61" s="211"/>
      <c r="I61" s="211"/>
      <c r="J61" s="212"/>
      <c r="K61" s="198"/>
      <c r="L61" s="198"/>
      <c r="M61" s="198"/>
      <c r="N61" s="198"/>
      <c r="O61" s="198"/>
      <c r="P61" s="198"/>
      <c r="Q61" s="198"/>
      <c r="R61" s="198"/>
    </row>
    <row r="62" spans="1:18" x14ac:dyDescent="0.25">
      <c r="A62" s="149"/>
      <c r="B62" s="234">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5">
        <v>200002412</v>
      </c>
      <c r="E62" s="242" t="s">
        <v>549</v>
      </c>
      <c r="F62" s="209"/>
      <c r="G62" s="210"/>
      <c r="H62" s="211"/>
      <c r="I62" s="211"/>
      <c r="J62" s="212"/>
      <c r="K62" s="198"/>
      <c r="L62" s="198"/>
      <c r="M62" s="198"/>
      <c r="N62" s="198"/>
      <c r="O62" s="198"/>
      <c r="P62" s="198"/>
      <c r="Q62" s="198"/>
      <c r="R62" s="198"/>
    </row>
    <row r="63" spans="1:18" x14ac:dyDescent="0.25">
      <c r="A63" s="149"/>
      <c r="B63" s="234">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5">
        <v>200002566</v>
      </c>
      <c r="E63" s="242" t="s">
        <v>550</v>
      </c>
      <c r="F63" s="209"/>
      <c r="G63" s="210"/>
      <c r="H63" s="211"/>
      <c r="I63" s="211"/>
      <c r="J63" s="212"/>
      <c r="K63" s="198"/>
      <c r="L63" s="198"/>
      <c r="M63" s="198"/>
      <c r="N63" s="198"/>
      <c r="O63" s="198"/>
      <c r="P63" s="198"/>
      <c r="Q63" s="198"/>
      <c r="R63" s="198"/>
    </row>
    <row r="64" spans="1:18" x14ac:dyDescent="0.25">
      <c r="A64" s="149"/>
      <c r="B64" s="234">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5">
        <v>200002569</v>
      </c>
      <c r="E64" s="242" t="s">
        <v>551</v>
      </c>
      <c r="F64" s="213"/>
      <c r="G64" s="214"/>
      <c r="H64" s="215"/>
      <c r="I64" s="215"/>
      <c r="J64" s="216"/>
      <c r="K64" s="198"/>
      <c r="L64" s="198"/>
      <c r="M64" s="198"/>
      <c r="N64" s="198"/>
      <c r="O64" s="198"/>
      <c r="P64" s="198"/>
      <c r="Q64" s="198"/>
      <c r="R64" s="198"/>
    </row>
    <row r="65" spans="1:18" x14ac:dyDescent="0.25">
      <c r="A65" s="149"/>
      <c r="B65" s="163"/>
      <c r="C65" s="164"/>
      <c r="D65" s="165"/>
      <c r="E65" s="166"/>
      <c r="F65" s="201"/>
      <c r="G65" s="167"/>
      <c r="H65" s="198"/>
      <c r="I65" s="198"/>
      <c r="J65" s="198"/>
      <c r="K65" s="198"/>
      <c r="L65" s="198"/>
      <c r="M65" s="198"/>
      <c r="N65" s="198"/>
      <c r="O65" s="198"/>
      <c r="P65" s="198"/>
      <c r="Q65" s="198"/>
      <c r="R65" s="198"/>
    </row>
    <row r="66" spans="1:18" x14ac:dyDescent="0.25">
      <c r="A66" s="149"/>
      <c r="B66" s="168"/>
      <c r="C66" s="168"/>
      <c r="D66" s="168"/>
      <c r="E66" s="168"/>
      <c r="F66" s="198"/>
      <c r="G66" s="199"/>
      <c r="H66" s="198"/>
      <c r="I66" s="198"/>
      <c r="J66" s="198"/>
      <c r="K66" s="198"/>
      <c r="L66" s="198"/>
      <c r="M66" s="198"/>
      <c r="N66" s="198"/>
      <c r="O66" s="198"/>
      <c r="P66" s="198"/>
      <c r="Q66" s="198"/>
      <c r="R66" s="198"/>
    </row>
    <row r="67" spans="1:18" ht="26.25" x14ac:dyDescent="0.4">
      <c r="A67" s="149"/>
      <c r="B67" s="222" t="s">
        <v>694</v>
      </c>
      <c r="C67" s="223"/>
      <c r="D67" s="223"/>
      <c r="E67" s="224"/>
      <c r="F67" s="198"/>
      <c r="G67" s="199"/>
      <c r="H67" s="198"/>
      <c r="I67" s="198"/>
      <c r="J67" s="198"/>
      <c r="K67" s="198"/>
      <c r="L67" s="198"/>
      <c r="M67" s="198"/>
      <c r="N67" s="198"/>
      <c r="O67" s="198"/>
      <c r="P67" s="198"/>
      <c r="Q67" s="198"/>
      <c r="R67" s="198"/>
    </row>
    <row r="68" spans="1:18" ht="24" x14ac:dyDescent="0.25">
      <c r="A68" s="149"/>
      <c r="B68" s="3" t="s">
        <v>683</v>
      </c>
      <c r="C68" s="3" t="s">
        <v>684</v>
      </c>
      <c r="D68" s="3" t="s">
        <v>464</v>
      </c>
      <c r="E68" s="23" t="s">
        <v>466</v>
      </c>
      <c r="F68" s="198"/>
      <c r="G68" s="169"/>
      <c r="H68" s="198"/>
      <c r="I68" s="198"/>
      <c r="J68" s="198"/>
      <c r="K68" s="198"/>
      <c r="L68" s="198"/>
      <c r="M68" s="198"/>
      <c r="N68" s="198"/>
      <c r="O68" s="198"/>
      <c r="P68" s="198"/>
      <c r="Q68" s="198"/>
      <c r="R68" s="198"/>
    </row>
    <row r="69" spans="1:18" x14ac:dyDescent="0.25">
      <c r="A69" s="149"/>
      <c r="B69" s="236">
        <f>SUM('8645C Innerduct'!C2:AF499)</f>
        <v>2164</v>
      </c>
      <c r="C69" s="158" t="s">
        <v>565</v>
      </c>
      <c r="D69" s="158">
        <v>100069989</v>
      </c>
      <c r="E69" s="158" t="s">
        <v>566</v>
      </c>
      <c r="F69" s="198"/>
      <c r="G69" s="167"/>
      <c r="H69" s="198"/>
      <c r="I69" s="198"/>
      <c r="J69" s="198"/>
      <c r="K69" s="198"/>
      <c r="L69" s="198"/>
      <c r="M69" s="198"/>
      <c r="N69" s="198"/>
      <c r="O69" s="198"/>
      <c r="P69" s="198"/>
      <c r="Q69" s="198"/>
      <c r="R69" s="198"/>
    </row>
    <row r="70" spans="1:18" ht="15" customHeight="1" x14ac:dyDescent="0.25">
      <c r="A70" s="149"/>
      <c r="B70" s="237">
        <v>20</v>
      </c>
      <c r="C70" s="158" t="s">
        <v>90</v>
      </c>
      <c r="D70" s="158">
        <v>100006143</v>
      </c>
      <c r="E70" s="158" t="s">
        <v>695</v>
      </c>
      <c r="F70" s="198"/>
      <c r="G70" s="167"/>
      <c r="H70" s="198"/>
      <c r="I70" s="198"/>
      <c r="J70" s="198"/>
      <c r="K70" s="198"/>
      <c r="L70" s="198"/>
      <c r="M70" s="198"/>
      <c r="N70" s="198"/>
      <c r="O70" s="198"/>
      <c r="P70" s="198"/>
      <c r="Q70" s="198"/>
      <c r="R70" s="198"/>
    </row>
    <row r="71" spans="1:18" x14ac:dyDescent="0.25">
      <c r="A71" s="149"/>
      <c r="B71" s="238"/>
      <c r="C71" s="158" t="s">
        <v>90</v>
      </c>
      <c r="D71" s="158">
        <v>200001922</v>
      </c>
      <c r="E71" s="158" t="s">
        <v>696</v>
      </c>
      <c r="F71" s="198"/>
      <c r="G71" s="167"/>
      <c r="H71" s="198"/>
      <c r="I71" s="198"/>
      <c r="J71" s="198"/>
      <c r="K71" s="198"/>
      <c r="L71" s="198"/>
      <c r="M71" s="198"/>
      <c r="N71" s="198"/>
      <c r="O71" s="198"/>
      <c r="P71" s="198"/>
      <c r="Q71" s="198"/>
      <c r="R71" s="198"/>
    </row>
    <row r="72" spans="1:18" x14ac:dyDescent="0.25">
      <c r="A72" s="149"/>
      <c r="B72" s="168"/>
      <c r="C72" s="168"/>
      <c r="D72" s="168"/>
      <c r="E72" s="168"/>
      <c r="F72" s="198"/>
      <c r="G72" s="199"/>
      <c r="H72" s="198"/>
      <c r="I72" s="198"/>
      <c r="J72" s="198"/>
      <c r="K72" s="198"/>
      <c r="L72" s="198"/>
      <c r="M72" s="198"/>
      <c r="N72" s="198"/>
      <c r="O72" s="198"/>
      <c r="P72" s="198"/>
      <c r="Q72" s="198"/>
      <c r="R72" s="198"/>
    </row>
    <row r="73" spans="1:18" ht="40.5" customHeight="1" x14ac:dyDescent="0.4">
      <c r="A73" s="149"/>
      <c r="B73" s="342" t="s">
        <v>697</v>
      </c>
      <c r="C73" s="343"/>
      <c r="D73" s="344"/>
      <c r="E73" s="338" t="s">
        <v>698</v>
      </c>
      <c r="F73" s="339"/>
      <c r="G73" s="202"/>
      <c r="H73" s="198"/>
      <c r="I73" s="198"/>
      <c r="J73" s="198"/>
      <c r="K73" s="198"/>
      <c r="L73" s="198"/>
      <c r="M73" s="198"/>
      <c r="N73" s="198"/>
      <c r="O73" s="198"/>
      <c r="P73" s="198"/>
      <c r="Q73" s="198"/>
      <c r="R73" s="198"/>
    </row>
    <row r="74" spans="1:18" ht="24" x14ac:dyDescent="0.25">
      <c r="A74" s="149"/>
      <c r="B74" s="3" t="s">
        <v>683</v>
      </c>
      <c r="C74" s="3" t="s">
        <v>684</v>
      </c>
      <c r="D74" s="3" t="s">
        <v>464</v>
      </c>
      <c r="E74" s="23" t="s">
        <v>466</v>
      </c>
      <c r="F74" s="24" t="s">
        <v>699</v>
      </c>
      <c r="G74" s="199"/>
      <c r="H74" s="198"/>
      <c r="I74" s="198"/>
      <c r="J74" s="198"/>
      <c r="K74" s="198"/>
      <c r="L74" s="198"/>
      <c r="M74" s="198"/>
      <c r="N74" s="198"/>
      <c r="O74" s="198"/>
      <c r="P74" s="198"/>
      <c r="Q74" s="198"/>
      <c r="R74" s="198"/>
    </row>
    <row r="75" spans="1:18" x14ac:dyDescent="0.25">
      <c r="A75" s="149"/>
      <c r="B75" s="239"/>
      <c r="C75" s="158" t="s">
        <v>567</v>
      </c>
      <c r="D75" s="158">
        <v>100001248</v>
      </c>
      <c r="E75" s="158" t="s">
        <v>568</v>
      </c>
      <c r="F75" s="152">
        <f>B75*Data!D74</f>
        <v>0</v>
      </c>
      <c r="G75" s="199"/>
      <c r="H75" s="198"/>
      <c r="I75" s="198"/>
      <c r="J75" s="198"/>
      <c r="K75" s="198"/>
      <c r="L75" s="198"/>
      <c r="M75" s="198"/>
      <c r="N75" s="198"/>
      <c r="O75" s="198"/>
      <c r="P75" s="198"/>
      <c r="Q75" s="198"/>
      <c r="R75" s="198"/>
    </row>
    <row r="76" spans="1:18" s="12" customFormat="1" ht="15" customHeight="1" x14ac:dyDescent="0.2">
      <c r="A76" s="150"/>
      <c r="B76" s="239"/>
      <c r="C76" s="158" t="s">
        <v>567</v>
      </c>
      <c r="D76" s="158">
        <v>100001242</v>
      </c>
      <c r="E76" s="158" t="s">
        <v>700</v>
      </c>
      <c r="F76" s="152">
        <f>B76*Data!D75</f>
        <v>0</v>
      </c>
      <c r="G76" s="200"/>
      <c r="H76" s="200"/>
      <c r="I76" s="200"/>
      <c r="J76" s="200"/>
      <c r="K76" s="200"/>
      <c r="L76" s="200"/>
      <c r="M76" s="200"/>
      <c r="N76" s="200"/>
      <c r="O76" s="200"/>
      <c r="P76" s="200"/>
      <c r="Q76" s="200"/>
      <c r="R76" s="200"/>
    </row>
    <row r="77" spans="1:18" s="12" customFormat="1" ht="15" customHeight="1" x14ac:dyDescent="0.2">
      <c r="A77" s="150"/>
      <c r="B77" s="239"/>
      <c r="C77" s="158" t="s">
        <v>701</v>
      </c>
      <c r="D77" s="158">
        <v>100001248</v>
      </c>
      <c r="E77" s="158" t="s">
        <v>702</v>
      </c>
      <c r="F77" s="152">
        <f>B77*Data!D73</f>
        <v>0</v>
      </c>
      <c r="G77" s="200"/>
      <c r="H77" s="200"/>
      <c r="I77" s="200"/>
      <c r="J77" s="200"/>
      <c r="K77" s="200"/>
      <c r="L77" s="200"/>
      <c r="M77" s="200"/>
      <c r="N77" s="200"/>
      <c r="O77" s="200"/>
      <c r="P77" s="200"/>
      <c r="Q77" s="200"/>
      <c r="R77" s="200"/>
    </row>
    <row r="78" spans="1:18" s="12" customFormat="1" ht="15" customHeight="1" x14ac:dyDescent="0.2">
      <c r="A78" s="150"/>
      <c r="B78" s="239"/>
      <c r="C78" s="158" t="s">
        <v>565</v>
      </c>
      <c r="D78" s="158">
        <v>100069989</v>
      </c>
      <c r="E78" s="158" t="s">
        <v>703</v>
      </c>
      <c r="F78" s="152">
        <f>B78*Data!D70</f>
        <v>0</v>
      </c>
      <c r="G78" s="200"/>
      <c r="H78" s="200"/>
      <c r="I78" s="200"/>
      <c r="J78" s="200"/>
      <c r="K78" s="200"/>
      <c r="L78" s="200"/>
      <c r="M78" s="200"/>
      <c r="N78" s="200"/>
      <c r="O78" s="200"/>
      <c r="P78" s="200"/>
      <c r="Q78" s="200"/>
      <c r="R78" s="200"/>
    </row>
    <row r="79" spans="1:18" s="12" customFormat="1" ht="30" customHeight="1" x14ac:dyDescent="0.2">
      <c r="A79" s="150"/>
      <c r="B79" s="240"/>
      <c r="C79" s="157" t="s">
        <v>570</v>
      </c>
      <c r="D79" s="231" t="s">
        <v>704</v>
      </c>
      <c r="E79" s="157" t="s">
        <v>705</v>
      </c>
      <c r="F79" s="152">
        <f>B79*Data!D76</f>
        <v>0</v>
      </c>
      <c r="G79" s="200"/>
      <c r="H79" s="200"/>
      <c r="I79" s="200"/>
      <c r="J79" s="200"/>
      <c r="K79" s="200"/>
      <c r="L79" s="200"/>
      <c r="M79" s="200"/>
      <c r="N79" s="200"/>
      <c r="O79" s="200"/>
      <c r="P79" s="200"/>
      <c r="Q79" s="200"/>
      <c r="R79" s="200"/>
    </row>
    <row r="80" spans="1:18" s="12" customFormat="1" ht="45" customHeight="1" x14ac:dyDescent="0.2">
      <c r="A80" s="150"/>
      <c r="B80" s="240"/>
      <c r="C80" s="157" t="s">
        <v>573</v>
      </c>
      <c r="D80" s="231" t="s">
        <v>706</v>
      </c>
      <c r="E80" s="157" t="s">
        <v>707</v>
      </c>
      <c r="F80" s="152">
        <f>B80*Data!D78</f>
        <v>0</v>
      </c>
      <c r="G80" s="200"/>
      <c r="H80" s="200"/>
      <c r="I80" s="200"/>
      <c r="J80" s="200"/>
      <c r="K80" s="200"/>
      <c r="L80" s="200"/>
      <c r="M80" s="200"/>
      <c r="N80" s="200"/>
      <c r="O80" s="200"/>
      <c r="P80" s="200"/>
      <c r="Q80" s="200"/>
      <c r="R80" s="200"/>
    </row>
    <row r="81" spans="1:18" s="12" customFormat="1" ht="15" customHeight="1" x14ac:dyDescent="0.25">
      <c r="A81" s="150"/>
      <c r="B81" s="241"/>
      <c r="C81" s="159" t="s">
        <v>687</v>
      </c>
      <c r="D81" s="160">
        <v>100006155</v>
      </c>
      <c r="E81" s="160" t="s">
        <v>708</v>
      </c>
      <c r="F81" s="152">
        <f>B81*Data!D66</f>
        <v>0</v>
      </c>
      <c r="G81" s="200"/>
      <c r="H81" s="200"/>
      <c r="I81" s="200"/>
      <c r="J81" s="200"/>
      <c r="K81" s="200"/>
      <c r="L81" s="200"/>
      <c r="M81" s="200"/>
      <c r="N81" s="200"/>
      <c r="O81" s="200"/>
      <c r="P81" s="200"/>
      <c r="Q81" s="200"/>
      <c r="R81" s="200"/>
    </row>
    <row r="82" spans="1:18" s="12" customFormat="1" ht="15" customHeight="1" x14ac:dyDescent="0.25">
      <c r="A82" s="150"/>
      <c r="B82" s="241"/>
      <c r="C82" s="159" t="s">
        <v>557</v>
      </c>
      <c r="D82" s="244">
        <v>100035465</v>
      </c>
      <c r="E82" s="244" t="s">
        <v>689</v>
      </c>
      <c r="F82" s="152">
        <f>B82*Data!D63</f>
        <v>0</v>
      </c>
      <c r="G82" s="200"/>
      <c r="H82" s="200"/>
      <c r="I82" s="200"/>
      <c r="J82" s="200"/>
      <c r="K82" s="200"/>
      <c r="L82" s="200"/>
      <c r="M82" s="200"/>
      <c r="N82" s="200"/>
      <c r="O82" s="200"/>
      <c r="P82" s="200"/>
      <c r="Q82" s="200"/>
      <c r="R82" s="200"/>
    </row>
    <row r="83" spans="1:18" s="12" customFormat="1" ht="15" customHeight="1" x14ac:dyDescent="0.25">
      <c r="A83" s="150"/>
      <c r="B83" s="241"/>
      <c r="C83" s="159" t="s">
        <v>690</v>
      </c>
      <c r="D83" s="244">
        <v>100006173</v>
      </c>
      <c r="E83" s="244" t="s">
        <v>691</v>
      </c>
      <c r="F83" s="152">
        <f>B83*Data!D67</f>
        <v>0</v>
      </c>
      <c r="G83" s="200"/>
      <c r="H83" s="200"/>
      <c r="I83" s="200"/>
      <c r="J83" s="200"/>
      <c r="K83" s="200"/>
      <c r="L83" s="200"/>
      <c r="M83" s="200"/>
      <c r="N83" s="200"/>
      <c r="O83" s="200"/>
      <c r="P83" s="200"/>
      <c r="Q83" s="200"/>
      <c r="R83" s="200"/>
    </row>
    <row r="84" spans="1:18" s="12" customFormat="1" ht="15" customHeight="1" x14ac:dyDescent="0.25">
      <c r="A84" s="150"/>
      <c r="B84" s="241"/>
      <c r="C84" s="160" t="s">
        <v>559</v>
      </c>
      <c r="D84" s="242">
        <v>100081409</v>
      </c>
      <c r="E84" s="246" t="s">
        <v>692</v>
      </c>
      <c r="F84" s="152">
        <f>B84*Data!D64</f>
        <v>0</v>
      </c>
      <c r="G84" s="200"/>
      <c r="H84" s="200"/>
      <c r="I84" s="200"/>
      <c r="J84" s="200"/>
      <c r="K84" s="200"/>
      <c r="L84" s="200"/>
      <c r="M84" s="200"/>
      <c r="N84" s="200"/>
      <c r="O84" s="200"/>
      <c r="P84" s="200"/>
      <c r="Q84" s="200"/>
      <c r="R84" s="200"/>
    </row>
    <row r="85" spans="1:18" s="12" customFormat="1" ht="15" customHeight="1" x14ac:dyDescent="0.25">
      <c r="A85" s="150"/>
      <c r="B85" s="241"/>
      <c r="C85" s="160" t="s">
        <v>559</v>
      </c>
      <c r="D85" s="242">
        <v>100006191</v>
      </c>
      <c r="E85" s="246" t="s">
        <v>693</v>
      </c>
      <c r="F85" s="152">
        <f>B85*Data!D65</f>
        <v>0</v>
      </c>
      <c r="G85" s="200"/>
      <c r="H85" s="200"/>
      <c r="I85" s="200"/>
      <c r="J85" s="200"/>
      <c r="K85" s="200"/>
      <c r="L85" s="200"/>
      <c r="M85" s="200"/>
      <c r="N85" s="200"/>
      <c r="O85" s="200"/>
      <c r="P85" s="200"/>
      <c r="Q85" s="200"/>
      <c r="R85" s="200"/>
    </row>
    <row r="86" spans="1:18" s="12" customFormat="1" ht="15" customHeight="1" x14ac:dyDescent="0.2">
      <c r="A86" s="150"/>
      <c r="G86" s="200"/>
      <c r="H86" s="200"/>
      <c r="I86" s="200"/>
      <c r="J86" s="200"/>
      <c r="K86" s="200"/>
      <c r="L86" s="200"/>
      <c r="M86" s="200"/>
      <c r="N86" s="200"/>
      <c r="O86" s="200"/>
      <c r="P86" s="200"/>
      <c r="Q86" s="200"/>
      <c r="R86" s="200"/>
    </row>
    <row r="87" spans="1:18" s="12" customFormat="1" ht="15" hidden="1" customHeight="1" x14ac:dyDescent="0.2">
      <c r="A87" s="150"/>
      <c r="B87" s="240"/>
      <c r="C87" s="160" t="s">
        <v>576</v>
      </c>
      <c r="D87" s="160">
        <v>100087882</v>
      </c>
      <c r="E87" s="160" t="s">
        <v>577</v>
      </c>
      <c r="F87" s="152">
        <f>B87*Data!D81</f>
        <v>0</v>
      </c>
      <c r="G87" s="200"/>
      <c r="H87" s="200"/>
      <c r="I87" s="200"/>
      <c r="J87" s="200"/>
      <c r="K87" s="200"/>
      <c r="L87" s="200"/>
      <c r="M87" s="200"/>
      <c r="N87" s="200"/>
      <c r="O87" s="200"/>
      <c r="P87" s="200"/>
      <c r="Q87" s="200"/>
      <c r="R87" s="200"/>
    </row>
    <row r="88" spans="1:18" s="12" customFormat="1" ht="15" hidden="1" customHeight="1" x14ac:dyDescent="0.2">
      <c r="A88" s="150"/>
      <c r="B88" s="240"/>
      <c r="C88" s="160" t="s">
        <v>578</v>
      </c>
      <c r="D88" s="160">
        <v>100086300</v>
      </c>
      <c r="E88" s="160" t="s">
        <v>579</v>
      </c>
      <c r="F88" s="152">
        <f>B88*Data!D82</f>
        <v>0</v>
      </c>
      <c r="G88" s="167"/>
      <c r="H88" s="200"/>
      <c r="I88" s="200"/>
      <c r="J88" s="200"/>
      <c r="K88" s="200"/>
      <c r="L88" s="200"/>
      <c r="M88" s="200"/>
      <c r="N88" s="200"/>
      <c r="O88" s="200"/>
      <c r="P88" s="200"/>
      <c r="Q88" s="200"/>
      <c r="R88" s="200"/>
    </row>
    <row r="89" spans="1:18" hidden="1" x14ac:dyDescent="0.25">
      <c r="A89" s="149"/>
      <c r="B89" s="241"/>
      <c r="C89" s="160" t="s">
        <v>559</v>
      </c>
      <c r="D89" s="160">
        <v>100006191</v>
      </c>
      <c r="E89" s="160" t="s">
        <v>709</v>
      </c>
      <c r="F89" s="152">
        <f>B89*Data!D65</f>
        <v>0</v>
      </c>
      <c r="G89" s="199"/>
      <c r="H89" s="198"/>
      <c r="I89" s="198"/>
      <c r="J89" s="198"/>
      <c r="K89" s="198"/>
      <c r="L89" s="198"/>
      <c r="M89" s="198"/>
      <c r="N89" s="198"/>
      <c r="O89" s="198"/>
      <c r="P89" s="198"/>
      <c r="Q89" s="198"/>
      <c r="R89" s="198"/>
    </row>
    <row r="90" spans="1:18" hidden="1" x14ac:dyDescent="0.25">
      <c r="A90" s="149"/>
      <c r="B90" s="248"/>
      <c r="C90" s="249"/>
      <c r="D90" s="249"/>
      <c r="E90" s="249"/>
      <c r="F90" s="250"/>
      <c r="G90" s="199"/>
      <c r="H90" s="198"/>
      <c r="I90" s="198"/>
      <c r="J90" s="198"/>
      <c r="K90" s="198"/>
      <c r="L90" s="198"/>
      <c r="M90" s="198"/>
      <c r="N90" s="198"/>
      <c r="O90" s="198"/>
      <c r="P90" s="198"/>
      <c r="Q90" s="198"/>
      <c r="R90" s="198"/>
    </row>
    <row r="91" spans="1:18" ht="24" hidden="1" x14ac:dyDescent="0.25">
      <c r="A91" s="149"/>
      <c r="B91" s="3" t="s">
        <v>683</v>
      </c>
      <c r="C91" s="3" t="s">
        <v>684</v>
      </c>
      <c r="D91" s="3" t="s">
        <v>464</v>
      </c>
      <c r="E91" s="23" t="s">
        <v>466</v>
      </c>
      <c r="F91" s="24" t="s">
        <v>699</v>
      </c>
      <c r="G91" s="199"/>
      <c r="H91" s="198"/>
      <c r="I91" s="198"/>
      <c r="J91" s="198"/>
      <c r="K91" s="198"/>
      <c r="L91" s="198"/>
      <c r="M91" s="198"/>
      <c r="N91" s="198"/>
      <c r="O91" s="198"/>
      <c r="P91" s="198"/>
      <c r="Q91" s="198"/>
      <c r="R91" s="198"/>
    </row>
    <row r="92" spans="1:18" s="13" customFormat="1" hidden="1" x14ac:dyDescent="0.25">
      <c r="A92" s="151"/>
      <c r="B92" s="241"/>
      <c r="C92" s="158" t="s">
        <v>710</v>
      </c>
      <c r="D92" s="158" t="s">
        <v>711</v>
      </c>
      <c r="E92" s="158" t="s">
        <v>712</v>
      </c>
      <c r="F92" s="152">
        <f>IFERROR(B92*4434,"")</f>
        <v>0</v>
      </c>
      <c r="G92" s="203"/>
      <c r="H92" s="203"/>
      <c r="I92" s="203"/>
      <c r="J92" s="203"/>
      <c r="K92" s="203"/>
      <c r="L92" s="203"/>
      <c r="M92" s="203"/>
      <c r="N92" s="203"/>
      <c r="O92" s="203"/>
      <c r="P92" s="203"/>
      <c r="Q92" s="203"/>
      <c r="R92" s="203"/>
    </row>
    <row r="93" spans="1:18" s="13" customFormat="1" x14ac:dyDescent="0.25">
      <c r="A93" s="170"/>
      <c r="B93" s="170"/>
      <c r="C93" s="170"/>
      <c r="D93" s="170"/>
      <c r="E93" s="170"/>
      <c r="F93" s="203"/>
      <c r="G93" s="204"/>
      <c r="H93" s="203"/>
      <c r="I93" s="203"/>
      <c r="J93" s="203"/>
      <c r="K93" s="203"/>
      <c r="L93" s="203"/>
      <c r="M93" s="203"/>
      <c r="N93" s="203"/>
      <c r="O93" s="203"/>
      <c r="P93" s="203"/>
      <c r="Q93" s="203"/>
      <c r="R93" s="203"/>
    </row>
    <row r="94" spans="1:18" s="13" customFormat="1" x14ac:dyDescent="0.25">
      <c r="A94" s="170"/>
      <c r="B94" s="170"/>
      <c r="C94" s="170"/>
      <c r="D94" s="170"/>
      <c r="E94" s="170"/>
      <c r="F94" s="203"/>
      <c r="G94" s="204"/>
      <c r="H94" s="203"/>
      <c r="I94" s="203"/>
      <c r="J94" s="203"/>
      <c r="K94" s="203"/>
      <c r="L94" s="203"/>
      <c r="M94" s="203"/>
      <c r="N94" s="203"/>
      <c r="O94" s="203"/>
      <c r="P94" s="203"/>
      <c r="Q94" s="203"/>
      <c r="R94" s="203"/>
    </row>
    <row r="95" spans="1:18" s="13" customFormat="1" x14ac:dyDescent="0.25">
      <c r="A95" s="170"/>
      <c r="B95" s="170"/>
      <c r="C95" s="170"/>
      <c r="D95" s="170"/>
      <c r="E95" s="170"/>
      <c r="F95" s="203"/>
      <c r="G95" s="204"/>
      <c r="H95" s="203"/>
      <c r="I95" s="203"/>
      <c r="J95" s="203"/>
      <c r="K95" s="203"/>
      <c r="L95" s="203"/>
      <c r="M95" s="203"/>
      <c r="N95" s="203"/>
      <c r="O95" s="203"/>
      <c r="P95" s="203"/>
      <c r="Q95" s="203"/>
      <c r="R95" s="203"/>
    </row>
    <row r="96" spans="1:18" s="13" customFormat="1" x14ac:dyDescent="0.25">
      <c r="A96" s="170"/>
      <c r="B96" s="170"/>
      <c r="C96" s="170"/>
      <c r="D96" s="170"/>
      <c r="E96" s="170"/>
      <c r="F96" s="203"/>
      <c r="G96" s="204"/>
      <c r="H96" s="203"/>
      <c r="I96" s="203"/>
      <c r="J96" s="203"/>
      <c r="K96" s="203"/>
      <c r="L96" s="203"/>
      <c r="M96" s="203"/>
      <c r="N96" s="203"/>
      <c r="O96" s="203"/>
      <c r="P96" s="203"/>
      <c r="Q96" s="203"/>
      <c r="R96" s="203"/>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2024-06-19T14:40:40Z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