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095957\Desktop\Process\SPC\Sarvagram Fincare Pvt. Ltd\"/>
    </mc:Choice>
  </mc:AlternateContent>
  <xr:revisionPtr revIDLastSave="0" documentId="13_ncr:1_{182AAE5A-C608-413D-AA1C-13310DDCAE7B}" xr6:coauthVersionLast="47" xr6:coauthVersionMax="47" xr10:uidLastSave="{00000000-0000-0000-0000-000000000000}"/>
  <workbookProtection workbookAlgorithmName="SHA-512" workbookHashValue="uIfYaMqqZbp5ySei/UQI/y50JgS3U9WoSq6mseESpp5Zk7jEWWNfVrIprrfDPTk7XPjZgGnjYjm4+miYIwN4iA==" workbookSaltValue="6xHSGGHnVIUkCYCIc8yqKA==" workbookSpinCount="100000" lockStructure="1"/>
  <bookViews>
    <workbookView xWindow="-120" yWindow="-120" windowWidth="20730" windowHeight="11160" tabRatio="685" xr2:uid="{00000000-000D-0000-FFFF-FFFF00000000}"/>
  </bookViews>
  <sheets>
    <sheet name="UI" sheetId="1" r:id="rId1"/>
    <sheet name="Logic" sheetId="2" state="hidden" r:id="rId2"/>
    <sheet name="BL_BDB" sheetId="8" state="hidden" r:id="rId3"/>
    <sheet name="BL_ACI_Male" sheetId="3" state="hidden" r:id="rId4"/>
    <sheet name="BL_ACI_Female" sheetId="4" state="hidden" r:id="rId5"/>
  </sheets>
  <definedNames>
    <definedName name="_xlnm._FilterDatabase" localSheetId="1" hidden="1">Logic!$AG$2:$AG$47</definedName>
    <definedName name="_xlnm._FilterDatabase" localSheetId="0" hidden="1">UI!$B$22:$E$23</definedName>
    <definedName name="_xlnm.Print_Area" localSheetId="3">BL_ACI_Male!$A$1:$L$57</definedName>
    <definedName name="_xlnm.Print_Titles" localSheetId="3">BL_ACI_Male!$A:$A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" l="1"/>
  <c r="K10" i="1"/>
  <c r="P6" i="2" s="1"/>
  <c r="AL9" i="2" s="1"/>
  <c r="J10" i="1"/>
  <c r="F16" i="2"/>
  <c r="F15" i="2"/>
  <c r="J11" i="1"/>
  <c r="D24" i="2"/>
  <c r="P5" i="2" l="1"/>
  <c r="F17" i="2"/>
  <c r="P3" i="2" s="1"/>
  <c r="E24" i="2"/>
  <c r="D27" i="2"/>
  <c r="AR14" i="2"/>
  <c r="F16" i="1"/>
  <c r="B27" i="2"/>
  <c r="A27" i="2"/>
  <c r="B26" i="2" s="1"/>
  <c r="B14" i="2"/>
  <c r="AA2" i="2" l="1"/>
  <c r="B11" i="2" s="1"/>
  <c r="B16" i="2" s="1"/>
  <c r="B2" i="2" l="1"/>
  <c r="B1" i="2"/>
  <c r="C2" i="2" s="1"/>
  <c r="B5" i="2" l="1"/>
  <c r="B18" i="2" l="1"/>
  <c r="Z2" i="2" l="1"/>
  <c r="B12" i="2" s="1"/>
  <c r="C11" i="1" s="1"/>
  <c r="C16" i="2"/>
  <c r="B15" i="2" l="1"/>
  <c r="B13" i="2"/>
  <c r="E3" i="2" l="1"/>
  <c r="AK8" i="2"/>
  <c r="A31" i="2"/>
  <c r="E2" i="2"/>
  <c r="B29" i="2"/>
  <c r="N17" i="2"/>
  <c r="AK9" i="2"/>
  <c r="AM9" i="2" s="1"/>
  <c r="K17" i="1" s="1"/>
  <c r="C12" i="1"/>
  <c r="AP14" i="2" l="1"/>
  <c r="AQ14" i="2"/>
  <c r="AO14" i="2"/>
  <c r="B7" i="2"/>
  <c r="A8" i="2" s="1"/>
  <c r="A30" i="2"/>
  <c r="E25" i="2"/>
  <c r="E26" i="2"/>
  <c r="E34" i="2"/>
  <c r="E38" i="2"/>
  <c r="E42" i="2"/>
  <c r="E37" i="2"/>
  <c r="E27" i="2"/>
  <c r="E31" i="2"/>
  <c r="E35" i="2"/>
  <c r="E39" i="2"/>
  <c r="E43" i="2"/>
  <c r="E33" i="2"/>
  <c r="E32" i="2"/>
  <c r="E36" i="2"/>
  <c r="E40" i="2"/>
  <c r="E41" i="2"/>
  <c r="D42" i="2"/>
  <c r="D43" i="2"/>
  <c r="D25" i="2"/>
  <c r="D26" i="2"/>
  <c r="D34" i="2"/>
  <c r="D38" i="2"/>
  <c r="D37" i="2"/>
  <c r="D31" i="2"/>
  <c r="D35" i="2"/>
  <c r="D39" i="2"/>
  <c r="D33" i="2"/>
  <c r="D32" i="2"/>
  <c r="D36" i="2"/>
  <c r="D40" i="2"/>
  <c r="D41" i="2"/>
  <c r="O4" i="2"/>
  <c r="A29" i="2" l="1"/>
  <c r="O5" i="2"/>
  <c r="P4" i="2"/>
  <c r="O7" i="2"/>
  <c r="P7" i="2"/>
  <c r="O6" i="2" l="1"/>
  <c r="AL8" i="2" s="1"/>
  <c r="AM8" i="2" s="1"/>
  <c r="J17" i="1" s="1"/>
  <c r="O8" i="2"/>
  <c r="O9" i="2" l="1"/>
  <c r="O12" i="2" s="1"/>
  <c r="P8" i="2"/>
  <c r="O10" i="2" l="1"/>
  <c r="O11" i="2"/>
  <c r="P9" i="2"/>
  <c r="J12" i="1"/>
  <c r="F11" i="2"/>
  <c r="P12" i="2" l="1"/>
  <c r="P11" i="2"/>
  <c r="P10" i="2"/>
  <c r="J13" i="1"/>
  <c r="K12" i="1"/>
  <c r="E11" i="2"/>
  <c r="E12" i="2"/>
  <c r="F12" i="2"/>
  <c r="K13" i="1" l="1"/>
  <c r="K14" i="1" s="1"/>
  <c r="A3" i="2"/>
  <c r="G1" i="2"/>
  <c r="G2" i="2" s="1"/>
  <c r="A4" i="2" l="1"/>
  <c r="B4" i="2"/>
  <c r="J14" i="1"/>
  <c r="J15" i="1" s="1"/>
</calcChain>
</file>

<file path=xl/sharedStrings.xml><?xml version="1.0" encoding="utf-8"?>
<sst xmlns="http://schemas.openxmlformats.org/spreadsheetml/2006/main" count="165" uniqueCount="129">
  <si>
    <t>Date of Birth</t>
  </si>
  <si>
    <t>DD</t>
  </si>
  <si>
    <t>MM</t>
  </si>
  <si>
    <t>YYYY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</si>
  <si>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</si>
  <si>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</si>
  <si>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</si>
  <si>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</si>
  <si>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</si>
  <si>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</si>
  <si>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</si>
  <si>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</si>
  <si>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October</t>
  </si>
  <si>
    <t>November</t>
  </si>
  <si>
    <t>December</t>
  </si>
  <si>
    <t>DOB</t>
  </si>
  <si>
    <t>Age Calculation</t>
  </si>
  <si>
    <t>Benefit Option</t>
  </si>
  <si>
    <t>Today's Date</t>
  </si>
  <si>
    <t>Age</t>
  </si>
  <si>
    <t>Max Age</t>
  </si>
  <si>
    <t>Min Age</t>
  </si>
  <si>
    <t>September</t>
  </si>
  <si>
    <t>Sum Assured</t>
  </si>
  <si>
    <t>Coverage Term</t>
  </si>
  <si>
    <t>Buyer's Location</t>
  </si>
  <si>
    <t>Seller's Location</t>
  </si>
  <si>
    <t>States and Uts</t>
  </si>
  <si>
    <t>Delhi</t>
  </si>
  <si>
    <t>Haryana</t>
  </si>
  <si>
    <t>Punjab</t>
  </si>
  <si>
    <t>Chandigarh (UT)</t>
  </si>
  <si>
    <t>Himachal Pradesh</t>
  </si>
  <si>
    <t>Jammu &amp; Kashmir</t>
  </si>
  <si>
    <t>Uttar Pradesh</t>
  </si>
  <si>
    <t>Rajasthan</t>
  </si>
  <si>
    <t>Gujarat</t>
  </si>
  <si>
    <t>Daman &amp; Diu (UT)</t>
  </si>
  <si>
    <t>Dadra &amp; Nagar Haveli (UT)</t>
  </si>
  <si>
    <t>Maharashtra</t>
  </si>
  <si>
    <t>Goa</t>
  </si>
  <si>
    <t>Madhya Pradesh</t>
  </si>
  <si>
    <t>Chattisgarh</t>
  </si>
  <si>
    <t>Andhra Pradesh</t>
  </si>
  <si>
    <t>Karnataka</t>
  </si>
  <si>
    <t>Tamil Nadu</t>
  </si>
  <si>
    <t>Kerala</t>
  </si>
  <si>
    <t>West Bengal</t>
  </si>
  <si>
    <t>Sikkim</t>
  </si>
  <si>
    <t>Odisha</t>
  </si>
  <si>
    <t>Assam</t>
  </si>
  <si>
    <t>Arunachal Pradesh</t>
  </si>
  <si>
    <t>Manipur</t>
  </si>
  <si>
    <t>Meghalaya</t>
  </si>
  <si>
    <t>Mizoram</t>
  </si>
  <si>
    <t>Nagaland</t>
  </si>
  <si>
    <t>Tripura</t>
  </si>
  <si>
    <t>Bihar</t>
  </si>
  <si>
    <t>Jharkhand</t>
  </si>
  <si>
    <t>Lakshwadeep</t>
  </si>
  <si>
    <t>Andaman &amp; Nicobar</t>
  </si>
  <si>
    <t>Premium (excl of taxes)</t>
  </si>
  <si>
    <t>Premium Calculation</t>
  </si>
  <si>
    <t>Policy Term</t>
  </si>
  <si>
    <t>Premium Rate</t>
  </si>
  <si>
    <t>Premium</t>
  </si>
  <si>
    <t>SGST/CGST</t>
  </si>
  <si>
    <t>SGST</t>
  </si>
  <si>
    <t>CGST</t>
  </si>
  <si>
    <t>IGST</t>
  </si>
  <si>
    <t>GST</t>
  </si>
  <si>
    <t>Min Age at Entry</t>
  </si>
  <si>
    <t>Max Age at Entry</t>
  </si>
  <si>
    <t>Max Cover Ceasing Age</t>
  </si>
  <si>
    <t>Applicant Details</t>
  </si>
  <si>
    <t>Final Output</t>
  </si>
  <si>
    <t>Telangana</t>
  </si>
  <si>
    <t>Uttarakhand</t>
  </si>
  <si>
    <t>Puducherry</t>
  </si>
  <si>
    <t>Max cover term</t>
  </si>
  <si>
    <t>Max term for this</t>
  </si>
  <si>
    <t>Total P</t>
  </si>
  <si>
    <t>Cover Option</t>
  </si>
  <si>
    <t>Sum Assured (Death Benefit)</t>
  </si>
  <si>
    <t>Total Premium (Incl. taxes)</t>
  </si>
  <si>
    <t>ICICI Pru Super Protect Credit</t>
  </si>
  <si>
    <t>Cover</t>
  </si>
  <si>
    <t>ACI</t>
  </si>
  <si>
    <t>Level</t>
  </si>
  <si>
    <t>Reducing</t>
  </si>
  <si>
    <t>Death</t>
  </si>
  <si>
    <t>Death Benefit</t>
  </si>
  <si>
    <t>Gender</t>
  </si>
  <si>
    <t>Death+ACI</t>
  </si>
  <si>
    <t>Death+ATPD</t>
  </si>
  <si>
    <t>Death+ACI+ATPD</t>
  </si>
  <si>
    <t>Female</t>
  </si>
  <si>
    <t>Premium (incl of taxes)</t>
  </si>
  <si>
    <t>Option</t>
  </si>
  <si>
    <t>Death/ ATPD</t>
  </si>
  <si>
    <t>SA</t>
  </si>
  <si>
    <t xml:space="preserve"> </t>
  </si>
  <si>
    <t>RCD</t>
  </si>
  <si>
    <t>Premium Payment Term: Single Premium</t>
  </si>
  <si>
    <t>Interest rate</t>
  </si>
  <si>
    <t>Rates are excluding taxes</t>
  </si>
  <si>
    <t>CI</t>
  </si>
  <si>
    <t>NML</t>
  </si>
  <si>
    <t>DOB out of range</t>
  </si>
  <si>
    <t>Loan Amount (in Rs.)</t>
  </si>
  <si>
    <t>Loan Tenure in years</t>
  </si>
  <si>
    <t xml:space="preserve">min </t>
  </si>
  <si>
    <t>Death only</t>
  </si>
  <si>
    <t xml:space="preserve">Death </t>
  </si>
  <si>
    <t>Death Only</t>
  </si>
  <si>
    <t>Applicant Name</t>
  </si>
  <si>
    <t>ABC</t>
  </si>
  <si>
    <t>Age \ Tenure</t>
  </si>
  <si>
    <t>Male</t>
  </si>
  <si>
    <t>Age\ Term</t>
  </si>
  <si>
    <t>Business Loan</t>
  </si>
  <si>
    <t>Loan</t>
  </si>
  <si>
    <t>BL</t>
  </si>
  <si>
    <t>Benefit</t>
  </si>
  <si>
    <t>BDB</t>
  </si>
  <si>
    <t>Sheet</t>
  </si>
  <si>
    <t>BL_BDB</t>
  </si>
  <si>
    <t>Calculator_Sarvagram Fincare Private Limited</t>
  </si>
  <si>
    <t>NML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</si>
</sst>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00"/>
    <numFmt numFmtId="166" formatCode="_ [$₹-439]* #,##0_ ;_ [$₹-439]* \-#,##0_ ;_ [$₹-439]* &quot;-&quot;_ ;_ @_ "/>
    <numFmt numFmtId="167" formatCode="#,##0.000"/>
  </numFmts>
  <fonts count="1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Zurich BT"/>
      <family val="2"/>
    </font>
    <font>
      <sz val="11"/>
      <color theme="1"/>
      <name val="Zurich BT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indexed="8"/>
      <name val="Zurich BT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21">
    <xf numFmtId="0" fontId="0" fillId="0" borderId="0" xfId="0"/>
    <xf numFmtId="14" fontId="0" fillId="0" borderId="0" xfId="0" applyNumberFormat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0" xfId="0" applyFont="1" applyFill="1"/>
    <xf numFmtId="0" fontId="4" fillId="0" borderId="0" xfId="0" applyFont="1"/>
    <xf numFmtId="9" fontId="4" fillId="0" borderId="0" xfId="0" applyNumberFormat="1" applyFont="1"/>
    <xf numFmtId="0" fontId="2" fillId="0" borderId="0" xfId="0" applyFont="1"/>
    <xf numFmtId="0" fontId="2" fillId="4" borderId="0" xfId="0" applyFont="1" applyFill="1"/>
    <xf numFmtId="0" fontId="0" fillId="4" borderId="0" xfId="0" applyFill="1"/>
    <xf numFmtId="0" fontId="6" fillId="0" borderId="0" xfId="0" applyFont="1"/>
    <xf numFmtId="0" fontId="0" fillId="7" borderId="0" xfId="0" applyFill="1"/>
    <xf numFmtId="0" fontId="7" fillId="7" borderId="0" xfId="0" applyFont="1" applyFill="1"/>
    <xf numFmtId="165" fontId="0" fillId="0" borderId="0" xfId="0" applyNumberFormat="1"/>
    <xf numFmtId="0" fontId="1" fillId="6" borderId="2" xfId="0" applyFon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0" borderId="2" xfId="0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9" fontId="0" fillId="0" borderId="0" xfId="2" applyFont="1"/>
    <xf numFmtId="0" fontId="0" fillId="0" borderId="2" xfId="0" applyBorder="1"/>
    <xf numFmtId="0" fontId="0" fillId="0" borderId="0" xfId="0" applyAlignment="1">
      <alignment wrapText="1"/>
    </xf>
    <xf numFmtId="0" fontId="12" fillId="7" borderId="0" xfId="0" applyFont="1" applyFill="1"/>
    <xf numFmtId="0" fontId="11" fillId="7" borderId="0" xfId="0" applyFont="1" applyFill="1" applyAlignment="1">
      <alignment horizontal="left"/>
    </xf>
    <xf numFmtId="0" fontId="2" fillId="0" borderId="6" xfId="0" applyFont="1" applyBorder="1"/>
    <xf numFmtId="0" fontId="8" fillId="7" borderId="0" xfId="0" applyFont="1" applyFill="1" applyAlignment="1">
      <alignment horizontal="center" vertical="center"/>
    </xf>
    <xf numFmtId="0" fontId="0" fillId="7" borderId="17" xfId="0" applyFill="1" applyBorder="1"/>
    <xf numFmtId="0" fontId="2" fillId="10" borderId="18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165" fontId="4" fillId="0" borderId="2" xfId="0" applyNumberFormat="1" applyFont="1" applyBorder="1" applyAlignment="1">
      <alignment horizontal="center" vertical="center"/>
    </xf>
    <xf numFmtId="167" fontId="17" fillId="0" borderId="2" xfId="0" applyNumberFormat="1" applyFont="1" applyBorder="1" applyAlignment="1">
      <alignment horizontal="center"/>
    </xf>
    <xf numFmtId="3" fontId="0" fillId="0" borderId="0" xfId="0" applyNumberFormat="1"/>
    <xf numFmtId="0" fontId="0" fillId="11" borderId="0" xfId="0" applyFill="1"/>
    <xf numFmtId="0" fontId="2" fillId="7" borderId="0" xfId="0" applyFont="1" applyFill="1"/>
    <xf numFmtId="0" fontId="0" fillId="7" borderId="0" xfId="0" applyFill="1" applyAlignment="1">
      <alignment horizontal="center"/>
    </xf>
    <xf numFmtId="0" fontId="0" fillId="2" borderId="7" xfId="0" applyFill="1" applyBorder="1" applyAlignment="1" applyProtection="1">
      <alignment horizontal="center"/>
      <protection locked="0"/>
    </xf>
    <xf numFmtId="0" fontId="0" fillId="0" borderId="7" xfId="0" applyBorder="1" applyAlignment="1">
      <alignment horizontal="center"/>
    </xf>
    <xf numFmtId="0" fontId="2" fillId="0" borderId="21" xfId="0" applyFont="1" applyBorder="1"/>
    <xf numFmtId="0" fontId="2" fillId="0" borderId="17" xfId="0" applyFont="1" applyBorder="1"/>
    <xf numFmtId="0" fontId="2" fillId="0" borderId="21" xfId="0" applyFont="1" applyBorder="1" applyAlignment="1">
      <alignment vertical="center"/>
    </xf>
    <xf numFmtId="0" fontId="2" fillId="0" borderId="16" xfId="0" applyFont="1" applyBorder="1"/>
    <xf numFmtId="0" fontId="0" fillId="0" borderId="0" xfId="0" applyAlignment="1">
      <alignment horizontal="right"/>
    </xf>
    <xf numFmtId="0" fontId="0" fillId="12" borderId="0" xfId="0" applyFill="1"/>
    <xf numFmtId="0" fontId="0" fillId="13" borderId="2" xfId="0" applyFill="1" applyBorder="1"/>
    <xf numFmtId="0" fontId="18" fillId="7" borderId="0" xfId="0" applyFont="1" applyFill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167" fontId="17" fillId="0" borderId="0" xfId="0" applyNumberFormat="1" applyFont="1" applyAlignment="1">
      <alignment horizontal="center"/>
    </xf>
    <xf numFmtId="0" fontId="0" fillId="12" borderId="2" xfId="0" applyFill="1" applyBorder="1"/>
    <xf numFmtId="0" fontId="15" fillId="3" borderId="2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2" fillId="0" borderId="26" xfId="0" applyFont="1" applyBorder="1"/>
    <xf numFmtId="0" fontId="2" fillId="0" borderId="26" xfId="0" applyFont="1" applyBorder="1" applyAlignment="1">
      <alignment vertical="center"/>
    </xf>
    <xf numFmtId="0" fontId="2" fillId="0" borderId="31" xfId="0" applyFont="1" applyBorder="1"/>
    <xf numFmtId="0" fontId="0" fillId="2" borderId="28" xfId="0" applyFill="1" applyBorder="1" applyProtection="1">
      <protection locked="0"/>
    </xf>
    <xf numFmtId="0" fontId="0" fillId="2" borderId="11" xfId="0" applyFill="1" applyBorder="1" applyProtection="1">
      <protection locked="0"/>
    </xf>
    <xf numFmtId="0" fontId="1" fillId="6" borderId="2" xfId="0" applyFont="1" applyFill="1" applyBorder="1"/>
    <xf numFmtId="0" fontId="1" fillId="6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0" borderId="6" xfId="0" applyFont="1" applyBorder="1" applyAlignment="1">
      <alignment horizontal="right"/>
    </xf>
    <xf numFmtId="166" fontId="0" fillId="0" borderId="2" xfId="0" applyNumberFormat="1" applyBorder="1" applyAlignment="1" applyProtection="1">
      <alignment horizontal="right"/>
      <protection hidden="1"/>
    </xf>
    <xf numFmtId="166" fontId="0" fillId="0" borderId="7" xfId="0" applyNumberFormat="1" applyBorder="1" applyAlignment="1" applyProtection="1">
      <alignment horizontal="right"/>
      <protection hidden="1"/>
    </xf>
    <xf numFmtId="0" fontId="0" fillId="0" borderId="2" xfId="0" applyBorder="1" applyAlignment="1" applyProtection="1">
      <alignment horizontal="right"/>
      <protection hidden="1"/>
    </xf>
    <xf numFmtId="0" fontId="0" fillId="7" borderId="6" xfId="0" applyFill="1" applyBorder="1" applyAlignment="1">
      <alignment horizontal="right"/>
    </xf>
    <xf numFmtId="166" fontId="0" fillId="7" borderId="2" xfId="0" applyNumberFormat="1" applyFill="1" applyBorder="1" applyAlignment="1">
      <alignment horizontal="right"/>
    </xf>
    <xf numFmtId="166" fontId="0" fillId="7" borderId="7" xfId="0" applyNumberFormat="1" applyFill="1" applyBorder="1" applyAlignment="1">
      <alignment horizontal="right"/>
    </xf>
    <xf numFmtId="0" fontId="0" fillId="0" borderId="7" xfId="0" applyBorder="1" applyAlignment="1" applyProtection="1">
      <alignment horizontal="right"/>
      <protection hidden="1"/>
    </xf>
    <xf numFmtId="166" fontId="0" fillId="0" borderId="7" xfId="0" applyNumberFormat="1" applyBorder="1" applyProtection="1">
      <protection hidden="1"/>
    </xf>
    <xf numFmtId="0" fontId="2" fillId="5" borderId="21" xfId="0" applyFont="1" applyFill="1" applyBorder="1"/>
    <xf numFmtId="0" fontId="2" fillId="5" borderId="35" xfId="0" applyFont="1" applyFill="1" applyBorder="1" applyAlignment="1">
      <alignment horizontal="center"/>
    </xf>
    <xf numFmtId="0" fontId="2" fillId="5" borderId="36" xfId="0" applyFont="1" applyFill="1" applyBorder="1"/>
    <xf numFmtId="166" fontId="0" fillId="0" borderId="29" xfId="0" applyNumberFormat="1" applyBorder="1" applyAlignment="1" applyProtection="1">
      <alignment horizontal="center"/>
      <protection hidden="1"/>
    </xf>
    <xf numFmtId="0" fontId="0" fillId="7" borderId="30" xfId="0" applyFill="1" applyBorder="1" applyAlignment="1">
      <alignment horizontal="center"/>
    </xf>
    <xf numFmtId="1" fontId="0" fillId="4" borderId="0" xfId="0" applyNumberFormat="1" applyFill="1"/>
    <xf numFmtId="0" fontId="13" fillId="7" borderId="0" xfId="0" applyFont="1" applyFill="1" applyAlignment="1">
      <alignment horizontal="left"/>
    </xf>
    <xf numFmtId="0" fontId="14" fillId="6" borderId="3" xfId="0" applyFont="1" applyFill="1" applyBorder="1" applyAlignment="1">
      <alignment horizontal="center"/>
    </xf>
    <xf numFmtId="0" fontId="14" fillId="6" borderId="4" xfId="0" applyFont="1" applyFill="1" applyBorder="1" applyAlignment="1">
      <alignment horizontal="center"/>
    </xf>
    <xf numFmtId="0" fontId="14" fillId="6" borderId="5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  <xf numFmtId="0" fontId="8" fillId="6" borderId="15" xfId="0" applyFont="1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left"/>
    </xf>
    <xf numFmtId="14" fontId="0" fillId="0" borderId="2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18" xfId="0" applyFill="1" applyBorder="1" applyAlignment="1" applyProtection="1">
      <alignment horizontal="center"/>
      <protection locked="0"/>
    </xf>
    <xf numFmtId="0" fontId="0" fillId="2" borderId="9" xfId="0" applyFill="1" applyBorder="1" applyAlignment="1" applyProtection="1">
      <alignment horizontal="center"/>
      <protection locked="0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166" fontId="2" fillId="5" borderId="19" xfId="0" applyNumberFormat="1" applyFont="1" applyFill="1" applyBorder="1" applyAlignment="1" applyProtection="1">
      <alignment vertical="center"/>
      <protection hidden="1"/>
    </xf>
    <xf numFmtId="166" fontId="2" fillId="5" borderId="20" xfId="0" applyNumberFormat="1" applyFont="1" applyFill="1" applyBorder="1" applyAlignment="1" applyProtection="1">
      <alignment vertical="center"/>
      <protection hidden="1"/>
    </xf>
    <xf numFmtId="0" fontId="0" fillId="2" borderId="32" xfId="0" applyFill="1" applyBorder="1" applyAlignment="1" applyProtection="1">
      <alignment horizontal="center"/>
      <protection locked="0"/>
    </xf>
    <xf numFmtId="0" fontId="0" fillId="2" borderId="12" xfId="0" applyFill="1" applyBorder="1" applyAlignment="1" applyProtection="1">
      <alignment horizontal="center"/>
      <protection locked="0"/>
    </xf>
    <xf numFmtId="0" fontId="0" fillId="2" borderId="25" xfId="0" applyFill="1" applyBorder="1" applyAlignment="1" applyProtection="1">
      <alignment horizontal="center"/>
      <protection locked="0"/>
    </xf>
    <xf numFmtId="0" fontId="0" fillId="2" borderId="8" xfId="0" applyFill="1" applyBorder="1" applyAlignment="1" applyProtection="1">
      <alignment horizontal="center"/>
      <protection locked="0"/>
    </xf>
    <xf numFmtId="0" fontId="0" fillId="2" borderId="24" xfId="0" applyFill="1" applyBorder="1" applyAlignment="1" applyProtection="1">
      <alignment horizontal="center"/>
      <protection locked="0"/>
    </xf>
    <xf numFmtId="0" fontId="0" fillId="2" borderId="22" xfId="0" applyFill="1" applyBorder="1" applyAlignment="1" applyProtection="1">
      <alignment horizontal="center"/>
      <protection locked="0"/>
    </xf>
    <xf numFmtId="0" fontId="0" fillId="2" borderId="23" xfId="0" applyFill="1" applyBorder="1" applyAlignment="1" applyProtection="1">
      <alignment horizontal="center"/>
      <protection locked="0"/>
    </xf>
    <xf numFmtId="0" fontId="0" fillId="7" borderId="2" xfId="0" quotePrefix="1" applyFill="1" applyBorder="1" applyAlignment="1" applyProtection="1">
      <alignment horizontal="center" wrapText="1"/>
      <protection locked="0"/>
    </xf>
    <xf numFmtId="0" fontId="0" fillId="7" borderId="2" xfId="0" applyFill="1" applyBorder="1" applyAlignment="1" applyProtection="1">
      <alignment horizontal="center" wrapText="1"/>
      <protection locked="0"/>
    </xf>
    <xf numFmtId="0" fontId="0" fillId="7" borderId="7" xfId="0" applyFill="1" applyBorder="1" applyAlignment="1" applyProtection="1">
      <alignment horizontal="center" wrapTex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1" xfId="0" applyFill="1" applyBorder="1" applyAlignment="1" applyProtection="1">
      <alignment horizontal="center"/>
      <protection locked="0"/>
    </xf>
    <xf numFmtId="0" fontId="0" fillId="2" borderId="33" xfId="0" applyFill="1" applyBorder="1" applyAlignment="1" applyProtection="1">
      <alignment horizontal="center"/>
      <protection locked="0"/>
    </xf>
    <xf numFmtId="0" fontId="0" fillId="2" borderId="20" xfId="0" applyFill="1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/>
    </xf>
    <xf numFmtId="0" fontId="10" fillId="9" borderId="34" xfId="0" applyFont="1" applyFill="1" applyBorder="1" applyAlignment="1">
      <alignment horizontal="center"/>
    </xf>
    <xf numFmtId="0" fontId="10" fillId="9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1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theme="0"/>
      </font>
      <fill>
        <patternFill>
          <bgColor theme="0"/>
        </patternFill>
      </fill>
    </dxf>
    <dxf>
      <font>
        <color theme="7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7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Uttarakhand" TargetMode="External"/><Relationship Id="rId2" Type="http://schemas.openxmlformats.org/officeDocument/2006/relationships/hyperlink" Target="https://en.wikipedia.org/wiki/Telangana" TargetMode="External"/><Relationship Id="rId1" Type="http://schemas.openxmlformats.org/officeDocument/2006/relationships/hyperlink" Target="https://en.wikipedia.org/wiki/Puducherry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2"/>
  <sheetViews>
    <sheetView tabSelected="1" zoomScaleNormal="100" workbookViewId="0">
      <selection activeCell="C20" sqref="C20:D20"/>
    </sheetView>
  </sheetViews>
  <sheetFormatPr defaultColWidth="0" defaultRowHeight="15" zeroHeight="1"/>
  <cols>
    <col min="1" max="1" width="7.42578125" style="12" customWidth="1"/>
    <col min="2" max="2" width="32" style="11" bestFit="1" customWidth="1"/>
    <col min="3" max="3" width="12" style="11" customWidth="1"/>
    <col min="4" max="4" width="12.28515625" style="11" customWidth="1"/>
    <col min="5" max="5" width="17.140625" style="11" customWidth="1"/>
    <col min="6" max="6" width="3.5703125" style="11" customWidth="1"/>
    <col min="7" max="8" width="2.7109375" style="11" customWidth="1"/>
    <col min="9" max="9" width="25" style="11" customWidth="1"/>
    <col min="10" max="10" width="21" style="11" customWidth="1"/>
    <col min="11" max="11" width="40.5703125" style="11" customWidth="1"/>
    <col min="12" max="16381" width="9.140625" style="11" customWidth="1"/>
    <col min="16382" max="16382" width="2.42578125" style="11" customWidth="1"/>
    <col min="16383" max="16384" width="5.5703125" style="11" customWidth="1"/>
  </cols>
  <sheetData>
    <row r="1" spans="2:11" ht="9.75" customHeight="1" thickBot="1"/>
    <row r="2" spans="2:11" ht="16.5" thickBot="1">
      <c r="C2" s="77" t="s">
        <v>85</v>
      </c>
      <c r="D2" s="78"/>
      <c r="E2" s="78"/>
      <c r="F2" s="78"/>
      <c r="G2" s="78"/>
      <c r="H2" s="78"/>
      <c r="I2" s="79"/>
    </row>
    <row r="3" spans="2:11" ht="14.25" customHeight="1" thickBot="1">
      <c r="B3" s="24" t="s">
        <v>101</v>
      </c>
      <c r="C3" s="80" t="s">
        <v>127</v>
      </c>
      <c r="D3" s="81"/>
      <c r="E3" s="81"/>
      <c r="F3" s="81"/>
      <c r="G3" s="81"/>
      <c r="H3" s="81"/>
      <c r="I3" s="82"/>
    </row>
    <row r="4" spans="2:11" ht="14.25" customHeight="1" thickBot="1">
      <c r="B4" s="24"/>
      <c r="C4" s="80" t="s">
        <v>120</v>
      </c>
      <c r="D4" s="81"/>
      <c r="E4" s="81"/>
      <c r="F4" s="81"/>
      <c r="G4" s="81"/>
      <c r="H4" s="81"/>
      <c r="I4" s="82"/>
    </row>
    <row r="5" spans="2:11" ht="9" customHeight="1" thickBot="1"/>
    <row r="6" spans="2:11" ht="19.5" thickBot="1">
      <c r="B6" s="83" t="s">
        <v>74</v>
      </c>
      <c r="C6" s="84"/>
      <c r="D6" s="84"/>
      <c r="E6" s="85"/>
      <c r="I6" s="95" t="s">
        <v>75</v>
      </c>
      <c r="J6" s="96"/>
      <c r="K6" s="97"/>
    </row>
    <row r="7" spans="2:11" ht="16.5" customHeight="1">
      <c r="B7" s="55" t="s">
        <v>92</v>
      </c>
      <c r="C7" s="100" t="s">
        <v>96</v>
      </c>
      <c r="D7" s="101"/>
      <c r="E7" s="102"/>
      <c r="I7" s="27"/>
      <c r="J7" s="27"/>
      <c r="K7" s="27"/>
    </row>
    <row r="8" spans="2:11" ht="18.75" customHeight="1" thickBot="1">
      <c r="B8" s="26" t="s">
        <v>115</v>
      </c>
      <c r="C8" s="86" t="s">
        <v>116</v>
      </c>
      <c r="D8" s="86"/>
      <c r="E8" s="87"/>
      <c r="I8" s="27"/>
      <c r="J8" s="27"/>
      <c r="K8" s="27"/>
    </row>
    <row r="9" spans="2:11">
      <c r="B9" s="88" t="s">
        <v>0</v>
      </c>
      <c r="C9" s="18" t="s">
        <v>1</v>
      </c>
      <c r="D9" s="18" t="s">
        <v>2</v>
      </c>
      <c r="E9" s="38" t="s">
        <v>3</v>
      </c>
      <c r="I9" s="28"/>
      <c r="J9" s="29" t="s">
        <v>91</v>
      </c>
      <c r="K9" s="30" t="s">
        <v>87</v>
      </c>
    </row>
    <row r="10" spans="2:11">
      <c r="B10" s="88"/>
      <c r="C10" s="17">
        <v>24</v>
      </c>
      <c r="D10" s="17" t="s">
        <v>14</v>
      </c>
      <c r="E10" s="37">
        <v>1990</v>
      </c>
      <c r="I10" s="61" t="s">
        <v>23</v>
      </c>
      <c r="J10" s="62">
        <f>IF(OR(C20&gt;3000000,C20&gt;1.2*C14),"SA cannot be more than 30 Lakh OR Loan Amount",C20)</f>
        <v>195000</v>
      </c>
      <c r="K10" s="69">
        <f>IF(C17="Death",0,IF(OR(E20&gt;3000000,E20&gt;C20),"SA cannot be more than 30 Lakhs/Death SA",E20))</f>
        <v>0</v>
      </c>
    </row>
    <row r="11" spans="2:11">
      <c r="B11" s="26" t="s">
        <v>15</v>
      </c>
      <c r="C11" s="89">
        <f>Logic!B12</f>
        <v>33231</v>
      </c>
      <c r="D11" s="89"/>
      <c r="E11" s="90"/>
      <c r="F11" s="76" t="s">
        <v>101</v>
      </c>
      <c r="G11" s="76"/>
      <c r="H11" s="76"/>
      <c r="I11" s="61" t="s">
        <v>24</v>
      </c>
      <c r="J11" s="64">
        <f>IF(C21&lt;=C15, C21, "Coverage Term cannot exceed loan tenure")</f>
        <v>2</v>
      </c>
      <c r="K11" s="68" t="str">
        <f>IF(C17="Death","",IF(E21&gt;C21,"Cover Term can't be more than Death Cover Term",E21))</f>
        <v/>
      </c>
    </row>
    <row r="12" spans="2:11" ht="15.75" thickBot="1">
      <c r="B12" s="39" t="s">
        <v>19</v>
      </c>
      <c r="C12" s="91">
        <f ca="1">IF(AND(C11&lt;=Logic!B15,UI!C11&gt;=Logic!B16), Logic!B13, "DOB out of range")</f>
        <v>34</v>
      </c>
      <c r="D12" s="91"/>
      <c r="E12" s="92"/>
      <c r="F12" s="76"/>
      <c r="G12" s="76"/>
      <c r="H12" s="76"/>
      <c r="I12" s="61" t="s">
        <v>61</v>
      </c>
      <c r="J12" s="62">
        <f ca="1">IFERROR(Logic!O9,0)</f>
        <v>463</v>
      </c>
      <c r="K12" s="63">
        <f ca="1">IFERROR(Logic!P9,0)</f>
        <v>0</v>
      </c>
    </row>
    <row r="13" spans="2:11" ht="15.75" thickBot="1">
      <c r="B13" s="35"/>
      <c r="C13" s="36"/>
      <c r="D13" s="36"/>
      <c r="E13" s="36"/>
      <c r="F13" s="25"/>
      <c r="G13" s="25"/>
      <c r="H13" s="25"/>
      <c r="I13" s="61" t="s">
        <v>70</v>
      </c>
      <c r="J13" s="62">
        <f ca="1">IFERROR(SUM(Logic!O10:O12),0)</f>
        <v>83.34</v>
      </c>
      <c r="K13" s="63">
        <f ca="1">IFERROR(SUM(Logic!P10:P12),0)</f>
        <v>0</v>
      </c>
    </row>
    <row r="14" spans="2:11">
      <c r="B14" s="40" t="s">
        <v>109</v>
      </c>
      <c r="C14" s="93">
        <v>195000</v>
      </c>
      <c r="D14" s="93"/>
      <c r="E14" s="94"/>
      <c r="F14" s="25"/>
      <c r="G14" s="25"/>
      <c r="H14" s="25"/>
      <c r="I14" s="65" t="s">
        <v>97</v>
      </c>
      <c r="J14" s="66">
        <f ca="1">SUM(J12:J13)</f>
        <v>546.34</v>
      </c>
      <c r="K14" s="67">
        <f ca="1">SUM(K12:K13)</f>
        <v>0</v>
      </c>
    </row>
    <row r="15" spans="2:11" ht="15.75" thickBot="1">
      <c r="B15" s="26" t="s">
        <v>110</v>
      </c>
      <c r="C15" s="86">
        <v>7</v>
      </c>
      <c r="D15" s="86"/>
      <c r="E15" s="87"/>
      <c r="I15" s="70" t="s">
        <v>84</v>
      </c>
      <c r="J15" s="98">
        <f ca="1">SUM(UI!J14:K14)</f>
        <v>546.34</v>
      </c>
      <c r="K15" s="99"/>
    </row>
    <row r="16" spans="2:11" ht="15.75" thickBot="1">
      <c r="B16" s="26" t="s">
        <v>82</v>
      </c>
      <c r="C16" s="107" t="s">
        <v>120</v>
      </c>
      <c r="D16" s="108"/>
      <c r="E16" s="109"/>
      <c r="F16" s="46" t="str">
        <f>IF(C16="","&lt;&lt;&lt;Kindly Select Cover Term","")</f>
        <v/>
      </c>
      <c r="J16" s="71" t="s">
        <v>90</v>
      </c>
      <c r="K16" s="71" t="s">
        <v>87</v>
      </c>
    </row>
    <row r="17" spans="2:11" ht="15.75" thickBot="1">
      <c r="B17" s="41" t="s">
        <v>17</v>
      </c>
      <c r="C17" s="105" t="s">
        <v>90</v>
      </c>
      <c r="D17" s="105"/>
      <c r="E17" s="106"/>
      <c r="I17" s="72" t="s">
        <v>128</v>
      </c>
      <c r="J17" s="73" t="str">
        <f ca="1">Logic!AM8</f>
        <v>Medical Not Required</v>
      </c>
      <c r="K17" s="74" t="str">
        <f>IF(OR(K10="SA cannot be more than 30 Lakhs/Death SA",K10="-",K11=""),"",Logic!AM9)</f>
        <v/>
      </c>
    </row>
    <row r="18" spans="2:11" ht="15.75" thickBot="1"/>
    <row r="19" spans="2:11" ht="15.75" thickBot="1">
      <c r="B19" s="54"/>
      <c r="C19" s="114" t="s">
        <v>90</v>
      </c>
      <c r="D19" s="115"/>
      <c r="E19" s="52" t="s">
        <v>87</v>
      </c>
    </row>
    <row r="20" spans="2:11" ht="15.75" thickBot="1">
      <c r="B20" s="53" t="s">
        <v>83</v>
      </c>
      <c r="C20" s="110">
        <v>195000</v>
      </c>
      <c r="D20" s="111"/>
      <c r="E20" s="57">
        <v>300000</v>
      </c>
    </row>
    <row r="21" spans="2:11" ht="15.75" thickBot="1">
      <c r="B21" s="53" t="s">
        <v>24</v>
      </c>
      <c r="C21" s="112">
        <v>2</v>
      </c>
      <c r="D21" s="113"/>
      <c r="E21" s="56">
        <v>2</v>
      </c>
    </row>
    <row r="22" spans="2:11" ht="16.5" customHeight="1">
      <c r="B22" s="42" t="s">
        <v>25</v>
      </c>
      <c r="C22" s="103" t="s">
        <v>41</v>
      </c>
      <c r="D22" s="103"/>
      <c r="E22" s="104"/>
    </row>
    <row r="23" spans="2:11" ht="15.75" customHeight="1" thickBot="1">
      <c r="B23" s="39" t="s">
        <v>26</v>
      </c>
      <c r="C23" s="105" t="s">
        <v>41</v>
      </c>
      <c r="D23" s="105"/>
      <c r="E23" s="106"/>
    </row>
    <row r="24" spans="2:11"/>
    <row r="25" spans="2:11"/>
    <row r="26" spans="2:11"/>
    <row r="27" spans="2:11"/>
    <row r="28" spans="2:11"/>
    <row r="29" spans="2:11"/>
    <row r="30" spans="2:11"/>
    <row r="31" spans="2:11"/>
    <row r="32" spans="2:11"/>
  </sheetData>
  <sheetProtection algorithmName="SHA-512" hashValue="2SalpG0du7zT9jDp6MqdUsn8l3wD4hKZUXiehh3GapWx90eklFsndihNOFV/cqUYKfAOz0onmfRHkBBCH4Dx6Q==" saltValue="j440KmAd1WtFhOx53uL43w==" spinCount="100000" sheet="1" formatCells="0" formatColumns="0" formatRows="0" insertColumns="0" insertRows="0" insertHyperlinks="0" deleteColumns="0" deleteRows="0" selectLockedCells="1" sort="0" autoFilter="0" pivotTables="0"/>
  <mergeCells count="21">
    <mergeCell ref="C22:E22"/>
    <mergeCell ref="C23:E23"/>
    <mergeCell ref="C16:E16"/>
    <mergeCell ref="C17:E17"/>
    <mergeCell ref="C20:D20"/>
    <mergeCell ref="C21:D21"/>
    <mergeCell ref="C19:D19"/>
    <mergeCell ref="F11:H12"/>
    <mergeCell ref="C2:I2"/>
    <mergeCell ref="C3:I3"/>
    <mergeCell ref="B6:E6"/>
    <mergeCell ref="C15:E15"/>
    <mergeCell ref="B9:B10"/>
    <mergeCell ref="C11:E11"/>
    <mergeCell ref="C12:E12"/>
    <mergeCell ref="C14:E14"/>
    <mergeCell ref="C8:E8"/>
    <mergeCell ref="I6:K6"/>
    <mergeCell ref="J15:K15"/>
    <mergeCell ref="C7:E7"/>
    <mergeCell ref="C4:I4"/>
  </mergeCells>
  <conditionalFormatting sqref="C12:E12">
    <cfRule type="containsText" dxfId="10" priority="19" operator="containsText" text="DOB out of range">
      <formula>NOT(ISERROR(SEARCH("DOB out of range",C12)))</formula>
    </cfRule>
  </conditionalFormatting>
  <conditionalFormatting sqref="J17">
    <cfRule type="expression" dxfId="6" priority="2">
      <formula>$C$16=""</formula>
    </cfRule>
  </conditionalFormatting>
  <conditionalFormatting sqref="J10:K14">
    <cfRule type="expression" dxfId="4" priority="6">
      <formula>$C$16=""</formula>
    </cfRule>
  </conditionalFormatting>
  <dataValidations count="5">
    <dataValidation type="list" allowBlank="1" showInputMessage="1" showErrorMessage="1" sqref="C10 F10" xr:uid="{00000000-0002-0000-0000-000000000000}">
      <formula1>"1,2,3,4,5,6,7,8,9,10,11,12,13,14,15,16,17,18,19,20,21,22,23,24,25,26,27,28,29,30,31"</formula1>
    </dataValidation>
    <dataValidation type="list" allowBlank="1" showInputMessage="1" showErrorMessage="1" sqref="C17:E17" xr:uid="{00000000-0002-0000-0000-000005000000}">
      <formula1>"Death,Death+ACI"</formula1>
    </dataValidation>
    <dataValidation type="whole" allowBlank="1" showInputMessage="1" showErrorMessage="1" errorTitle="Invalid SA" error="Min SA is 5000 and Max SA is SA of Death or 30 Lakh." sqref="E20" xr:uid="{307159A2-A6EF-4BBA-8D9D-5FF912081229}">
      <formula1>5000</formula1>
      <formula2>MIN(C20,3000000)</formula2>
    </dataValidation>
    <dataValidation type="list" allowBlank="1" showInputMessage="1" showErrorMessage="1" sqref="C7:E7" xr:uid="{05774CCD-3A59-496C-B52A-84B79FB70B5D}">
      <formula1>"Male,Female"</formula1>
    </dataValidation>
    <dataValidation type="whole" allowBlank="1" showInputMessage="1" showErrorMessage="1" errorTitle="Invalid SA" error="Min SA is 5000 and Max SA is 120% Loan Amount or 30 Lakh" sqref="C20:D20" xr:uid="{0C23360D-2F43-4DED-BFBA-2B19A348A20E}">
      <formula1>5000</formula1>
      <formula2>MIN(C14*1.2,3000000)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" id="{36C57FB0-A6A4-48DC-960C-E38402E2E13C}">
            <xm:f>Logic!$B$4</xm:f>
            <x14:dxf>
              <font>
                <b/>
                <i val="0"/>
                <color rgb="FFFF0000"/>
              </font>
            </x14:dxf>
          </x14:cfRule>
          <xm:sqref>F16</xm:sqref>
        </x14:conditionalFormatting>
        <x14:conditionalFormatting xmlns:xm="http://schemas.microsoft.com/office/excel/2006/main">
          <x14:cfRule type="expression" priority="3" id="{43EBEA5C-85CA-46FC-BEEF-AA72C832F7E5}">
            <xm:f>Logic!$E$3="True"</xm:f>
            <x14:dxf>
              <font>
                <color theme="7"/>
              </font>
            </x14:dxf>
          </x14:cfRule>
          <xm:sqref>G17</xm:sqref>
        </x14:conditionalFormatting>
        <x14:conditionalFormatting xmlns:xm="http://schemas.microsoft.com/office/excel/2006/main">
          <x14:cfRule type="expression" priority="1" id="{2DAD8F89-EAD6-423D-936E-714B6DCE3B61}">
            <xm:f>Logic!$E$3="True"</xm:f>
            <x14:dxf>
              <font>
                <color theme="0"/>
              </font>
            </x14:dxf>
          </x14:cfRule>
          <xm:sqref>J17</xm:sqref>
        </x14:conditionalFormatting>
        <x14:conditionalFormatting xmlns:xm="http://schemas.microsoft.com/office/excel/2006/main">
          <x14:cfRule type="expression" priority="4" id="{FE9D4A32-CBEF-47A5-9BF6-7CB178586547}">
            <xm:f>Logic!$E$3="True"</xm:f>
            <x14:dxf>
              <font>
                <color theme="0"/>
              </font>
            </x14:dxf>
          </x14:cfRule>
          <xm:sqref>J10:K14</xm:sqref>
        </x14:conditionalFormatting>
        <x14:conditionalFormatting xmlns:xm="http://schemas.microsoft.com/office/excel/2006/main">
          <x14:cfRule type="expression" priority="5" id="{00000000-000E-0000-0000-000001000000}">
            <xm:f>Logic!$E$3="True"</xm:f>
            <x14:dxf>
              <font>
                <color theme="7"/>
              </font>
            </x14:dxf>
          </x14:cfRule>
          <xm:sqref>J15:K15</xm:sqref>
        </x14:conditionalFormatting>
        <x14:conditionalFormatting xmlns:xm="http://schemas.microsoft.com/office/excel/2006/main">
          <x14:cfRule type="expression" priority="11" id="{1E5FA37F-4175-4541-AB1D-5B02D0DCB1A2}">
            <xm:f>Logic!$A$8</xm:f>
            <x14:dxf>
              <font>
                <color theme="0"/>
              </font>
              <fill>
                <patternFill>
                  <bgColor theme="0"/>
                </patternFill>
              </fill>
            </x14:dxf>
          </x14:cfRule>
          <xm:sqref>K17 J18:K18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7000000}">
          <x14:formula1>
            <xm:f>Logic!$AC$3:$AC$42</xm:f>
          </x14:formula1>
          <xm:sqref>C22:E23</xm:sqref>
        </x14:dataValidation>
        <x14:dataValidation type="list" allowBlank="1" showInputMessage="1" showErrorMessage="1" xr:uid="{00000000-0002-0000-0000-00000C000000}">
          <x14:formula1>
            <xm:f>Logic!$Y$3:$Y$14</xm:f>
          </x14:formula1>
          <xm:sqref>D10</xm:sqref>
        </x14:dataValidation>
        <x14:dataValidation type="list" allowBlank="1" showInputMessage="1" showErrorMessage="1" xr:uid="{FBC62051-F614-48E4-BBDB-DB662B6E92A3}">
          <x14:formula1>
            <xm:f>Logic!$D$25:$D$30</xm:f>
          </x14:formula1>
          <xm:sqref>C21 E21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R61"/>
  <sheetViews>
    <sheetView topLeftCell="A2" zoomScale="80" zoomScaleNormal="80" workbookViewId="0">
      <selection activeCell="C11" sqref="C11:E11"/>
    </sheetView>
  </sheetViews>
  <sheetFormatPr defaultRowHeight="15"/>
  <cols>
    <col min="1" max="1" width="21.85546875" bestFit="1" customWidth="1"/>
    <col min="2" max="2" width="14.42578125" customWidth="1"/>
    <col min="3" max="3" width="23.5703125" customWidth="1"/>
    <col min="4" max="4" width="20.42578125" customWidth="1"/>
    <col min="5" max="5" width="24.42578125" customWidth="1"/>
    <col min="6" max="6" width="16.42578125" customWidth="1"/>
    <col min="7" max="7" width="19.140625" customWidth="1"/>
    <col min="8" max="8" width="9.42578125" hidden="1" customWidth="1"/>
    <col min="9" max="9" width="9.28515625" hidden="1" customWidth="1"/>
    <col min="10" max="10" width="14" bestFit="1" customWidth="1"/>
    <col min="11" max="11" width="5.42578125" hidden="1" customWidth="1"/>
    <col min="12" max="12" width="15" hidden="1" customWidth="1"/>
    <col min="13" max="13" width="0" hidden="1" customWidth="1"/>
    <col min="14" max="14" width="27" bestFit="1" customWidth="1"/>
    <col min="15" max="15" width="9.5703125" customWidth="1"/>
    <col min="16" max="16" width="14.5703125" bestFit="1" customWidth="1"/>
    <col min="17" max="20" width="9.5703125" customWidth="1"/>
    <col min="21" max="21" width="11.140625" hidden="1" customWidth="1"/>
    <col min="22" max="22" width="9.5703125" hidden="1" customWidth="1"/>
    <col min="23" max="23" width="0" hidden="1" customWidth="1"/>
    <col min="25" max="25" width="10.5703125" customWidth="1"/>
    <col min="29" max="29" width="27.5703125" bestFit="1" customWidth="1"/>
    <col min="31" max="31" width="16.5703125" customWidth="1"/>
    <col min="32" max="32" width="17.5703125" customWidth="1"/>
    <col min="33" max="33" width="19.140625" customWidth="1"/>
    <col min="36" max="36" width="10.28515625" bestFit="1" customWidth="1"/>
    <col min="37" max="37" width="20.7109375" bestFit="1" customWidth="1"/>
    <col min="38" max="38" width="9.85546875" bestFit="1" customWidth="1"/>
    <col min="39" max="39" width="32.5703125" customWidth="1"/>
    <col min="43" max="43" width="9.85546875" bestFit="1" customWidth="1"/>
    <col min="44" max="44" width="13.140625" customWidth="1"/>
  </cols>
  <sheetData>
    <row r="1" spans="1:44">
      <c r="A1" t="s">
        <v>86</v>
      </c>
      <c r="B1" t="str">
        <f>UI!C16</f>
        <v>Business Loan</v>
      </c>
      <c r="C1" t="s">
        <v>89</v>
      </c>
      <c r="E1" t="s">
        <v>88</v>
      </c>
      <c r="G1" s="21">
        <f ca="1">SUM(UI!J12:K12)/UI!J10</f>
        <v>2.3743589743589742E-3</v>
      </c>
      <c r="AK1" s="116"/>
      <c r="AL1" s="116"/>
      <c r="AM1" s="116"/>
    </row>
    <row r="2" spans="1:44">
      <c r="A2" t="s">
        <v>98</v>
      </c>
      <c r="B2" t="str">
        <f>UI!C17</f>
        <v>Death</v>
      </c>
      <c r="C2" t="b">
        <f>B1=C1</f>
        <v>0</v>
      </c>
      <c r="E2" t="str">
        <f ca="1">IF(AND(B13&lt;=50,B13&gt;=40,UI!C17="Death"),"","Reducing")</f>
        <v>Reducing</v>
      </c>
      <c r="G2" t="b">
        <f ca="1">IF(G1&gt;30%,FALSE,TRUE)</f>
        <v>1</v>
      </c>
      <c r="N2" s="8" t="s">
        <v>62</v>
      </c>
      <c r="O2" s="9" t="s">
        <v>88</v>
      </c>
      <c r="P2" s="9"/>
      <c r="Q2" s="9"/>
      <c r="R2" s="9"/>
      <c r="S2" s="9"/>
      <c r="T2" s="9"/>
      <c r="X2" s="4"/>
      <c r="Y2" s="4"/>
      <c r="Z2" s="4">
        <f>VLOOKUP(UI!D10,Logic!Y3:Z14,2,FALSE)</f>
        <v>12</v>
      </c>
      <c r="AA2" s="4" t="e">
        <f>VLOOKUP(UI!#REF!,Logic!Y3:Z14,2,0)</f>
        <v>#REF!</v>
      </c>
      <c r="AB2" s="4"/>
      <c r="AC2" s="2" t="s">
        <v>27</v>
      </c>
      <c r="AD2" t="s">
        <v>101</v>
      </c>
      <c r="AK2" s="116"/>
      <c r="AL2" s="116"/>
      <c r="AM2" s="116"/>
    </row>
    <row r="3" spans="1:44" ht="15" customHeight="1">
      <c r="A3" s="21">
        <f>UI!J23</f>
        <v>0</v>
      </c>
      <c r="E3" t="str">
        <f ca="1">IF(AND(B13&lt;=50,B13&gt;=40,UI!C17="Death",UI!C16="Reducing"),"True","False")</f>
        <v>False</v>
      </c>
      <c r="N3" s="9"/>
      <c r="O3" s="9" t="s">
        <v>126</v>
      </c>
      <c r="P3" s="9" t="str">
        <f>F17</f>
        <v/>
      </c>
      <c r="Q3" s="9"/>
      <c r="R3" s="9"/>
      <c r="S3" s="9"/>
      <c r="T3" s="9"/>
      <c r="X3" s="4"/>
      <c r="Y3" s="4" t="s">
        <v>4</v>
      </c>
      <c r="Z3" s="4">
        <v>1</v>
      </c>
      <c r="AA3" s="4"/>
      <c r="AB3" s="4"/>
      <c r="AC3" s="3" t="s">
        <v>60</v>
      </c>
      <c r="AJ3" s="116"/>
      <c r="AK3" s="116"/>
      <c r="AL3" s="116"/>
      <c r="AM3" s="116"/>
    </row>
    <row r="4" spans="1:44" ht="15" customHeight="1">
      <c r="A4" t="str">
        <f>IF(A3&lt;1.5%,"TRUE","FALSE")</f>
        <v>TRUE</v>
      </c>
      <c r="B4" s="34" t="str">
        <f>IF(AND(B1="Reducing",A3&lt;1.5%),"TRUE","FALSE")</f>
        <v>FALSE</v>
      </c>
      <c r="E4" s="118"/>
      <c r="F4" s="118"/>
      <c r="N4" s="9" t="s">
        <v>19</v>
      </c>
      <c r="O4" s="9">
        <f ca="1">UI!$C$12</f>
        <v>34</v>
      </c>
      <c r="P4" s="9">
        <f ca="1">$O$4</f>
        <v>34</v>
      </c>
      <c r="Q4" s="9"/>
      <c r="R4" s="9"/>
      <c r="S4" s="9"/>
      <c r="T4" s="9"/>
      <c r="X4" s="4"/>
      <c r="Y4" s="4" t="s">
        <v>5</v>
      </c>
      <c r="Z4" s="4">
        <v>2</v>
      </c>
      <c r="AA4" s="4"/>
      <c r="AB4" s="4"/>
      <c r="AC4" s="3" t="s">
        <v>43</v>
      </c>
      <c r="AE4" s="23"/>
      <c r="AF4" s="23"/>
      <c r="AG4" s="23"/>
      <c r="AJ4" s="117"/>
      <c r="AK4" s="117"/>
      <c r="AL4" s="117"/>
      <c r="AM4" s="117"/>
    </row>
    <row r="5" spans="1:44">
      <c r="A5" t="s">
        <v>92</v>
      </c>
      <c r="B5" t="str">
        <f>UI!C8</f>
        <v>ABC</v>
      </c>
      <c r="D5" t="s">
        <v>90</v>
      </c>
      <c r="E5" s="50"/>
      <c r="F5" s="50"/>
      <c r="G5" s="50"/>
      <c r="N5" s="9" t="s">
        <v>63</v>
      </c>
      <c r="O5" s="9">
        <f>UI!$J$11</f>
        <v>2</v>
      </c>
      <c r="P5" s="9" t="str">
        <f>UI!K11</f>
        <v/>
      </c>
      <c r="Q5" s="9"/>
      <c r="R5" s="9"/>
      <c r="S5" s="9"/>
      <c r="T5" s="9"/>
      <c r="X5" s="4"/>
      <c r="Y5" s="4" t="s">
        <v>6</v>
      </c>
      <c r="Z5" s="4">
        <v>3</v>
      </c>
      <c r="AA5" s="4"/>
      <c r="AB5" s="4"/>
      <c r="AC5" s="3" t="s">
        <v>51</v>
      </c>
    </row>
    <row r="6" spans="1:44">
      <c r="D6" t="s">
        <v>93</v>
      </c>
      <c r="E6" s="50"/>
      <c r="F6" s="50"/>
      <c r="G6" s="50"/>
      <c r="J6" s="10"/>
      <c r="N6" s="9" t="s">
        <v>23</v>
      </c>
      <c r="O6" s="9">
        <f>ROUND(UI!J10,0)</f>
        <v>195000</v>
      </c>
      <c r="P6" s="9">
        <f>UI!K10</f>
        <v>0</v>
      </c>
      <c r="Q6" s="9"/>
      <c r="R6" s="9"/>
      <c r="S6" s="9"/>
      <c r="T6" s="9"/>
      <c r="X6" s="4"/>
      <c r="Y6" s="4" t="s">
        <v>7</v>
      </c>
      <c r="Z6" s="4">
        <v>4</v>
      </c>
      <c r="AA6" s="4"/>
      <c r="AB6" s="4"/>
      <c r="AC6" s="3"/>
      <c r="AM6" t="s">
        <v>101</v>
      </c>
    </row>
    <row r="7" spans="1:44">
      <c r="A7" t="s">
        <v>108</v>
      </c>
      <c r="B7">
        <f ca="1">UI!C12</f>
        <v>34</v>
      </c>
      <c r="D7" t="s">
        <v>94</v>
      </c>
      <c r="E7" s="50"/>
      <c r="F7" s="50"/>
      <c r="G7" s="50"/>
      <c r="J7" s="10"/>
      <c r="N7" s="9" t="s">
        <v>64</v>
      </c>
      <c r="O7" s="9">
        <f ca="1">VLOOKUP(O4,INDIRECT(O3&amp;"!A7:T60"),O5,TRUE)</f>
        <v>2.375</v>
      </c>
      <c r="P7" s="9" t="e">
        <f ca="1">VLOOKUP(P4,INDIRECT(P3&amp;"!A7:T60"),P5,TRUE)</f>
        <v>#REF!</v>
      </c>
      <c r="Q7" s="9"/>
      <c r="R7" s="9"/>
      <c r="S7" s="9"/>
      <c r="T7" s="9"/>
      <c r="X7" s="4"/>
      <c r="Y7" s="4" t="s">
        <v>8</v>
      </c>
      <c r="Z7" s="4">
        <v>5</v>
      </c>
      <c r="AA7" s="4"/>
      <c r="AB7" s="4"/>
      <c r="AC7" s="3"/>
      <c r="AL7" t="s">
        <v>100</v>
      </c>
      <c r="AM7" t="s">
        <v>107</v>
      </c>
      <c r="AN7" t="s">
        <v>101</v>
      </c>
    </row>
    <row r="8" spans="1:44">
      <c r="A8" t="b">
        <f ca="1">A7=B7</f>
        <v>0</v>
      </c>
      <c r="D8" t="s">
        <v>95</v>
      </c>
      <c r="E8" s="50"/>
      <c r="F8" s="50"/>
      <c r="G8" s="50"/>
      <c r="J8" s="10"/>
      <c r="N8" s="9" t="s">
        <v>81</v>
      </c>
      <c r="O8" s="9">
        <f ca="1">O7</f>
        <v>2.375</v>
      </c>
      <c r="P8" s="9" t="e">
        <f t="shared" ref="P8" ca="1" si="0">P7</f>
        <v>#REF!</v>
      </c>
      <c r="Q8" s="9"/>
      <c r="R8" s="9"/>
      <c r="S8" s="9"/>
      <c r="T8" s="9"/>
      <c r="X8" s="4"/>
      <c r="Y8" s="4" t="s">
        <v>9</v>
      </c>
      <c r="Z8" s="4">
        <v>6</v>
      </c>
      <c r="AA8" s="4"/>
      <c r="AB8" s="4"/>
      <c r="AC8" s="3"/>
      <c r="AJ8" t="s">
        <v>90</v>
      </c>
      <c r="AK8">
        <f ca="1">VLOOKUP(B13,AJ14:AL61,2,0)</f>
        <v>2000000</v>
      </c>
      <c r="AL8">
        <f>Logic!O6</f>
        <v>195000</v>
      </c>
      <c r="AM8" t="str">
        <f ca="1">IF(AL8&gt;AK8,"Medical Required","Medical Not Required")</f>
        <v>Medical Not Required</v>
      </c>
    </row>
    <row r="9" spans="1:44">
      <c r="E9" s="50"/>
      <c r="F9" s="50"/>
      <c r="J9" s="10"/>
      <c r="N9" s="9" t="s">
        <v>65</v>
      </c>
      <c r="O9" s="9">
        <f ca="1">(ROUND(O6*O8/1000,0))</f>
        <v>463</v>
      </c>
      <c r="P9" s="9" t="e">
        <f t="shared" ref="P9" ca="1" si="1">(ROUND(P6*P8/1000,0))</f>
        <v>#REF!</v>
      </c>
      <c r="Q9" s="9"/>
      <c r="R9" s="9"/>
      <c r="S9" s="9"/>
      <c r="T9" s="9"/>
      <c r="X9" s="4"/>
      <c r="Y9" s="4" t="s">
        <v>10</v>
      </c>
      <c r="Z9" s="4">
        <v>7</v>
      </c>
      <c r="AA9" s="4"/>
      <c r="AB9" s="4"/>
      <c r="AC9" s="3"/>
      <c r="AJ9" t="s">
        <v>106</v>
      </c>
      <c r="AK9">
        <f ca="1">VLOOKUP(B13,AJ14:AL61,3,0)</f>
        <v>2000000</v>
      </c>
      <c r="AL9">
        <f>P6</f>
        <v>0</v>
      </c>
      <c r="AM9" t="str">
        <f ca="1">IF(AL9&gt;AK9,"Medical Required","Medical Not Required")</f>
        <v>Medical Not Required</v>
      </c>
    </row>
    <row r="10" spans="1:44">
      <c r="A10" s="7" t="s">
        <v>16</v>
      </c>
      <c r="E10" t="s">
        <v>90</v>
      </c>
      <c r="F10" t="s">
        <v>87</v>
      </c>
      <c r="J10" s="10"/>
      <c r="N10" s="9" t="s">
        <v>67</v>
      </c>
      <c r="O10" s="75">
        <f ca="1">IF($B$18, (O9*9%),0)</f>
        <v>41.67</v>
      </c>
      <c r="P10" s="75" t="e">
        <f ca="1">IF($B$18, (P9*9%),0)</f>
        <v>#REF!</v>
      </c>
      <c r="Q10" s="9"/>
      <c r="R10" s="9"/>
      <c r="S10" s="9"/>
      <c r="T10" s="9"/>
      <c r="X10" s="4"/>
      <c r="Y10" s="4" t="s">
        <v>11</v>
      </c>
      <c r="Z10" s="4">
        <v>8</v>
      </c>
      <c r="AA10" s="4"/>
      <c r="AB10" s="4"/>
      <c r="AC10" s="3" t="s">
        <v>50</v>
      </c>
    </row>
    <row r="11" spans="1:44">
      <c r="A11" t="s">
        <v>18</v>
      </c>
      <c r="B11" s="1">
        <f ca="1">B14</f>
        <v>45706</v>
      </c>
      <c r="D11" t="s">
        <v>65</v>
      </c>
      <c r="E11">
        <f>IF($B$1="Level",O9,Q9)</f>
        <v>0</v>
      </c>
      <c r="F11">
        <f>IF(OR(B2=D6),IF($B$1="Level",P9,R9),0)</f>
        <v>0</v>
      </c>
      <c r="J11" s="10"/>
      <c r="K11" s="1"/>
      <c r="N11" s="9" t="s">
        <v>68</v>
      </c>
      <c r="O11" s="75">
        <f ca="1">IF($B$18, (O9*9%),0)</f>
        <v>41.67</v>
      </c>
      <c r="P11" s="75" t="e">
        <f ca="1">IF($B$18, (P9*9%),0)</f>
        <v>#REF!</v>
      </c>
      <c r="Q11" s="9"/>
      <c r="R11" s="9"/>
      <c r="S11" s="9"/>
      <c r="T11" s="9"/>
      <c r="X11" s="4"/>
      <c r="Y11" s="4" t="s">
        <v>22</v>
      </c>
      <c r="Z11" s="4">
        <v>9</v>
      </c>
      <c r="AA11" s="4"/>
      <c r="AB11" s="4"/>
      <c r="AC11" s="3" t="s">
        <v>57</v>
      </c>
    </row>
    <row r="12" spans="1:44">
      <c r="A12" t="s">
        <v>15</v>
      </c>
      <c r="B12" s="1">
        <f>DATE(UI!$E$10,Logic!$Z$2,UI!$C$10)</f>
        <v>33231</v>
      </c>
      <c r="D12" t="s">
        <v>70</v>
      </c>
      <c r="E12">
        <f>IF($B$1="Level",SUM(O10:O12),SUM(Q10:Q12))</f>
        <v>0</v>
      </c>
      <c r="F12">
        <f>IF(OR(B2=D6),IF($B$1="Level",SUM(P10:P12),SUM(R10:R12)),0)</f>
        <v>0</v>
      </c>
      <c r="J12" s="10"/>
      <c r="K12" s="1"/>
      <c r="N12" s="9" t="s">
        <v>69</v>
      </c>
      <c r="O12" s="75">
        <f>IF($B$18,0,(O9*18%))</f>
        <v>0</v>
      </c>
      <c r="P12" s="75">
        <f>IF($B$18,0,(P9*18%))</f>
        <v>0</v>
      </c>
      <c r="Q12" s="9"/>
      <c r="R12" s="9"/>
      <c r="S12" s="9"/>
      <c r="T12" s="9"/>
      <c r="W12" s="13"/>
      <c r="X12" s="4"/>
      <c r="Y12" s="4" t="s">
        <v>12</v>
      </c>
      <c r="Z12" s="4">
        <v>10</v>
      </c>
      <c r="AA12" s="4"/>
      <c r="AB12" s="4"/>
      <c r="AC12" s="3" t="s">
        <v>31</v>
      </c>
      <c r="AH12">
        <v>1</v>
      </c>
    </row>
    <row r="13" spans="1:44">
      <c r="A13" t="s">
        <v>19</v>
      </c>
      <c r="B13">
        <f ca="1">DATEDIF(B12,B11,"Y")</f>
        <v>34</v>
      </c>
      <c r="J13" s="10"/>
      <c r="X13" s="4"/>
      <c r="Y13" s="4" t="s">
        <v>13</v>
      </c>
      <c r="Z13" s="4">
        <v>11</v>
      </c>
      <c r="AA13" s="4"/>
      <c r="AB13" s="4"/>
      <c r="AC13" s="3" t="s">
        <v>42</v>
      </c>
      <c r="AH13">
        <v>2</v>
      </c>
      <c r="AK13" t="s">
        <v>90</v>
      </c>
      <c r="AL13" t="s">
        <v>106</v>
      </c>
      <c r="AM13" t="s">
        <v>112</v>
      </c>
      <c r="AO13" t="s">
        <v>113</v>
      </c>
      <c r="AP13" t="s">
        <v>87</v>
      </c>
      <c r="AQ13" t="s">
        <v>114</v>
      </c>
      <c r="AR13" t="s">
        <v>23</v>
      </c>
    </row>
    <row r="14" spans="1:44">
      <c r="A14" t="s">
        <v>102</v>
      </c>
      <c r="B14" s="1">
        <f ca="1">TODAY()</f>
        <v>45706</v>
      </c>
      <c r="E14" t="s">
        <v>121</v>
      </c>
      <c r="F14" t="s">
        <v>122</v>
      </c>
      <c r="J14" s="10"/>
      <c r="X14" s="4"/>
      <c r="Y14" s="4" t="s">
        <v>14</v>
      </c>
      <c r="Z14" s="4">
        <v>12</v>
      </c>
      <c r="AA14" s="4"/>
      <c r="AB14" s="4"/>
      <c r="AC14" s="3" t="s">
        <v>38</v>
      </c>
      <c r="AH14">
        <v>3</v>
      </c>
      <c r="AJ14">
        <v>18</v>
      </c>
      <c r="AK14" s="33">
        <v>2000000</v>
      </c>
      <c r="AL14" s="33">
        <v>2000000</v>
      </c>
      <c r="AM14">
        <v>10000000</v>
      </c>
      <c r="AO14">
        <f ca="1">VLOOKUP(UI!$C$12,Logic!$AJ$14:$AM$61,2,0)</f>
        <v>2000000</v>
      </c>
      <c r="AP14">
        <f ca="1">VLOOKUP(UI!$C$12,Logic!$AJ$14:$AM$61,3,0)</f>
        <v>2000000</v>
      </c>
      <c r="AQ14">
        <f ca="1">VLOOKUP(UI!$C$12,Logic!$AJ$14:$AM$61,4,0)</f>
        <v>10000000</v>
      </c>
      <c r="AR14">
        <f>UI!C20</f>
        <v>195000</v>
      </c>
    </row>
    <row r="15" spans="1:44">
      <c r="A15" t="s">
        <v>20</v>
      </c>
      <c r="B15" s="1">
        <f ca="1">DATE(YEAR($B$11)-18,MONTH($B$11),DAY($B$11))</f>
        <v>39131</v>
      </c>
      <c r="E15" t="s">
        <v>92</v>
      </c>
      <c r="F15" t="str">
        <f>UI!C7</f>
        <v>Female</v>
      </c>
      <c r="X15" s="4"/>
      <c r="AA15" s="4"/>
      <c r="AB15" s="4"/>
      <c r="AC15" s="3" t="s">
        <v>37</v>
      </c>
      <c r="AH15">
        <v>4</v>
      </c>
      <c r="AJ15">
        <v>19</v>
      </c>
      <c r="AK15" s="33">
        <v>2000000</v>
      </c>
      <c r="AL15" s="33">
        <v>2000000</v>
      </c>
      <c r="AM15">
        <v>10000000</v>
      </c>
    </row>
    <row r="16" spans="1:44">
      <c r="A16" t="s">
        <v>21</v>
      </c>
      <c r="B16" s="1">
        <f ca="1">DATE(YEAR(B11)-65-1,MONTH(B11),DAY(B11)+1)</f>
        <v>21600</v>
      </c>
      <c r="C16" s="1">
        <f ca="1">DATE(YEAR(B11)-60-1,MONTH(B11),DAY(B11)+1)</f>
        <v>23426</v>
      </c>
      <c r="E16" t="s">
        <v>123</v>
      </c>
      <c r="F16" t="str">
        <f>VLOOKUP(UI!C17,Logic!E18:F19,2,0)</f>
        <v>BDB</v>
      </c>
      <c r="N16" s="45"/>
      <c r="O16" s="45"/>
      <c r="P16" s="45"/>
      <c r="Q16" s="45"/>
      <c r="R16" s="45"/>
      <c r="S16" s="45"/>
      <c r="T16" s="45"/>
      <c r="X16" s="4"/>
      <c r="AA16" s="4"/>
      <c r="AB16" s="4"/>
      <c r="AC16" s="3" t="s">
        <v>28</v>
      </c>
      <c r="AH16">
        <v>5</v>
      </c>
      <c r="AJ16">
        <v>20</v>
      </c>
      <c r="AK16" s="33">
        <v>2000000</v>
      </c>
      <c r="AL16" s="33">
        <v>2000000</v>
      </c>
      <c r="AM16">
        <v>10000000</v>
      </c>
    </row>
    <row r="17" spans="1:39">
      <c r="E17" t="s">
        <v>125</v>
      </c>
      <c r="F17" t="str">
        <f>IF(F16="BDB","",CONCATENATE(F14,"_",F16,"_",F15))</f>
        <v/>
      </c>
      <c r="N17" s="45">
        <f ca="1">IF(B13&lt;40,(0.8*UI!C14),(0.3*UI!C14))</f>
        <v>156000</v>
      </c>
      <c r="O17" s="45"/>
      <c r="P17" s="45"/>
      <c r="Q17" s="45"/>
      <c r="R17" s="45"/>
      <c r="S17" s="45"/>
      <c r="T17" s="45"/>
      <c r="X17" s="4"/>
      <c r="AA17" s="4"/>
      <c r="AB17" s="4"/>
      <c r="AC17" s="3" t="s">
        <v>40</v>
      </c>
      <c r="AH17">
        <v>6</v>
      </c>
      <c r="AJ17">
        <v>21</v>
      </c>
      <c r="AK17" s="33">
        <v>2000000</v>
      </c>
      <c r="AL17" s="33">
        <v>2000000</v>
      </c>
      <c r="AM17">
        <v>10000000</v>
      </c>
    </row>
    <row r="18" spans="1:39">
      <c r="A18" t="s">
        <v>66</v>
      </c>
      <c r="B18" t="b">
        <f>UI!C22=UI!C23</f>
        <v>1</v>
      </c>
      <c r="E18" t="s">
        <v>90</v>
      </c>
      <c r="F18" t="s">
        <v>124</v>
      </c>
      <c r="N18" s="45"/>
      <c r="O18" s="45"/>
      <c r="P18" s="45"/>
      <c r="Q18" s="45"/>
      <c r="R18" s="45"/>
      <c r="S18" s="45"/>
      <c r="T18" s="45"/>
      <c r="X18" s="4"/>
      <c r="AA18" s="4"/>
      <c r="AB18" s="4"/>
      <c r="AC18" s="3" t="s">
        <v>36</v>
      </c>
      <c r="AH18">
        <v>7</v>
      </c>
      <c r="AJ18">
        <v>22</v>
      </c>
      <c r="AK18" s="33">
        <v>2000000</v>
      </c>
      <c r="AL18" s="33">
        <v>2000000</v>
      </c>
      <c r="AM18">
        <v>10000000</v>
      </c>
    </row>
    <row r="19" spans="1:39">
      <c r="E19" t="s">
        <v>93</v>
      </c>
      <c r="F19" t="s">
        <v>87</v>
      </c>
      <c r="N19" s="45"/>
      <c r="O19" s="45"/>
      <c r="P19" s="45"/>
      <c r="Q19" s="45"/>
      <c r="R19" s="45"/>
      <c r="S19" s="45"/>
      <c r="T19" s="45"/>
      <c r="X19" s="4"/>
      <c r="AA19" s="4"/>
      <c r="AB19" s="4"/>
      <c r="AC19" s="3" t="s">
        <v>29</v>
      </c>
      <c r="AH19">
        <v>8</v>
      </c>
      <c r="AJ19">
        <v>23</v>
      </c>
      <c r="AK19" s="33">
        <v>2000000</v>
      </c>
      <c r="AL19" s="33">
        <v>2000000</v>
      </c>
      <c r="AM19">
        <v>10000000</v>
      </c>
    </row>
    <row r="20" spans="1:39">
      <c r="A20" t="s">
        <v>71</v>
      </c>
      <c r="B20">
        <v>18</v>
      </c>
      <c r="N20" s="45"/>
      <c r="O20" s="45"/>
      <c r="P20" s="45"/>
      <c r="Q20" s="45"/>
      <c r="R20" s="45"/>
      <c r="S20" s="45"/>
      <c r="T20" s="45"/>
      <c r="X20" s="4"/>
      <c r="AA20" s="4"/>
      <c r="AB20" s="4"/>
      <c r="AC20" s="3" t="s">
        <v>32</v>
      </c>
      <c r="AH20">
        <v>9</v>
      </c>
      <c r="AJ20">
        <v>24</v>
      </c>
      <c r="AK20" s="33">
        <v>2000000</v>
      </c>
      <c r="AL20" s="33">
        <v>2000000</v>
      </c>
      <c r="AM20">
        <v>10000000</v>
      </c>
    </row>
    <row r="21" spans="1:39">
      <c r="A21" t="s">
        <v>72</v>
      </c>
      <c r="B21">
        <v>65</v>
      </c>
      <c r="N21" s="45"/>
      <c r="O21" s="45"/>
      <c r="P21" s="45"/>
      <c r="Q21" s="45"/>
      <c r="R21" s="45"/>
      <c r="S21" s="45"/>
      <c r="T21" s="45"/>
      <c r="X21" s="4"/>
      <c r="AA21" s="4"/>
      <c r="AB21" s="4"/>
      <c r="AC21" s="3" t="s">
        <v>33</v>
      </c>
      <c r="AH21">
        <v>10</v>
      </c>
      <c r="AJ21">
        <v>25</v>
      </c>
      <c r="AK21" s="33">
        <v>2000000</v>
      </c>
      <c r="AL21" s="33">
        <v>2000000</v>
      </c>
      <c r="AM21">
        <v>10000000</v>
      </c>
    </row>
    <row r="22" spans="1:39" ht="15" customHeight="1">
      <c r="A22" t="s">
        <v>73</v>
      </c>
      <c r="B22">
        <v>69</v>
      </c>
      <c r="C22">
        <v>75</v>
      </c>
      <c r="N22" s="45"/>
      <c r="O22" s="45"/>
      <c r="P22" s="45"/>
      <c r="Q22" s="45"/>
      <c r="R22" s="45"/>
      <c r="S22" s="45"/>
      <c r="T22" s="45"/>
      <c r="X22" s="4"/>
      <c r="AA22" s="4"/>
      <c r="AB22" s="4"/>
      <c r="AC22" s="3" t="s">
        <v>58</v>
      </c>
      <c r="AH22">
        <v>11</v>
      </c>
      <c r="AJ22">
        <v>26</v>
      </c>
      <c r="AK22" s="33">
        <v>2000000</v>
      </c>
      <c r="AL22" s="33">
        <v>2000000</v>
      </c>
      <c r="AM22">
        <v>10000000</v>
      </c>
    </row>
    <row r="23" spans="1:39">
      <c r="A23" t="s">
        <v>79</v>
      </c>
      <c r="B23">
        <v>4</v>
      </c>
      <c r="D23" s="22" t="s">
        <v>99</v>
      </c>
      <c r="E23" s="22" t="s">
        <v>87</v>
      </c>
      <c r="G23">
        <v>2</v>
      </c>
      <c r="N23" s="45"/>
      <c r="O23" s="45"/>
      <c r="P23" s="45"/>
      <c r="Q23" s="45"/>
      <c r="R23" s="45"/>
      <c r="S23" s="45"/>
      <c r="T23" s="45"/>
      <c r="X23" s="4"/>
      <c r="AA23" s="4"/>
      <c r="AB23" s="4"/>
      <c r="AC23" s="3" t="s">
        <v>44</v>
      </c>
      <c r="AH23">
        <v>12</v>
      </c>
      <c r="AJ23">
        <v>27</v>
      </c>
      <c r="AK23" s="33">
        <v>2000000</v>
      </c>
      <c r="AL23" s="33">
        <v>2000000</v>
      </c>
      <c r="AM23">
        <v>10000000</v>
      </c>
    </row>
    <row r="24" spans="1:39" ht="15" customHeight="1">
      <c r="A24" t="s">
        <v>80</v>
      </c>
      <c r="B24">
        <v>4</v>
      </c>
      <c r="D24" s="22">
        <f>UI!C15</f>
        <v>7</v>
      </c>
      <c r="E24" s="22">
        <f>D24</f>
        <v>7</v>
      </c>
      <c r="G24">
        <v>3</v>
      </c>
      <c r="N24" s="45"/>
      <c r="O24" s="45"/>
      <c r="P24" s="45"/>
      <c r="Q24" s="45"/>
      <c r="R24" s="45"/>
      <c r="S24" s="45"/>
      <c r="T24" s="45"/>
      <c r="X24" s="4"/>
      <c r="Y24" s="4"/>
      <c r="Z24" s="4"/>
      <c r="AA24" s="4"/>
      <c r="AB24" s="4"/>
      <c r="AC24" s="3" t="s">
        <v>46</v>
      </c>
      <c r="AH24">
        <v>13</v>
      </c>
      <c r="AJ24">
        <v>28</v>
      </c>
      <c r="AK24" s="33">
        <v>2000000</v>
      </c>
      <c r="AL24" s="33">
        <v>2000000</v>
      </c>
      <c r="AM24">
        <v>10000000</v>
      </c>
    </row>
    <row r="25" spans="1:39">
      <c r="D25" s="22">
        <f>IF(G23&lt;=$D$24,G23,"")</f>
        <v>2</v>
      </c>
      <c r="E25" s="22">
        <f>IF(G23&lt;=$E$24,G23,"")</f>
        <v>2</v>
      </c>
      <c r="G25">
        <v>4</v>
      </c>
      <c r="N25" s="45"/>
      <c r="O25" s="45"/>
      <c r="P25" s="45"/>
      <c r="Q25" s="45"/>
      <c r="R25" s="45"/>
      <c r="S25" s="45"/>
      <c r="T25" s="45"/>
      <c r="X25" s="4"/>
      <c r="Y25" s="4"/>
      <c r="Z25" s="4"/>
      <c r="AA25" s="4"/>
      <c r="AB25" s="4"/>
      <c r="AC25" s="3" t="s">
        <v>59</v>
      </c>
      <c r="AH25">
        <v>14</v>
      </c>
      <c r="AJ25">
        <v>29</v>
      </c>
      <c r="AK25" s="33">
        <v>2000000</v>
      </c>
      <c r="AL25" s="33">
        <v>2000000</v>
      </c>
      <c r="AM25">
        <v>10000000</v>
      </c>
    </row>
    <row r="26" spans="1:39">
      <c r="A26">
        <v>5000</v>
      </c>
      <c r="B26" s="10">
        <f>MIN(A26,A27)</f>
        <v>5000</v>
      </c>
      <c r="D26" s="22">
        <f t="shared" ref="D26:D43" si="2">IF(G24&lt;=$D$24,G24,"")</f>
        <v>3</v>
      </c>
      <c r="E26" s="22">
        <f t="shared" ref="E26:E43" si="3">IF(G24&lt;=$E$24,G24,"")</f>
        <v>3</v>
      </c>
      <c r="G26">
        <v>5</v>
      </c>
      <c r="N26" s="45"/>
      <c r="O26" s="45"/>
      <c r="P26" s="45"/>
      <c r="Q26" s="45"/>
      <c r="R26" s="45"/>
      <c r="S26" s="45"/>
      <c r="T26" s="45"/>
      <c r="X26" s="4"/>
      <c r="Y26" s="4"/>
      <c r="Z26" s="4"/>
      <c r="AA26" s="4"/>
      <c r="AB26" s="4"/>
      <c r="AC26" s="3" t="s">
        <v>41</v>
      </c>
      <c r="AH26">
        <v>15</v>
      </c>
      <c r="AJ26">
        <v>30</v>
      </c>
      <c r="AK26" s="33">
        <v>2000000</v>
      </c>
      <c r="AL26" s="33">
        <v>2000000</v>
      </c>
      <c r="AM26">
        <v>10000000</v>
      </c>
    </row>
    <row r="27" spans="1:39">
      <c r="A27">
        <f>UI!C14</f>
        <v>195000</v>
      </c>
      <c r="B27" s="43" t="str">
        <f>UI!C17</f>
        <v>Death</v>
      </c>
      <c r="D27" s="22">
        <f>IF(G25&lt;=$D$24,G25,"")</f>
        <v>4</v>
      </c>
      <c r="E27" s="22">
        <f t="shared" si="3"/>
        <v>4</v>
      </c>
      <c r="G27">
        <v>6</v>
      </c>
      <c r="X27" s="4"/>
      <c r="Y27" s="4"/>
      <c r="Z27" s="4"/>
      <c r="AA27" s="4"/>
      <c r="AB27" s="4"/>
      <c r="AC27" s="3" t="s">
        <v>39</v>
      </c>
      <c r="AH27">
        <v>16</v>
      </c>
      <c r="AJ27">
        <v>31</v>
      </c>
      <c r="AK27" s="33">
        <v>2000000</v>
      </c>
      <c r="AL27" s="33">
        <v>2000000</v>
      </c>
      <c r="AM27">
        <v>10000000</v>
      </c>
    </row>
    <row r="28" spans="1:39">
      <c r="A28" t="s">
        <v>111</v>
      </c>
      <c r="D28" s="22"/>
      <c r="E28" s="22"/>
      <c r="G28">
        <v>7</v>
      </c>
      <c r="X28" s="4"/>
      <c r="Y28" s="4"/>
      <c r="Z28" s="4"/>
      <c r="AA28" s="4"/>
      <c r="AB28" s="4"/>
      <c r="AC28" s="3" t="s">
        <v>52</v>
      </c>
      <c r="AH28">
        <v>17</v>
      </c>
      <c r="AJ28">
        <v>32</v>
      </c>
      <c r="AK28" s="33">
        <v>2000000</v>
      </c>
      <c r="AL28" s="33">
        <v>2000000</v>
      </c>
      <c r="AM28">
        <v>10000000</v>
      </c>
    </row>
    <row r="29" spans="1:39">
      <c r="A29" s="44">
        <f ca="1">MIN(3000000,A30)</f>
        <v>156000</v>
      </c>
      <c r="B29">
        <f ca="1">IF(B13&lt;40,(0.8*UI!C14),(IF(UI!C17="Death",0.5*UI!C14,0.3*UI!C14)))</f>
        <v>156000</v>
      </c>
      <c r="D29" s="22"/>
      <c r="E29" s="22"/>
      <c r="G29">
        <v>8</v>
      </c>
      <c r="X29" s="4"/>
      <c r="Y29" s="4"/>
      <c r="Z29" s="4"/>
      <c r="AA29" s="4"/>
      <c r="AB29" s="4"/>
      <c r="AC29" s="3" t="s">
        <v>53</v>
      </c>
      <c r="AH29">
        <v>18</v>
      </c>
      <c r="AJ29">
        <v>33</v>
      </c>
      <c r="AK29" s="33">
        <v>2000000</v>
      </c>
      <c r="AL29" s="33">
        <v>2000000</v>
      </c>
      <c r="AM29">
        <v>10000000</v>
      </c>
    </row>
    <row r="30" spans="1:39" ht="15" customHeight="1">
      <c r="A30">
        <f ca="1">MAX(5000,A31)</f>
        <v>156000</v>
      </c>
      <c r="D30" s="22"/>
      <c r="E30" s="22"/>
      <c r="G30">
        <v>9</v>
      </c>
      <c r="X30" s="4"/>
      <c r="Y30" s="4"/>
      <c r="Z30" s="4"/>
      <c r="AA30" s="4"/>
      <c r="AB30" s="4"/>
      <c r="AC30" s="3" t="s">
        <v>54</v>
      </c>
      <c r="AH30">
        <v>19</v>
      </c>
      <c r="AJ30">
        <v>34</v>
      </c>
      <c r="AK30" s="33">
        <v>2000000</v>
      </c>
      <c r="AL30" s="33">
        <v>2000000</v>
      </c>
      <c r="AM30">
        <v>10000000</v>
      </c>
    </row>
    <row r="31" spans="1:39">
      <c r="A31">
        <f ca="1">IF(B13&lt;=40,(0.8*UI!C14),(IF(UI!C17="Death",0.5*UI!C14,0.3*UI!C14)))</f>
        <v>156000</v>
      </c>
      <c r="D31" s="22" t="str">
        <f t="shared" si="2"/>
        <v/>
      </c>
      <c r="E31" s="22" t="str">
        <f t="shared" si="3"/>
        <v/>
      </c>
      <c r="G31">
        <v>10</v>
      </c>
      <c r="X31" s="4"/>
      <c r="Y31" s="4"/>
      <c r="Z31" s="4"/>
      <c r="AA31" s="4"/>
      <c r="AB31" s="4"/>
      <c r="AC31" s="3" t="s">
        <v>55</v>
      </c>
      <c r="AH31">
        <v>20</v>
      </c>
      <c r="AJ31">
        <v>35</v>
      </c>
      <c r="AK31" s="33">
        <v>2000000</v>
      </c>
      <c r="AL31" s="33">
        <v>2000000</v>
      </c>
      <c r="AM31">
        <v>10000000</v>
      </c>
    </row>
    <row r="32" spans="1:39">
      <c r="D32" s="22" t="str">
        <f t="shared" si="2"/>
        <v/>
      </c>
      <c r="E32" s="22" t="str">
        <f t="shared" si="3"/>
        <v/>
      </c>
      <c r="G32">
        <v>11</v>
      </c>
      <c r="X32" s="4"/>
      <c r="Y32" s="4"/>
      <c r="Z32" s="4"/>
      <c r="AA32" s="4"/>
      <c r="AB32" s="4"/>
      <c r="AC32" s="3" t="s">
        <v>49</v>
      </c>
      <c r="AH32">
        <v>21</v>
      </c>
      <c r="AJ32">
        <v>36</v>
      </c>
      <c r="AK32" s="33">
        <v>2000000</v>
      </c>
      <c r="AL32" s="33">
        <v>2000000</v>
      </c>
      <c r="AM32">
        <v>10000000</v>
      </c>
    </row>
    <row r="33" spans="4:39">
      <c r="D33" s="22" t="str">
        <f t="shared" si="2"/>
        <v/>
      </c>
      <c r="E33" s="22" t="str">
        <f t="shared" si="3"/>
        <v/>
      </c>
      <c r="G33">
        <v>12</v>
      </c>
      <c r="X33" s="4"/>
      <c r="Y33" s="4"/>
      <c r="Z33" s="4"/>
      <c r="AA33" s="4"/>
      <c r="AB33" s="4"/>
      <c r="AC33" s="3" t="s">
        <v>78</v>
      </c>
      <c r="AH33">
        <v>22</v>
      </c>
      <c r="AJ33">
        <v>37</v>
      </c>
      <c r="AK33" s="33">
        <v>2000000</v>
      </c>
      <c r="AL33" s="33">
        <v>2000000</v>
      </c>
      <c r="AM33">
        <v>10000000</v>
      </c>
    </row>
    <row r="34" spans="4:39">
      <c r="D34" s="22" t="str">
        <f t="shared" si="2"/>
        <v/>
      </c>
      <c r="E34" s="22" t="str">
        <f t="shared" si="3"/>
        <v/>
      </c>
      <c r="G34">
        <v>13</v>
      </c>
      <c r="X34" s="4"/>
      <c r="Y34" s="4"/>
      <c r="Z34" s="4"/>
      <c r="AA34" s="4"/>
      <c r="AB34" s="4"/>
      <c r="AC34" s="3" t="s">
        <v>30</v>
      </c>
      <c r="AH34">
        <v>23</v>
      </c>
      <c r="AJ34">
        <v>38</v>
      </c>
      <c r="AK34" s="33">
        <v>2000000</v>
      </c>
      <c r="AL34" s="33">
        <v>2000000</v>
      </c>
      <c r="AM34">
        <v>10000000</v>
      </c>
    </row>
    <row r="35" spans="4:39">
      <c r="D35" s="22" t="str">
        <f t="shared" si="2"/>
        <v/>
      </c>
      <c r="E35" s="22" t="str">
        <f t="shared" si="3"/>
        <v/>
      </c>
      <c r="G35">
        <v>14</v>
      </c>
      <c r="X35" s="4"/>
      <c r="Y35" s="4"/>
      <c r="Z35" s="4"/>
      <c r="AA35" s="4"/>
      <c r="AB35" s="4"/>
      <c r="AC35" s="3" t="s">
        <v>35</v>
      </c>
      <c r="AH35">
        <v>24</v>
      </c>
      <c r="AJ35">
        <v>39</v>
      </c>
      <c r="AK35" s="33">
        <v>2000000</v>
      </c>
      <c r="AL35" s="33">
        <v>2000000</v>
      </c>
      <c r="AM35">
        <v>10000000</v>
      </c>
    </row>
    <row r="36" spans="4:39">
      <c r="D36" s="22" t="str">
        <f t="shared" si="2"/>
        <v/>
      </c>
      <c r="E36" s="22" t="str">
        <f t="shared" si="3"/>
        <v/>
      </c>
      <c r="G36">
        <v>15</v>
      </c>
      <c r="X36" s="4"/>
      <c r="Y36" s="4"/>
      <c r="Z36" s="4"/>
      <c r="AA36" s="4"/>
      <c r="AB36" s="4"/>
      <c r="AC36" s="3" t="s">
        <v>48</v>
      </c>
      <c r="AH36">
        <v>25</v>
      </c>
      <c r="AJ36">
        <v>40</v>
      </c>
      <c r="AK36" s="33">
        <v>2000000</v>
      </c>
      <c r="AL36" s="33">
        <v>2000000</v>
      </c>
      <c r="AM36">
        <v>10000000</v>
      </c>
    </row>
    <row r="37" spans="4:39">
      <c r="D37" s="22" t="str">
        <f t="shared" si="2"/>
        <v/>
      </c>
      <c r="E37" s="22" t="str">
        <f t="shared" si="3"/>
        <v/>
      </c>
      <c r="G37">
        <v>16</v>
      </c>
      <c r="X37" s="4"/>
      <c r="Y37" s="4"/>
      <c r="Z37" s="4"/>
      <c r="AA37" s="4"/>
      <c r="AB37" s="4"/>
      <c r="AC37" s="3" t="s">
        <v>45</v>
      </c>
      <c r="AH37">
        <v>26</v>
      </c>
      <c r="AJ37">
        <v>41</v>
      </c>
      <c r="AK37" s="33">
        <v>2000000</v>
      </c>
      <c r="AL37" s="33">
        <v>2000000</v>
      </c>
      <c r="AM37">
        <v>10000000</v>
      </c>
    </row>
    <row r="38" spans="4:39">
      <c r="D38" s="22" t="str">
        <f t="shared" si="2"/>
        <v/>
      </c>
      <c r="E38" s="22" t="str">
        <f t="shared" si="3"/>
        <v/>
      </c>
      <c r="G38">
        <v>17</v>
      </c>
      <c r="X38" s="4"/>
      <c r="Y38" s="4"/>
      <c r="Z38" s="4"/>
      <c r="AA38" s="4"/>
      <c r="AB38" s="4"/>
      <c r="AC38" s="3" t="s">
        <v>76</v>
      </c>
      <c r="AH38">
        <v>27</v>
      </c>
      <c r="AJ38">
        <v>42</v>
      </c>
      <c r="AK38" s="33">
        <v>2000000</v>
      </c>
      <c r="AL38" s="33">
        <v>2000000</v>
      </c>
      <c r="AM38">
        <v>10000000</v>
      </c>
    </row>
    <row r="39" spans="4:39">
      <c r="D39" s="22" t="str">
        <f t="shared" si="2"/>
        <v/>
      </c>
      <c r="E39" s="22" t="str">
        <f t="shared" si="3"/>
        <v/>
      </c>
      <c r="G39">
        <v>18</v>
      </c>
      <c r="X39" s="4"/>
      <c r="Y39" s="4"/>
      <c r="Z39" s="4"/>
      <c r="AA39" s="4"/>
      <c r="AB39" s="4"/>
      <c r="AC39" s="3" t="s">
        <v>56</v>
      </c>
      <c r="AH39">
        <v>28</v>
      </c>
      <c r="AJ39">
        <v>43</v>
      </c>
      <c r="AK39" s="33">
        <v>2000000</v>
      </c>
      <c r="AL39" s="33">
        <v>2000000</v>
      </c>
      <c r="AM39">
        <v>10000000</v>
      </c>
    </row>
    <row r="40" spans="4:39">
      <c r="D40" s="22" t="str">
        <f t="shared" si="2"/>
        <v/>
      </c>
      <c r="E40" s="22" t="str">
        <f t="shared" si="3"/>
        <v/>
      </c>
      <c r="G40">
        <v>19</v>
      </c>
      <c r="X40" s="4"/>
      <c r="Y40" s="4"/>
      <c r="Z40" s="4"/>
      <c r="AA40" s="4"/>
      <c r="AB40" s="4"/>
      <c r="AC40" s="3" t="s">
        <v>34</v>
      </c>
      <c r="AH40">
        <v>29</v>
      </c>
      <c r="AJ40">
        <v>44</v>
      </c>
      <c r="AK40" s="33">
        <v>2000000</v>
      </c>
      <c r="AL40" s="33">
        <v>2000000</v>
      </c>
      <c r="AM40">
        <v>10000000</v>
      </c>
    </row>
    <row r="41" spans="4:39">
      <c r="D41" s="22" t="str">
        <f t="shared" si="2"/>
        <v/>
      </c>
      <c r="E41" s="22" t="str">
        <f t="shared" si="3"/>
        <v/>
      </c>
      <c r="G41">
        <v>20</v>
      </c>
      <c r="X41" s="4"/>
      <c r="Y41" s="4"/>
      <c r="Z41" s="4"/>
      <c r="AA41" s="4"/>
      <c r="AB41" s="4"/>
      <c r="AC41" s="3" t="s">
        <v>77</v>
      </c>
      <c r="AH41">
        <v>30</v>
      </c>
      <c r="AJ41">
        <v>45</v>
      </c>
      <c r="AK41" s="33">
        <v>2000000</v>
      </c>
      <c r="AL41" s="33">
        <v>2000000</v>
      </c>
      <c r="AM41">
        <v>10000000</v>
      </c>
    </row>
    <row r="42" spans="4:39">
      <c r="D42" s="22" t="str">
        <f>IF(G40&lt;=$D$24,G40,"")</f>
        <v/>
      </c>
      <c r="E42" s="22" t="str">
        <f t="shared" si="3"/>
        <v/>
      </c>
      <c r="X42" s="4"/>
      <c r="Y42" s="4"/>
      <c r="Z42" s="4"/>
      <c r="AA42" s="4"/>
      <c r="AB42" s="4"/>
      <c r="AC42" s="3" t="s">
        <v>47</v>
      </c>
      <c r="AH42">
        <v>31</v>
      </c>
      <c r="AJ42">
        <v>46</v>
      </c>
      <c r="AK42" s="33">
        <v>2000000</v>
      </c>
      <c r="AL42" s="33">
        <v>1500000</v>
      </c>
      <c r="AM42">
        <v>10000000</v>
      </c>
    </row>
    <row r="43" spans="4:39">
      <c r="D43" s="22" t="str">
        <f t="shared" si="2"/>
        <v/>
      </c>
      <c r="E43" s="22" t="str">
        <f t="shared" si="3"/>
        <v/>
      </c>
      <c r="X43" s="4"/>
      <c r="Y43" s="4"/>
      <c r="Z43" s="4"/>
      <c r="AA43" s="4"/>
      <c r="AB43" s="4"/>
      <c r="AJ43">
        <v>47</v>
      </c>
      <c r="AK43" s="33">
        <v>2000000</v>
      </c>
      <c r="AL43" s="33">
        <v>1500000</v>
      </c>
      <c r="AM43">
        <v>10000000</v>
      </c>
    </row>
    <row r="44" spans="4:39">
      <c r="X44" s="4"/>
      <c r="Y44" s="4"/>
      <c r="Z44" s="4"/>
      <c r="AA44" s="4"/>
      <c r="AB44" s="4"/>
      <c r="AJ44">
        <v>48</v>
      </c>
      <c r="AK44" s="33">
        <v>2000000</v>
      </c>
      <c r="AL44" s="33">
        <v>1500000</v>
      </c>
      <c r="AM44">
        <v>10000000</v>
      </c>
    </row>
    <row r="45" spans="4:39">
      <c r="X45" s="4"/>
      <c r="Y45" s="4"/>
      <c r="Z45" s="4"/>
      <c r="AA45" s="4"/>
      <c r="AB45" s="4"/>
      <c r="AJ45">
        <v>49</v>
      </c>
      <c r="AK45" s="33">
        <v>2000000</v>
      </c>
      <c r="AL45" s="33">
        <v>1500000</v>
      </c>
      <c r="AM45">
        <v>10000000</v>
      </c>
    </row>
    <row r="46" spans="4:39">
      <c r="AJ46">
        <v>50</v>
      </c>
      <c r="AK46" s="33">
        <v>2000000</v>
      </c>
      <c r="AL46" s="33">
        <v>1500000</v>
      </c>
      <c r="AM46">
        <v>10000000</v>
      </c>
    </row>
    <row r="47" spans="4:39">
      <c r="AJ47">
        <v>51</v>
      </c>
      <c r="AK47" s="33">
        <v>1000000</v>
      </c>
      <c r="AL47" s="33">
        <v>1000000</v>
      </c>
      <c r="AM47">
        <v>10000000</v>
      </c>
    </row>
    <row r="48" spans="4:39">
      <c r="AJ48">
        <v>52</v>
      </c>
      <c r="AK48" s="33">
        <v>1000000</v>
      </c>
      <c r="AL48" s="33">
        <v>1000000</v>
      </c>
      <c r="AM48">
        <v>10000000</v>
      </c>
    </row>
    <row r="49" spans="33:39">
      <c r="AJ49">
        <v>53</v>
      </c>
      <c r="AK49" s="33">
        <v>1000000</v>
      </c>
      <c r="AL49" s="33">
        <v>1000000</v>
      </c>
      <c r="AM49">
        <v>10000000</v>
      </c>
    </row>
    <row r="50" spans="33:39">
      <c r="AJ50">
        <v>54</v>
      </c>
      <c r="AK50" s="33">
        <v>1000000</v>
      </c>
      <c r="AL50" s="33">
        <v>1000000</v>
      </c>
      <c r="AM50">
        <v>10000000</v>
      </c>
    </row>
    <row r="51" spans="33:39">
      <c r="AJ51">
        <v>55</v>
      </c>
      <c r="AK51" s="33">
        <v>1000000</v>
      </c>
      <c r="AL51" s="33">
        <v>1000000</v>
      </c>
      <c r="AM51">
        <v>10000000</v>
      </c>
    </row>
    <row r="52" spans="33:39">
      <c r="AJ52">
        <v>56</v>
      </c>
      <c r="AK52" s="33">
        <v>1000000</v>
      </c>
      <c r="AL52" s="33">
        <v>500000</v>
      </c>
      <c r="AM52">
        <v>10000000</v>
      </c>
    </row>
    <row r="53" spans="33:39">
      <c r="AJ53">
        <v>57</v>
      </c>
      <c r="AK53" s="33">
        <v>1000000</v>
      </c>
      <c r="AL53" s="33">
        <v>500000</v>
      </c>
      <c r="AM53">
        <v>10000000</v>
      </c>
    </row>
    <row r="54" spans="33:39">
      <c r="AJ54">
        <v>58</v>
      </c>
      <c r="AK54" s="33">
        <v>1000000</v>
      </c>
      <c r="AL54" s="33">
        <v>500000</v>
      </c>
      <c r="AM54">
        <v>10000000</v>
      </c>
    </row>
    <row r="55" spans="33:39">
      <c r="AJ55">
        <v>59</v>
      </c>
      <c r="AK55" s="33">
        <v>1000000</v>
      </c>
      <c r="AL55" s="33">
        <v>500000</v>
      </c>
      <c r="AM55">
        <v>10000000</v>
      </c>
    </row>
    <row r="56" spans="33:39">
      <c r="AG56" s="3"/>
      <c r="AJ56">
        <v>60</v>
      </c>
      <c r="AK56" s="33">
        <v>1000000</v>
      </c>
      <c r="AL56" s="33">
        <v>500000</v>
      </c>
      <c r="AM56">
        <v>10000000</v>
      </c>
    </row>
    <row r="57" spans="33:39">
      <c r="AG57" s="3"/>
      <c r="AJ57">
        <v>61</v>
      </c>
      <c r="AK57" s="33">
        <v>0</v>
      </c>
      <c r="AL57" s="33">
        <v>0</v>
      </c>
    </row>
    <row r="58" spans="33:39">
      <c r="AG58" s="3"/>
      <c r="AJ58">
        <v>62</v>
      </c>
      <c r="AK58" s="33">
        <v>0</v>
      </c>
      <c r="AL58" s="33">
        <v>0</v>
      </c>
    </row>
    <row r="59" spans="33:39">
      <c r="AG59" s="3"/>
      <c r="AJ59">
        <v>63</v>
      </c>
      <c r="AK59" s="33">
        <v>0</v>
      </c>
      <c r="AL59" s="33">
        <v>0</v>
      </c>
    </row>
    <row r="60" spans="33:39">
      <c r="AJ60">
        <v>64</v>
      </c>
      <c r="AK60" s="33">
        <v>0</v>
      </c>
      <c r="AL60" s="33">
        <v>0</v>
      </c>
    </row>
    <row r="61" spans="33:39">
      <c r="AJ61">
        <v>65</v>
      </c>
      <c r="AK61" s="33">
        <v>0</v>
      </c>
      <c r="AL61" s="33">
        <v>0</v>
      </c>
    </row>
  </sheetData>
  <mergeCells count="5">
    <mergeCell ref="AM1:AM4"/>
    <mergeCell ref="E4:F4"/>
    <mergeCell ref="AJ3:AJ4"/>
    <mergeCell ref="AK1:AK4"/>
    <mergeCell ref="AL1:AL4"/>
  </mergeCells>
  <hyperlinks>
    <hyperlink ref="AC33" r:id="rId1" tooltip="Puducherry" display="https://en.wikipedia.org/wiki/Puducherry" xr:uid="{00000000-0004-0000-0100-000000000000}"/>
    <hyperlink ref="AC38" r:id="rId2" tooltip="Telangana" display="https://en.wikipedia.org/wiki/Telangana" xr:uid="{00000000-0004-0000-0100-000001000000}"/>
    <hyperlink ref="AC41" r:id="rId3" tooltip="Uttarakhand" display="https://en.wikipedia.org/wiki/Uttarakhand" xr:uid="{00000000-0004-0000-0100-000002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7:T60"/>
  <sheetViews>
    <sheetView topLeftCell="A9" workbookViewId="0">
      <selection activeCell="C11" sqref="C11:E11"/>
    </sheetView>
  </sheetViews>
  <sheetFormatPr defaultRowHeight="15"/>
  <sheetData>
    <row r="7" spans="1:20">
      <c r="A7" s="58" t="s">
        <v>117</v>
      </c>
      <c r="B7" s="14">
        <v>2</v>
      </c>
      <c r="C7" s="14">
        <v>3</v>
      </c>
      <c r="D7" s="14">
        <v>4</v>
      </c>
      <c r="E7" s="51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>
      <c r="A8" s="16">
        <v>18</v>
      </c>
      <c r="B8" s="15">
        <v>1.8160000000000001</v>
      </c>
      <c r="C8" s="15">
        <v>2.649</v>
      </c>
      <c r="D8" s="15">
        <v>3.556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>
      <c r="A9" s="16">
        <v>19</v>
      </c>
      <c r="B9" s="15">
        <v>1.8640000000000001</v>
      </c>
      <c r="C9" s="15">
        <v>2.7189999999999999</v>
      </c>
      <c r="D9" s="15">
        <v>3.6440000000000001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>
      <c r="A10" s="16">
        <v>20</v>
      </c>
      <c r="B10" s="15">
        <v>1.9019999999999999</v>
      </c>
      <c r="C10" s="15">
        <v>2.7730000000000001</v>
      </c>
      <c r="D10" s="15">
        <v>3.714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>
      <c r="A11" s="16">
        <v>21</v>
      </c>
      <c r="B11" s="15">
        <v>1.931</v>
      </c>
      <c r="C11" s="15">
        <v>2.8140000000000001</v>
      </c>
      <c r="D11" s="15">
        <v>3.7669999999999999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>
      <c r="A12" s="16">
        <v>22</v>
      </c>
      <c r="B12" s="15">
        <v>1.952</v>
      </c>
      <c r="C12" s="15">
        <v>2.8439999999999999</v>
      </c>
      <c r="D12" s="15">
        <v>3.8069999999999999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>
      <c r="A13" s="16">
        <v>23</v>
      </c>
      <c r="B13" s="15">
        <v>1.968</v>
      </c>
      <c r="C13" s="15">
        <v>2.8690000000000002</v>
      </c>
      <c r="D13" s="15">
        <v>3.8410000000000002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>
      <c r="A14" s="16">
        <v>24</v>
      </c>
      <c r="B14" s="15">
        <v>1.9830000000000001</v>
      </c>
      <c r="C14" s="15">
        <v>2.8929999999999998</v>
      </c>
      <c r="D14" s="15">
        <v>3.875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>
      <c r="A15" s="16">
        <v>25</v>
      </c>
      <c r="B15" s="15">
        <v>1.998</v>
      </c>
      <c r="C15" s="15">
        <v>2.9169999999999998</v>
      </c>
      <c r="D15" s="15">
        <v>3.9129999999999998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>
      <c r="A16" s="16">
        <v>26</v>
      </c>
      <c r="B16" s="15">
        <v>2.0169999999999999</v>
      </c>
      <c r="C16" s="15">
        <v>2.948</v>
      </c>
      <c r="D16" s="15">
        <v>3.96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>
      <c r="A17" s="16">
        <v>27</v>
      </c>
      <c r="B17" s="15">
        <v>2.04</v>
      </c>
      <c r="C17" s="15">
        <v>2.988</v>
      </c>
      <c r="D17" s="15">
        <v>4.0220000000000002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>
      <c r="A18" s="16">
        <v>28</v>
      </c>
      <c r="B18" s="15">
        <v>2.0710000000000002</v>
      </c>
      <c r="C18" s="15">
        <v>3.04</v>
      </c>
      <c r="D18" s="15">
        <v>4.101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>
      <c r="A19" s="16">
        <v>29</v>
      </c>
      <c r="B19" s="15">
        <v>2.1110000000000002</v>
      </c>
      <c r="C19" s="15">
        <v>3.1059999999999999</v>
      </c>
      <c r="D19" s="15">
        <v>4.202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>
      <c r="A20" s="16">
        <v>30</v>
      </c>
      <c r="B20" s="15">
        <v>2.137</v>
      </c>
      <c r="C20" s="15">
        <v>3.1179999999999999</v>
      </c>
      <c r="D20" s="15">
        <v>4.226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>
      <c r="A21" s="16">
        <v>31</v>
      </c>
      <c r="B21" s="15">
        <v>2.1619999999999999</v>
      </c>
      <c r="C21" s="15">
        <v>3.1280000000000001</v>
      </c>
      <c r="D21" s="15">
        <v>4.2489999999999997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>
      <c r="A22" s="16">
        <v>32</v>
      </c>
      <c r="B22" s="15">
        <v>2.1880000000000002</v>
      </c>
      <c r="C22" s="15">
        <v>3.246</v>
      </c>
      <c r="D22" s="15">
        <v>4.4260000000000002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>
      <c r="A23" s="16">
        <v>33</v>
      </c>
      <c r="B23" s="15">
        <v>2.274</v>
      </c>
      <c r="C23" s="15">
        <v>3.387</v>
      </c>
      <c r="D23" s="15">
        <v>4.6349999999999998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>
      <c r="A24" s="16">
        <v>34</v>
      </c>
      <c r="B24" s="15">
        <v>2.375</v>
      </c>
      <c r="C24" s="15">
        <v>3.5539999999999998</v>
      </c>
      <c r="D24" s="15">
        <v>4.8780000000000001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20">
      <c r="A25" s="16">
        <v>35</v>
      </c>
      <c r="B25" s="15">
        <v>2.4940000000000002</v>
      </c>
      <c r="C25" s="15">
        <v>3.7469999999999999</v>
      </c>
      <c r="D25" s="15">
        <v>5.1609999999999996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>
      <c r="A26" s="16">
        <v>36</v>
      </c>
      <c r="B26" s="15">
        <v>2.6309999999999998</v>
      </c>
      <c r="C26" s="15">
        <v>3.972</v>
      </c>
      <c r="D26" s="15">
        <v>5.484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20">
      <c r="A27" s="16">
        <v>37</v>
      </c>
      <c r="B27" s="15">
        <v>2.7890000000000001</v>
      </c>
      <c r="C27" s="15">
        <v>4.2309999999999999</v>
      </c>
      <c r="D27" s="15">
        <v>5.8419999999999996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1:20">
      <c r="A28" s="16">
        <v>38</v>
      </c>
      <c r="B28" s="15">
        <v>2.972</v>
      </c>
      <c r="C28" s="15">
        <v>4.5270000000000001</v>
      </c>
      <c r="D28" s="15">
        <v>6.2370000000000001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20">
      <c r="A29" s="16">
        <v>39</v>
      </c>
      <c r="B29" s="15">
        <v>3.1819999999999999</v>
      </c>
      <c r="C29" s="15">
        <v>4.8730000000000002</v>
      </c>
      <c r="D29" s="15">
        <v>6.6840000000000002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20">
      <c r="A30" s="16">
        <v>40</v>
      </c>
      <c r="B30" s="15">
        <v>3.2330000000000001</v>
      </c>
      <c r="C30" s="15">
        <v>4.9640000000000004</v>
      </c>
      <c r="D30" s="15">
        <v>6.8120000000000003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20">
      <c r="A31" s="16">
        <v>41</v>
      </c>
      <c r="B31" s="15">
        <v>3.4969999999999999</v>
      </c>
      <c r="C31" s="15">
        <v>5.3929999999999998</v>
      </c>
      <c r="D31" s="15">
        <v>7.3710000000000004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20">
      <c r="A32" s="16">
        <v>42</v>
      </c>
      <c r="B32" s="15">
        <v>3.802</v>
      </c>
      <c r="C32" s="15">
        <v>5.8659999999999997</v>
      </c>
      <c r="D32" s="15">
        <v>8.016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20">
      <c r="A33" s="16">
        <v>43</v>
      </c>
      <c r="B33" s="15">
        <v>4.1559999999999997</v>
      </c>
      <c r="C33" s="15">
        <v>6.3940000000000001</v>
      </c>
      <c r="D33" s="15">
        <v>8.7590000000000003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20">
      <c r="A34" s="16">
        <v>44</v>
      </c>
      <c r="B34" s="15">
        <v>4.5620000000000003</v>
      </c>
      <c r="C34" s="15">
        <v>6.9969999999999999</v>
      </c>
      <c r="D34" s="15">
        <v>9.6069999999999993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20">
      <c r="A35" s="16">
        <v>45</v>
      </c>
      <c r="B35" s="15">
        <v>5.0270000000000001</v>
      </c>
      <c r="C35" s="15">
        <v>7.6840000000000002</v>
      </c>
      <c r="D35" s="15">
        <v>10.566000000000001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20">
      <c r="A36" s="16">
        <v>46</v>
      </c>
      <c r="B36" s="15">
        <v>5.5460000000000003</v>
      </c>
      <c r="C36" s="15">
        <v>8.4540000000000006</v>
      </c>
      <c r="D36" s="15">
        <v>11.635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spans="1:20">
      <c r="A37" s="16">
        <v>47</v>
      </c>
      <c r="B37" s="15">
        <v>6.0990000000000002</v>
      </c>
      <c r="C37" s="15">
        <v>9.3030000000000008</v>
      </c>
      <c r="D37" s="15">
        <v>12.805999999999999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20">
      <c r="A38" s="16">
        <v>48</v>
      </c>
      <c r="B38" s="15">
        <v>6.6980000000000004</v>
      </c>
      <c r="C38" s="15">
        <v>10.226000000000001</v>
      </c>
      <c r="D38" s="15">
        <v>14.071999999999999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20">
      <c r="A39" s="16">
        <v>49</v>
      </c>
      <c r="B39" s="15">
        <v>7.3440000000000003</v>
      </c>
      <c r="C39" s="15">
        <v>11.212</v>
      </c>
      <c r="D39" s="15">
        <v>15.417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20">
      <c r="A40" s="16">
        <v>50</v>
      </c>
      <c r="B40" s="15">
        <v>8.0269999999999992</v>
      </c>
      <c r="C40" s="15">
        <v>12.252000000000001</v>
      </c>
      <c r="D40" s="15">
        <v>16.829000000000001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20">
      <c r="A41" s="16">
        <v>51</v>
      </c>
      <c r="B41" s="15">
        <v>8.7409999999999997</v>
      </c>
      <c r="C41" s="15">
        <v>13.336</v>
      </c>
      <c r="D41" s="15">
        <v>18.3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20">
      <c r="A42" s="16">
        <v>52</v>
      </c>
      <c r="B42" s="15">
        <v>9.4819999999999993</v>
      </c>
      <c r="C42" s="15">
        <v>14.46</v>
      </c>
      <c r="D42" s="15">
        <v>19.821999999999999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spans="1:20">
      <c r="A43" s="16">
        <v>53</v>
      </c>
      <c r="B43" s="15">
        <v>10.247999999999999</v>
      </c>
      <c r="C43" s="15">
        <v>15.621</v>
      </c>
      <c r="D43" s="15">
        <v>21.398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20">
      <c r="A44" s="16">
        <v>54</v>
      </c>
      <c r="B44" s="15">
        <v>11.04</v>
      </c>
      <c r="C44" s="15">
        <v>16.824999999999999</v>
      </c>
      <c r="D44" s="15">
        <v>23.036000000000001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20">
      <c r="A45" s="16">
        <v>55</v>
      </c>
      <c r="B45" s="15">
        <v>11.865</v>
      </c>
      <c r="C45" s="15">
        <v>18.082000000000001</v>
      </c>
      <c r="D45" s="15">
        <v>24.751999999999999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20">
      <c r="A46" s="16">
        <v>56</v>
      </c>
      <c r="B46" s="15">
        <v>12.731999999999999</v>
      </c>
      <c r="C46" s="15">
        <v>19.408000000000001</v>
      </c>
      <c r="D46" s="15">
        <v>26.567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20">
      <c r="A47" s="16">
        <v>57</v>
      </c>
      <c r="B47" s="15">
        <v>13.654</v>
      </c>
      <c r="C47" s="15">
        <v>20.821999999999999</v>
      </c>
      <c r="D47" s="15">
        <v>28.510999999999999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20">
      <c r="A48" s="16">
        <v>58</v>
      </c>
      <c r="B48" s="15">
        <v>14.643000000000001</v>
      </c>
      <c r="C48" s="15">
        <v>22.344999999999999</v>
      </c>
      <c r="D48" s="15">
        <v>30.613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spans="1:20">
      <c r="A49" s="16">
        <v>59</v>
      </c>
      <c r="B49" s="15">
        <v>15.717000000000001</v>
      </c>
      <c r="C49" s="15">
        <v>24.001999999999999</v>
      </c>
      <c r="D49" s="15">
        <v>32.901000000000003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spans="1:20">
      <c r="A50" s="16">
        <v>60</v>
      </c>
      <c r="B50" s="15">
        <v>16.891999999999999</v>
      </c>
      <c r="C50" s="15">
        <v>25.817</v>
      </c>
      <c r="D50" s="15">
        <v>35.408000000000001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spans="1:20">
      <c r="A51" s="16">
        <v>61</v>
      </c>
      <c r="B51" s="15">
        <v>18.183</v>
      </c>
      <c r="C51" s="15">
        <v>27.814</v>
      </c>
      <c r="D51" s="15">
        <v>38.165999999999997</v>
      </c>
      <c r="E51" s="31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 spans="1:20">
      <c r="A52" s="16">
        <v>62</v>
      </c>
      <c r="B52" s="15">
        <v>19.606000000000002</v>
      </c>
      <c r="C52" s="15">
        <v>30.012</v>
      </c>
      <c r="D52" s="15">
        <v>41.201999999999998</v>
      </c>
      <c r="E52" s="31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</row>
    <row r="53" spans="1:20">
      <c r="A53" s="16">
        <v>63</v>
      </c>
      <c r="B53" s="15">
        <v>21.177</v>
      </c>
      <c r="C53" s="15">
        <v>32.433999999999997</v>
      </c>
      <c r="D53" s="15">
        <v>44.542999999999999</v>
      </c>
      <c r="E53" s="31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 spans="1:20">
      <c r="A54" s="16">
        <v>64</v>
      </c>
      <c r="B54" s="15">
        <v>22.905999999999999</v>
      </c>
      <c r="C54" s="15">
        <v>35.1</v>
      </c>
      <c r="D54" s="15">
        <v>48.216000000000001</v>
      </c>
      <c r="E54" s="31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spans="1:20">
      <c r="A55" s="16">
        <v>65</v>
      </c>
      <c r="B55" s="15">
        <v>24.811</v>
      </c>
      <c r="C55" s="15">
        <v>38.030999999999999</v>
      </c>
      <c r="D55" s="15">
        <v>52.244999999999997</v>
      </c>
      <c r="E55" s="31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spans="1:20">
      <c r="A56" s="16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 spans="1:20">
      <c r="A57" s="16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spans="1:20">
      <c r="A58" s="16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 spans="1:20">
      <c r="A59" s="16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 spans="1:20">
      <c r="A60" s="16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E55"/>
  <sheetViews>
    <sheetView view="pageBreakPreview" zoomScale="70" zoomScaleNormal="100" zoomScaleSheetLayoutView="70" workbookViewId="0">
      <selection activeCell="C11" sqref="C11:E11"/>
    </sheetView>
  </sheetViews>
  <sheetFormatPr defaultRowHeight="15"/>
  <cols>
    <col min="1" max="1" width="26.5703125" customWidth="1"/>
    <col min="2" max="2" width="14.42578125" customWidth="1"/>
    <col min="3" max="3" width="10.140625" customWidth="1"/>
    <col min="4" max="4" width="10.5703125" bestFit="1" customWidth="1"/>
  </cols>
  <sheetData>
    <row r="1" spans="1:5">
      <c r="A1" s="5" t="s">
        <v>103</v>
      </c>
      <c r="B1" s="5"/>
      <c r="D1" s="5"/>
      <c r="E1" s="5"/>
    </row>
    <row r="2" spans="1:5">
      <c r="A2" s="5" t="s">
        <v>104</v>
      </c>
      <c r="B2" s="6">
        <v>0.2</v>
      </c>
      <c r="D2" s="5"/>
      <c r="E2" s="5"/>
    </row>
    <row r="3" spans="1:5">
      <c r="A3" s="5" t="s">
        <v>105</v>
      </c>
      <c r="B3" s="5"/>
      <c r="D3" s="5"/>
      <c r="E3" s="5"/>
    </row>
    <row r="4" spans="1:5">
      <c r="A4" s="5"/>
      <c r="B4" s="5"/>
      <c r="D4" s="5"/>
      <c r="E4" s="5"/>
    </row>
    <row r="5" spans="1:5">
      <c r="A5" s="5"/>
      <c r="B5" s="5"/>
      <c r="D5" s="5"/>
      <c r="E5" s="5"/>
    </row>
    <row r="6" spans="1:5" ht="15.75">
      <c r="A6" s="119" t="s">
        <v>118</v>
      </c>
      <c r="B6" s="120"/>
      <c r="C6" s="120"/>
      <c r="D6" s="120"/>
      <c r="E6" s="5"/>
    </row>
    <row r="7" spans="1:5">
      <c r="A7" s="59" t="s">
        <v>119</v>
      </c>
      <c r="B7" s="14">
        <v>2</v>
      </c>
      <c r="C7" s="14">
        <v>3</v>
      </c>
      <c r="D7" s="14">
        <v>4</v>
      </c>
      <c r="E7" s="51"/>
    </row>
    <row r="8" spans="1:5">
      <c r="A8" s="60">
        <v>18</v>
      </c>
      <c r="B8" s="20">
        <v>0.38100000000000001</v>
      </c>
      <c r="C8" s="20">
        <v>0.70699999999999996</v>
      </c>
      <c r="D8" s="20">
        <v>1.081</v>
      </c>
      <c r="E8" s="15"/>
    </row>
    <row r="9" spans="1:5">
      <c r="A9" s="60">
        <v>19</v>
      </c>
      <c r="B9" s="20">
        <v>0.38100000000000001</v>
      </c>
      <c r="C9" s="20">
        <v>0.71599999999999997</v>
      </c>
      <c r="D9" s="20">
        <v>1.0980000000000001</v>
      </c>
      <c r="E9" s="15"/>
    </row>
    <row r="10" spans="1:5">
      <c r="A10" s="60">
        <v>20</v>
      </c>
      <c r="B10" s="20">
        <v>0.39200000000000002</v>
      </c>
      <c r="C10" s="20">
        <v>0.73599999999999999</v>
      </c>
      <c r="D10" s="20">
        <v>1.1339999999999999</v>
      </c>
      <c r="E10" s="15"/>
    </row>
    <row r="11" spans="1:5">
      <c r="A11" s="60">
        <v>21</v>
      </c>
      <c r="B11" s="20">
        <v>0.40400000000000003</v>
      </c>
      <c r="C11" s="20">
        <v>0.76300000000000001</v>
      </c>
      <c r="D11" s="20">
        <v>1.1850000000000001</v>
      </c>
      <c r="E11" s="15"/>
    </row>
    <row r="12" spans="1:5">
      <c r="A12" s="60">
        <v>22</v>
      </c>
      <c r="B12" s="20">
        <v>0.42</v>
      </c>
      <c r="C12" s="20">
        <v>0.80400000000000005</v>
      </c>
      <c r="D12" s="20">
        <v>1.256</v>
      </c>
      <c r="E12" s="15"/>
    </row>
    <row r="13" spans="1:5">
      <c r="A13" s="60">
        <v>23</v>
      </c>
      <c r="B13" s="20">
        <v>0.45400000000000001</v>
      </c>
      <c r="C13" s="20">
        <v>0.86599999999999999</v>
      </c>
      <c r="D13" s="20">
        <v>1.3440000000000001</v>
      </c>
      <c r="E13" s="15"/>
    </row>
    <row r="14" spans="1:5">
      <c r="A14" s="60">
        <v>24</v>
      </c>
      <c r="B14" s="20">
        <v>0.48699999999999999</v>
      </c>
      <c r="C14" s="20">
        <v>0.92300000000000004</v>
      </c>
      <c r="D14" s="20">
        <v>1.427</v>
      </c>
      <c r="E14" s="15"/>
    </row>
    <row r="15" spans="1:5">
      <c r="A15" s="60">
        <v>25</v>
      </c>
      <c r="B15" s="20">
        <v>0.51200000000000001</v>
      </c>
      <c r="C15" s="20">
        <v>0.97199999999999998</v>
      </c>
      <c r="D15" s="20">
        <v>1.514</v>
      </c>
      <c r="E15" s="15"/>
    </row>
    <row r="16" spans="1:5">
      <c r="A16" s="60">
        <v>26</v>
      </c>
      <c r="B16" s="20">
        <v>0.54800000000000004</v>
      </c>
      <c r="C16" s="20">
        <v>1.038</v>
      </c>
      <c r="D16" s="20">
        <v>1.6339999999999999</v>
      </c>
      <c r="E16" s="15"/>
    </row>
    <row r="17" spans="1:5">
      <c r="A17" s="60">
        <v>27</v>
      </c>
      <c r="B17" s="20">
        <v>0.58399999999999996</v>
      </c>
      <c r="C17" s="20">
        <v>1.141</v>
      </c>
      <c r="D17" s="20">
        <v>1.7969999999999999</v>
      </c>
      <c r="E17" s="15"/>
    </row>
    <row r="18" spans="1:5">
      <c r="A18" s="60">
        <v>28</v>
      </c>
      <c r="B18" s="20">
        <v>0.65200000000000002</v>
      </c>
      <c r="C18" s="20">
        <v>1.268</v>
      </c>
      <c r="D18" s="20">
        <v>1.998</v>
      </c>
      <c r="E18" s="15"/>
    </row>
    <row r="19" spans="1:5">
      <c r="A19" s="60">
        <v>29</v>
      </c>
      <c r="B19" s="20">
        <v>0.72299999999999998</v>
      </c>
      <c r="C19" s="20">
        <v>1.4079999999999999</v>
      </c>
      <c r="D19" s="20">
        <v>2.2149999999999999</v>
      </c>
      <c r="E19" s="15"/>
    </row>
    <row r="20" spans="1:5">
      <c r="A20" s="60">
        <v>30</v>
      </c>
      <c r="B20" s="20">
        <v>0.80300000000000005</v>
      </c>
      <c r="C20" s="20">
        <v>1.5660000000000001</v>
      </c>
      <c r="D20" s="20">
        <v>2.4540000000000002</v>
      </c>
      <c r="E20" s="15"/>
    </row>
    <row r="21" spans="1:5">
      <c r="A21" s="60">
        <v>31</v>
      </c>
      <c r="B21" s="20">
        <v>0.89300000000000002</v>
      </c>
      <c r="C21" s="20">
        <v>1.734</v>
      </c>
      <c r="D21" s="20">
        <v>2.7029999999999998</v>
      </c>
      <c r="E21" s="15"/>
    </row>
    <row r="22" spans="1:5">
      <c r="A22" s="60">
        <v>32</v>
      </c>
      <c r="B22" s="20">
        <v>0.98299999999999998</v>
      </c>
      <c r="C22" s="20">
        <v>1.901</v>
      </c>
      <c r="D22" s="20">
        <v>2.96</v>
      </c>
      <c r="E22" s="15"/>
    </row>
    <row r="23" spans="1:5">
      <c r="A23" s="60">
        <v>33</v>
      </c>
      <c r="B23" s="20">
        <v>1.075</v>
      </c>
      <c r="C23" s="20">
        <v>2.0750000000000002</v>
      </c>
      <c r="D23" s="20">
        <v>3.2429999999999999</v>
      </c>
      <c r="E23" s="15"/>
    </row>
    <row r="24" spans="1:5">
      <c r="A24" s="60">
        <v>34</v>
      </c>
      <c r="B24" s="20">
        <v>1.169</v>
      </c>
      <c r="C24" s="20">
        <v>2.278</v>
      </c>
      <c r="D24" s="20">
        <v>3.6120000000000001</v>
      </c>
      <c r="E24" s="15"/>
    </row>
    <row r="25" spans="1:5">
      <c r="A25" s="60">
        <v>35</v>
      </c>
      <c r="B25" s="20">
        <v>1.3049999999999999</v>
      </c>
      <c r="C25" s="20">
        <v>2.5859999999999999</v>
      </c>
      <c r="D25" s="20">
        <v>4.1379999999999999</v>
      </c>
      <c r="E25" s="15"/>
    </row>
    <row r="26" spans="1:5">
      <c r="A26" s="60">
        <v>36</v>
      </c>
      <c r="B26" s="20">
        <v>1.518</v>
      </c>
      <c r="C26" s="20">
        <v>3.0179999999999998</v>
      </c>
      <c r="D26" s="20">
        <v>4.8170000000000002</v>
      </c>
      <c r="E26" s="15"/>
    </row>
    <row r="27" spans="1:5">
      <c r="A27" s="60">
        <v>37</v>
      </c>
      <c r="B27" s="20">
        <v>1.7909999999999999</v>
      </c>
      <c r="C27" s="20">
        <v>3.524</v>
      </c>
      <c r="D27" s="20">
        <v>5.5910000000000002</v>
      </c>
      <c r="E27" s="15"/>
    </row>
    <row r="28" spans="1:5">
      <c r="A28" s="60">
        <v>38</v>
      </c>
      <c r="B28" s="20">
        <v>2.0640000000000001</v>
      </c>
      <c r="C28" s="20">
        <v>4.0439999999999996</v>
      </c>
      <c r="D28" s="20">
        <v>6.3860000000000001</v>
      </c>
      <c r="E28" s="15"/>
    </row>
    <row r="29" spans="1:5">
      <c r="A29" s="60">
        <v>39</v>
      </c>
      <c r="B29" s="20">
        <v>2.363</v>
      </c>
      <c r="C29" s="20">
        <v>4.5970000000000004</v>
      </c>
      <c r="D29" s="20">
        <v>7.2359999999999998</v>
      </c>
      <c r="E29" s="15"/>
    </row>
    <row r="30" spans="1:5">
      <c r="A30" s="60">
        <v>40</v>
      </c>
      <c r="B30" s="20">
        <v>2.661</v>
      </c>
      <c r="C30" s="20">
        <v>5.1680000000000001</v>
      </c>
      <c r="D30" s="20">
        <v>8.1660000000000004</v>
      </c>
      <c r="E30" s="15"/>
    </row>
    <row r="31" spans="1:5">
      <c r="A31" s="60">
        <v>41</v>
      </c>
      <c r="B31" s="20">
        <v>2.988</v>
      </c>
      <c r="C31" s="20">
        <v>5.8490000000000002</v>
      </c>
      <c r="D31" s="20">
        <v>9.1340000000000003</v>
      </c>
      <c r="E31" s="15"/>
    </row>
    <row r="32" spans="1:5">
      <c r="A32" s="60">
        <v>42</v>
      </c>
      <c r="B32" s="20">
        <v>3.423</v>
      </c>
      <c r="C32" s="20">
        <v>6.6340000000000003</v>
      </c>
      <c r="D32" s="20">
        <v>10.117000000000001</v>
      </c>
      <c r="E32" s="15"/>
    </row>
    <row r="33" spans="1:5">
      <c r="A33" s="60">
        <v>43</v>
      </c>
      <c r="B33" s="20">
        <v>3.839</v>
      </c>
      <c r="C33" s="20">
        <v>7.3869999999999996</v>
      </c>
      <c r="D33" s="20">
        <v>11.058999999999999</v>
      </c>
      <c r="E33" s="15"/>
    </row>
    <row r="34" spans="1:5">
      <c r="A34" s="60">
        <v>44</v>
      </c>
      <c r="B34" s="20">
        <v>4.218</v>
      </c>
      <c r="C34" s="20">
        <v>8.1210000000000004</v>
      </c>
      <c r="D34" s="20">
        <v>11.994</v>
      </c>
      <c r="E34" s="15"/>
    </row>
    <row r="35" spans="1:5">
      <c r="A35" s="60">
        <v>45</v>
      </c>
      <c r="B35" s="20">
        <v>4.6559999999999997</v>
      </c>
      <c r="C35" s="20">
        <v>8.86</v>
      </c>
      <c r="D35" s="20">
        <v>13.074</v>
      </c>
      <c r="E35" s="15"/>
    </row>
    <row r="36" spans="1:5">
      <c r="A36" s="60">
        <v>46</v>
      </c>
      <c r="B36" s="20">
        <v>5.0960000000000001</v>
      </c>
      <c r="C36" s="20">
        <v>9.657</v>
      </c>
      <c r="D36" s="20">
        <v>14.352</v>
      </c>
      <c r="E36" s="15"/>
    </row>
    <row r="37" spans="1:5">
      <c r="A37" s="60">
        <v>47</v>
      </c>
      <c r="B37" s="20">
        <v>5.6820000000000004</v>
      </c>
      <c r="C37" s="20">
        <v>10.706</v>
      </c>
      <c r="D37" s="20">
        <v>15.856999999999999</v>
      </c>
      <c r="E37" s="15"/>
    </row>
    <row r="38" spans="1:5">
      <c r="A38" s="60">
        <v>48</v>
      </c>
      <c r="B38" s="20">
        <v>6.4589999999999996</v>
      </c>
      <c r="C38" s="20">
        <v>11.865</v>
      </c>
      <c r="D38" s="20">
        <v>17.434999999999999</v>
      </c>
      <c r="E38" s="15"/>
    </row>
    <row r="39" spans="1:5">
      <c r="A39" s="60">
        <v>49</v>
      </c>
      <c r="B39" s="20">
        <v>7.101</v>
      </c>
      <c r="C39" s="20">
        <v>12.845000000000001</v>
      </c>
      <c r="D39" s="20">
        <v>18.872</v>
      </c>
      <c r="E39" s="15"/>
    </row>
    <row r="40" spans="1:5">
      <c r="A40" s="60">
        <v>50</v>
      </c>
      <c r="B40" s="20">
        <v>7.6539999999999999</v>
      </c>
      <c r="C40" s="20">
        <v>13.832000000000001</v>
      </c>
      <c r="D40" s="20">
        <v>20.433</v>
      </c>
      <c r="E40" s="15"/>
    </row>
    <row r="41" spans="1:5">
      <c r="A41" s="60">
        <v>51</v>
      </c>
      <c r="B41" s="20">
        <v>8.3179999999999996</v>
      </c>
      <c r="C41" s="20">
        <v>15.092000000000001</v>
      </c>
      <c r="D41" s="20">
        <v>22.407</v>
      </c>
      <c r="E41" s="15"/>
    </row>
    <row r="42" spans="1:5">
      <c r="A42" s="60">
        <v>52</v>
      </c>
      <c r="B42" s="20">
        <v>9.1159999999999997</v>
      </c>
      <c r="C42" s="20">
        <v>16.565999999999999</v>
      </c>
      <c r="D42" s="20">
        <v>24.849</v>
      </c>
      <c r="E42" s="15"/>
    </row>
    <row r="43" spans="1:5">
      <c r="A43" s="60">
        <v>53</v>
      </c>
      <c r="B43" s="20">
        <v>10.023</v>
      </c>
      <c r="C43" s="20">
        <v>18.361999999999998</v>
      </c>
      <c r="D43" s="20">
        <v>27.722999999999999</v>
      </c>
      <c r="E43" s="15"/>
    </row>
    <row r="44" spans="1:5">
      <c r="A44" s="60">
        <v>54</v>
      </c>
      <c r="B44" s="20">
        <v>11.209</v>
      </c>
      <c r="C44" s="20">
        <v>20.536000000000001</v>
      </c>
      <c r="D44" s="20">
        <v>30.934999999999999</v>
      </c>
      <c r="E44" s="15"/>
    </row>
    <row r="45" spans="1:5">
      <c r="A45" s="60">
        <v>55</v>
      </c>
      <c r="B45" s="20">
        <v>12.548</v>
      </c>
      <c r="C45" s="20">
        <v>22.786999999999999</v>
      </c>
      <c r="D45" s="20">
        <v>34.189</v>
      </c>
      <c r="E45" s="15"/>
    </row>
    <row r="46" spans="1:5">
      <c r="A46" s="60">
        <v>56</v>
      </c>
      <c r="B46" s="20">
        <v>13.638999999999999</v>
      </c>
      <c r="C46" s="20">
        <v>24.856000000000002</v>
      </c>
      <c r="D46" s="20">
        <v>37.277999999999999</v>
      </c>
      <c r="E46" s="15"/>
    </row>
    <row r="47" spans="1:5">
      <c r="A47" s="60">
        <v>57</v>
      </c>
      <c r="B47" s="20">
        <v>14.824999999999999</v>
      </c>
      <c r="C47" s="20">
        <v>27.120999999999999</v>
      </c>
      <c r="D47" s="20">
        <v>40.613</v>
      </c>
      <c r="E47" s="15"/>
    </row>
    <row r="48" spans="1:5">
      <c r="A48" s="60">
        <v>58</v>
      </c>
      <c r="B48" s="20">
        <v>16.148</v>
      </c>
      <c r="C48" s="20">
        <v>29.571999999999999</v>
      </c>
      <c r="D48" s="20">
        <v>44.158999999999999</v>
      </c>
      <c r="E48" s="15"/>
    </row>
    <row r="49" spans="1:5">
      <c r="A49" s="60">
        <v>59</v>
      </c>
      <c r="B49" s="20">
        <v>17.509</v>
      </c>
      <c r="C49" s="20">
        <v>32.084000000000003</v>
      </c>
      <c r="D49" s="20">
        <v>47.762999999999998</v>
      </c>
      <c r="E49" s="15"/>
    </row>
    <row r="50" spans="1:5">
      <c r="A50" s="60">
        <v>60</v>
      </c>
      <c r="B50" s="20">
        <v>18.902000000000001</v>
      </c>
      <c r="C50" s="20">
        <v>34.622</v>
      </c>
      <c r="D50" s="20">
        <v>51.433</v>
      </c>
      <c r="E50" s="15"/>
    </row>
    <row r="51" spans="1:5">
      <c r="A51" s="60">
        <v>61</v>
      </c>
      <c r="B51" s="20">
        <v>20.300999999999998</v>
      </c>
      <c r="C51" s="20">
        <v>37.201000000000001</v>
      </c>
      <c r="D51" s="20">
        <v>55.22</v>
      </c>
      <c r="E51" s="31"/>
    </row>
    <row r="52" spans="1:5">
      <c r="A52" s="60">
        <v>62</v>
      </c>
      <c r="B52" s="20">
        <v>21.82</v>
      </c>
      <c r="C52" s="20">
        <v>39.978000000000002</v>
      </c>
      <c r="D52" s="20">
        <v>59.280999999999999</v>
      </c>
      <c r="E52" s="31"/>
    </row>
    <row r="53" spans="1:5">
      <c r="A53" s="60">
        <v>63</v>
      </c>
      <c r="B53" s="20">
        <v>23.516999999999999</v>
      </c>
      <c r="C53" s="20">
        <v>43.008000000000003</v>
      </c>
      <c r="D53" s="20">
        <v>63.877000000000002</v>
      </c>
      <c r="E53" s="31"/>
    </row>
    <row r="54" spans="1:5">
      <c r="A54" s="60">
        <v>64</v>
      </c>
      <c r="B54" s="20">
        <v>25.295000000000002</v>
      </c>
      <c r="C54" s="20">
        <v>46.470999999999997</v>
      </c>
      <c r="D54" s="20">
        <v>68.911000000000001</v>
      </c>
      <c r="E54" s="31"/>
    </row>
    <row r="55" spans="1:5">
      <c r="A55" s="60">
        <v>65</v>
      </c>
      <c r="B55" s="20">
        <v>27.585000000000001</v>
      </c>
      <c r="C55" s="20">
        <v>50.412999999999997</v>
      </c>
      <c r="D55" s="20">
        <v>74.278000000000006</v>
      </c>
      <c r="E55" s="31"/>
    </row>
  </sheetData>
  <mergeCells count="1">
    <mergeCell ref="A6:D6"/>
  </mergeCells>
  <conditionalFormatting sqref="B5:D44">
    <cfRule type="cellIs" dxfId="1" priority="100" operator="greaterThan">
      <formula>400</formula>
    </cfRule>
  </conditionalFormatting>
  <conditionalFormatting sqref="G5:O47">
    <cfRule type="cellIs" dxfId="0" priority="1" operator="greaterThan">
      <formula>400</formula>
    </cfRule>
  </conditionalFormatting>
  <printOptions horizontalCentered="1"/>
  <pageMargins left="0.11811023622047245" right="0.11811023622047245" top="0.15748031496062992" bottom="0" header="0.31496062992125984" footer="0"/>
  <pageSetup paperSize="9" scale="6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O55"/>
  <sheetViews>
    <sheetView topLeftCell="A24" workbookViewId="0">
      <selection activeCell="C11" sqref="C11:E11"/>
    </sheetView>
  </sheetViews>
  <sheetFormatPr defaultRowHeight="15"/>
  <sheetData>
    <row r="6" spans="1:15" ht="15.75">
      <c r="A6" s="119" t="s">
        <v>96</v>
      </c>
      <c r="B6" s="120"/>
      <c r="C6" s="120"/>
      <c r="D6" s="120"/>
      <c r="E6" s="51"/>
      <c r="F6" s="47"/>
      <c r="G6" s="47"/>
      <c r="H6" s="47"/>
      <c r="I6" s="47"/>
      <c r="J6" s="47"/>
      <c r="K6" s="47"/>
      <c r="L6" s="47"/>
      <c r="M6" s="47"/>
      <c r="N6" s="47"/>
      <c r="O6" s="47"/>
    </row>
    <row r="7" spans="1:15">
      <c r="A7" s="59" t="s">
        <v>119</v>
      </c>
      <c r="B7" s="14">
        <v>2</v>
      </c>
      <c r="C7" s="14">
        <v>3</v>
      </c>
      <c r="D7" s="14">
        <v>4</v>
      </c>
      <c r="E7" s="15"/>
      <c r="F7" s="48"/>
      <c r="G7" s="49"/>
      <c r="H7" s="49"/>
      <c r="I7" s="49"/>
      <c r="J7" s="49"/>
      <c r="K7" s="48"/>
      <c r="L7" s="49"/>
      <c r="M7" s="49"/>
      <c r="N7" s="49"/>
      <c r="O7" s="49"/>
    </row>
    <row r="8" spans="1:15">
      <c r="A8" s="60">
        <v>18</v>
      </c>
      <c r="B8" s="19">
        <v>0.45900000000000002</v>
      </c>
      <c r="C8" s="19">
        <v>0.85199999999999998</v>
      </c>
      <c r="D8" s="19">
        <v>1.306</v>
      </c>
      <c r="E8" s="15"/>
      <c r="F8" s="48"/>
      <c r="G8" s="49"/>
      <c r="H8" s="49"/>
      <c r="I8" s="49"/>
      <c r="J8" s="49"/>
      <c r="K8" s="48"/>
      <c r="L8" s="49"/>
      <c r="M8" s="49"/>
      <c r="N8" s="49"/>
      <c r="O8" s="49"/>
    </row>
    <row r="9" spans="1:15">
      <c r="A9" s="60">
        <v>19</v>
      </c>
      <c r="B9" s="19">
        <v>0.45900000000000002</v>
      </c>
      <c r="C9" s="19">
        <v>0.871</v>
      </c>
      <c r="D9" s="19">
        <v>1.3380000000000001</v>
      </c>
      <c r="E9" s="15"/>
      <c r="F9" s="48"/>
      <c r="G9" s="49"/>
      <c r="H9" s="49"/>
      <c r="I9" s="49"/>
      <c r="J9" s="49"/>
      <c r="K9" s="48"/>
      <c r="L9" s="49"/>
      <c r="M9" s="49"/>
      <c r="N9" s="49"/>
      <c r="O9" s="49"/>
    </row>
    <row r="10" spans="1:15">
      <c r="A10" s="60">
        <v>20</v>
      </c>
      <c r="B10" s="19">
        <v>0.48299999999999998</v>
      </c>
      <c r="C10" s="19">
        <v>0.90700000000000003</v>
      </c>
      <c r="D10" s="19">
        <v>1.3919999999999999</v>
      </c>
      <c r="E10" s="15"/>
      <c r="F10" s="48"/>
      <c r="G10" s="49"/>
      <c r="H10" s="49"/>
      <c r="I10" s="49"/>
      <c r="J10" s="49"/>
      <c r="K10" s="48"/>
      <c r="L10" s="49"/>
      <c r="M10" s="49"/>
      <c r="N10" s="49"/>
      <c r="O10" s="49"/>
    </row>
    <row r="11" spans="1:15">
      <c r="A11" s="60">
        <v>21</v>
      </c>
      <c r="B11" s="19">
        <v>0.5</v>
      </c>
      <c r="C11" s="19">
        <v>0.93700000000000006</v>
      </c>
      <c r="D11" s="19">
        <v>1.427</v>
      </c>
      <c r="E11" s="15"/>
      <c r="F11" s="48"/>
      <c r="G11" s="49"/>
      <c r="H11" s="49"/>
      <c r="I11" s="49"/>
      <c r="J11" s="49"/>
      <c r="K11" s="48"/>
      <c r="L11" s="49"/>
      <c r="M11" s="49"/>
      <c r="N11" s="49"/>
      <c r="O11" s="49"/>
    </row>
    <row r="12" spans="1:15">
      <c r="A12" s="60">
        <v>22</v>
      </c>
      <c r="B12" s="19">
        <v>0.50800000000000001</v>
      </c>
      <c r="C12" s="19">
        <v>0.95199999999999996</v>
      </c>
      <c r="D12" s="19">
        <v>1.456</v>
      </c>
      <c r="E12" s="15"/>
      <c r="F12" s="48"/>
      <c r="G12" s="49"/>
      <c r="H12" s="49"/>
      <c r="I12" s="49"/>
      <c r="J12" s="49"/>
      <c r="K12" s="48"/>
      <c r="L12" s="49"/>
      <c r="M12" s="49"/>
      <c r="N12" s="49"/>
      <c r="O12" s="49"/>
    </row>
    <row r="13" spans="1:15">
      <c r="A13" s="60">
        <v>23</v>
      </c>
      <c r="B13" s="19">
        <v>0.52</v>
      </c>
      <c r="C13" s="19">
        <v>0.97499999999999998</v>
      </c>
      <c r="D13" s="19">
        <v>1.5049999999999999</v>
      </c>
      <c r="E13" s="15"/>
      <c r="F13" s="48"/>
      <c r="G13" s="49"/>
      <c r="H13" s="49"/>
      <c r="I13" s="49"/>
      <c r="J13" s="49"/>
      <c r="K13" s="48"/>
      <c r="L13" s="49"/>
      <c r="M13" s="49"/>
      <c r="N13" s="49"/>
      <c r="O13" s="49"/>
    </row>
    <row r="14" spans="1:15">
      <c r="A14" s="60">
        <v>24</v>
      </c>
      <c r="B14" s="19">
        <v>0.52800000000000002</v>
      </c>
      <c r="C14" s="19">
        <v>1.0129999999999999</v>
      </c>
      <c r="D14" s="19">
        <v>1.577</v>
      </c>
      <c r="E14" s="15"/>
      <c r="F14" s="48"/>
      <c r="G14" s="49"/>
      <c r="H14" s="49"/>
      <c r="I14" s="49"/>
      <c r="J14" s="49"/>
      <c r="K14" s="48"/>
      <c r="L14" s="49"/>
      <c r="M14" s="49"/>
      <c r="N14" s="49"/>
      <c r="O14" s="49"/>
    </row>
    <row r="15" spans="1:15">
      <c r="A15" s="60">
        <v>25</v>
      </c>
      <c r="B15" s="19">
        <v>0.57199999999999995</v>
      </c>
      <c r="C15" s="19">
        <v>1.0880000000000001</v>
      </c>
      <c r="D15" s="19">
        <v>1.7050000000000001</v>
      </c>
      <c r="E15" s="15"/>
      <c r="F15" s="48"/>
      <c r="G15" s="49"/>
      <c r="H15" s="49"/>
      <c r="I15" s="49"/>
      <c r="J15" s="49"/>
      <c r="K15" s="48"/>
      <c r="L15" s="49"/>
      <c r="M15" s="49"/>
      <c r="N15" s="49"/>
      <c r="O15" s="49"/>
    </row>
    <row r="16" spans="1:15">
      <c r="A16" s="60">
        <v>26</v>
      </c>
      <c r="B16" s="19">
        <v>0.60699999999999998</v>
      </c>
      <c r="C16" s="19">
        <v>1.1779999999999999</v>
      </c>
      <c r="D16" s="19">
        <v>1.867</v>
      </c>
      <c r="E16" s="15"/>
      <c r="F16" s="48"/>
      <c r="G16" s="49"/>
      <c r="H16" s="49"/>
      <c r="I16" s="49"/>
      <c r="J16" s="49"/>
      <c r="K16" s="48"/>
      <c r="L16" s="49"/>
      <c r="M16" s="49"/>
      <c r="N16" s="49"/>
      <c r="O16" s="49"/>
    </row>
    <row r="17" spans="1:15">
      <c r="A17" s="60">
        <v>27</v>
      </c>
      <c r="B17" s="19">
        <v>0.67300000000000004</v>
      </c>
      <c r="C17" s="19">
        <v>1.3180000000000001</v>
      </c>
      <c r="D17" s="19">
        <v>2.0870000000000002</v>
      </c>
      <c r="E17" s="15"/>
      <c r="F17" s="48"/>
      <c r="G17" s="49"/>
      <c r="H17" s="49"/>
      <c r="I17" s="49"/>
      <c r="J17" s="49"/>
      <c r="K17" s="48"/>
      <c r="L17" s="49"/>
      <c r="M17" s="49"/>
      <c r="N17" s="49"/>
      <c r="O17" s="49"/>
    </row>
    <row r="18" spans="1:15">
      <c r="A18" s="60">
        <v>28</v>
      </c>
      <c r="B18" s="19">
        <v>0.76300000000000001</v>
      </c>
      <c r="C18" s="19">
        <v>1.4870000000000001</v>
      </c>
      <c r="D18" s="19">
        <v>2.3359999999999999</v>
      </c>
      <c r="E18" s="15"/>
      <c r="F18" s="48"/>
      <c r="G18" s="49"/>
      <c r="H18" s="49"/>
      <c r="I18" s="49"/>
      <c r="J18" s="49"/>
      <c r="K18" s="48"/>
      <c r="L18" s="49"/>
      <c r="M18" s="49"/>
      <c r="N18" s="49"/>
      <c r="O18" s="49"/>
    </row>
    <row r="19" spans="1:15">
      <c r="A19" s="60">
        <v>29</v>
      </c>
      <c r="B19" s="19">
        <v>0.84799999999999998</v>
      </c>
      <c r="C19" s="19">
        <v>1.6459999999999999</v>
      </c>
      <c r="D19" s="19">
        <v>2.5760000000000001</v>
      </c>
      <c r="E19" s="15"/>
      <c r="F19" s="48"/>
      <c r="G19" s="49"/>
      <c r="H19" s="49"/>
      <c r="I19" s="49"/>
      <c r="J19" s="49"/>
      <c r="K19" s="48"/>
      <c r="L19" s="49"/>
      <c r="M19" s="49"/>
      <c r="N19" s="49"/>
      <c r="O19" s="49"/>
    </row>
    <row r="20" spans="1:15">
      <c r="A20" s="60">
        <v>30</v>
      </c>
      <c r="B20" s="19">
        <v>0.92900000000000005</v>
      </c>
      <c r="C20" s="19">
        <v>1.806</v>
      </c>
      <c r="D20" s="19">
        <v>2.8319999999999999</v>
      </c>
      <c r="E20" s="15"/>
      <c r="F20" s="48"/>
      <c r="G20" s="49"/>
      <c r="H20" s="49"/>
      <c r="I20" s="49"/>
      <c r="J20" s="49"/>
      <c r="K20" s="48"/>
      <c r="L20" s="49"/>
      <c r="M20" s="49"/>
      <c r="N20" s="49"/>
      <c r="O20" s="49"/>
    </row>
    <row r="21" spans="1:15">
      <c r="A21" s="60">
        <v>31</v>
      </c>
      <c r="B21" s="19">
        <v>1.0229999999999999</v>
      </c>
      <c r="C21" s="19">
        <v>1.994</v>
      </c>
      <c r="D21" s="19">
        <v>3.1560000000000001</v>
      </c>
      <c r="E21" s="15"/>
      <c r="F21" s="48"/>
      <c r="G21" s="49"/>
      <c r="H21" s="49"/>
      <c r="I21" s="49"/>
      <c r="J21" s="49"/>
      <c r="K21" s="48"/>
      <c r="L21" s="49"/>
      <c r="M21" s="49"/>
      <c r="N21" s="49"/>
      <c r="O21" s="49"/>
    </row>
    <row r="22" spans="1:15">
      <c r="A22" s="60">
        <v>32</v>
      </c>
      <c r="B22" s="19">
        <v>1.1359999999999999</v>
      </c>
      <c r="C22" s="19">
        <v>2.2450000000000001</v>
      </c>
      <c r="D22" s="19">
        <v>3.5649999999999999</v>
      </c>
      <c r="E22" s="15"/>
      <c r="F22" s="48"/>
      <c r="G22" s="49"/>
      <c r="H22" s="49"/>
      <c r="I22" s="49"/>
      <c r="J22" s="49"/>
      <c r="K22" s="48"/>
      <c r="L22" s="49"/>
      <c r="M22" s="49"/>
      <c r="N22" s="49"/>
      <c r="O22" s="49"/>
    </row>
    <row r="23" spans="1:15">
      <c r="A23" s="60">
        <v>33</v>
      </c>
      <c r="B23" s="19">
        <v>1.306</v>
      </c>
      <c r="C23" s="19">
        <v>2.5720000000000001</v>
      </c>
      <c r="D23" s="19">
        <v>4.048</v>
      </c>
      <c r="E23" s="15"/>
      <c r="F23" s="48"/>
      <c r="G23" s="49"/>
      <c r="H23" s="49"/>
      <c r="I23" s="49"/>
      <c r="J23" s="49"/>
      <c r="K23" s="48"/>
      <c r="L23" s="49"/>
      <c r="M23" s="49"/>
      <c r="N23" s="49"/>
      <c r="O23" s="49"/>
    </row>
    <row r="24" spans="1:15">
      <c r="A24" s="60">
        <v>34</v>
      </c>
      <c r="B24" s="19">
        <v>1.498</v>
      </c>
      <c r="C24" s="19">
        <v>2.9020000000000001</v>
      </c>
      <c r="D24" s="19">
        <v>4.5049999999999999</v>
      </c>
      <c r="E24" s="15"/>
      <c r="F24" s="48"/>
      <c r="G24" s="49"/>
      <c r="H24" s="49"/>
      <c r="I24" s="49"/>
      <c r="J24" s="49"/>
      <c r="K24" s="48"/>
      <c r="L24" s="49"/>
      <c r="M24" s="49"/>
      <c r="N24" s="49"/>
      <c r="O24" s="49"/>
    </row>
    <row r="25" spans="1:15">
      <c r="A25" s="60">
        <v>35</v>
      </c>
      <c r="B25" s="19">
        <v>1.651</v>
      </c>
      <c r="C25" s="19">
        <v>3.161</v>
      </c>
      <c r="D25" s="19">
        <v>4.8879999999999999</v>
      </c>
      <c r="E25" s="15"/>
      <c r="F25" s="48"/>
      <c r="G25" s="49"/>
      <c r="H25" s="49"/>
      <c r="I25" s="49"/>
      <c r="J25" s="49"/>
      <c r="K25" s="48"/>
      <c r="L25" s="49"/>
      <c r="M25" s="49"/>
      <c r="N25" s="49"/>
      <c r="O25" s="49"/>
    </row>
    <row r="26" spans="1:15">
      <c r="A26" s="60">
        <v>36</v>
      </c>
      <c r="B26" s="19">
        <v>1.7709999999999999</v>
      </c>
      <c r="C26" s="19">
        <v>3.3919999999999999</v>
      </c>
      <c r="D26" s="19">
        <v>5.2640000000000002</v>
      </c>
      <c r="E26" s="15"/>
      <c r="F26" s="48"/>
      <c r="G26" s="49"/>
      <c r="H26" s="49"/>
      <c r="I26" s="49"/>
      <c r="J26" s="49"/>
      <c r="K26" s="48"/>
      <c r="L26" s="49"/>
      <c r="M26" s="49"/>
      <c r="N26" s="49"/>
      <c r="O26" s="49"/>
    </row>
    <row r="27" spans="1:15">
      <c r="A27" s="60">
        <v>37</v>
      </c>
      <c r="B27" s="19">
        <v>1.8959999999999999</v>
      </c>
      <c r="C27" s="19">
        <v>3.665</v>
      </c>
      <c r="D27" s="19">
        <v>5.7069999999999999</v>
      </c>
      <c r="E27" s="15"/>
      <c r="F27" s="48"/>
      <c r="G27" s="49"/>
      <c r="H27" s="49"/>
      <c r="I27" s="49"/>
      <c r="J27" s="49"/>
      <c r="K27" s="48"/>
      <c r="L27" s="49"/>
      <c r="M27" s="49"/>
      <c r="N27" s="49"/>
      <c r="O27" s="49"/>
    </row>
    <row r="28" spans="1:15">
      <c r="A28" s="60">
        <v>38</v>
      </c>
      <c r="B28" s="19">
        <v>2.0870000000000002</v>
      </c>
      <c r="C28" s="19">
        <v>4.016</v>
      </c>
      <c r="D28" s="19">
        <v>6.2889999999999997</v>
      </c>
      <c r="E28" s="15"/>
      <c r="F28" s="48"/>
      <c r="G28" s="49"/>
      <c r="H28" s="49"/>
      <c r="I28" s="49"/>
      <c r="J28" s="49"/>
      <c r="K28" s="48"/>
      <c r="L28" s="49"/>
      <c r="M28" s="49"/>
      <c r="N28" s="49"/>
      <c r="O28" s="49"/>
    </row>
    <row r="29" spans="1:15">
      <c r="A29" s="60">
        <v>39</v>
      </c>
      <c r="B29" s="19">
        <v>2.2789999999999999</v>
      </c>
      <c r="C29" s="19">
        <v>4.4370000000000003</v>
      </c>
      <c r="D29" s="19">
        <v>6.9660000000000002</v>
      </c>
      <c r="E29" s="15"/>
      <c r="F29" s="48"/>
      <c r="G29" s="49"/>
      <c r="H29" s="49"/>
      <c r="I29" s="49"/>
      <c r="J29" s="49"/>
      <c r="K29" s="48"/>
      <c r="L29" s="49"/>
      <c r="M29" s="49"/>
      <c r="N29" s="49"/>
      <c r="O29" s="49"/>
    </row>
    <row r="30" spans="1:15">
      <c r="A30" s="60">
        <v>40</v>
      </c>
      <c r="B30" s="19">
        <v>2.5590000000000002</v>
      </c>
      <c r="C30" s="19">
        <v>4.9630000000000001</v>
      </c>
      <c r="D30" s="19">
        <v>7.7450000000000001</v>
      </c>
      <c r="E30" s="15"/>
      <c r="F30" s="48"/>
      <c r="G30" s="49"/>
      <c r="H30" s="49"/>
      <c r="I30" s="49"/>
      <c r="J30" s="49"/>
      <c r="K30" s="48"/>
      <c r="L30" s="49"/>
      <c r="M30" s="49"/>
      <c r="N30" s="49"/>
      <c r="O30" s="49"/>
    </row>
    <row r="31" spans="1:15">
      <c r="A31" s="60">
        <v>41</v>
      </c>
      <c r="B31" s="19">
        <v>2.8620000000000001</v>
      </c>
      <c r="C31" s="19">
        <v>5.4889999999999999</v>
      </c>
      <c r="D31" s="19">
        <v>8.5229999999999997</v>
      </c>
      <c r="E31" s="15"/>
      <c r="F31" s="48"/>
      <c r="G31" s="49"/>
      <c r="H31" s="49"/>
      <c r="I31" s="49"/>
      <c r="J31" s="49"/>
      <c r="K31" s="48"/>
      <c r="L31" s="49"/>
      <c r="M31" s="49"/>
      <c r="N31" s="49"/>
      <c r="O31" s="49"/>
    </row>
    <row r="32" spans="1:15">
      <c r="A32" s="60">
        <v>42</v>
      </c>
      <c r="B32" s="19">
        <v>3.1070000000000002</v>
      </c>
      <c r="C32" s="19">
        <v>5.9669999999999996</v>
      </c>
      <c r="D32" s="19">
        <v>9.3439999999999994</v>
      </c>
      <c r="E32" s="15"/>
      <c r="F32" s="48"/>
      <c r="G32" s="49"/>
      <c r="H32" s="49"/>
      <c r="I32" s="49"/>
      <c r="J32" s="49"/>
      <c r="K32" s="48"/>
      <c r="L32" s="49"/>
      <c r="M32" s="49"/>
      <c r="N32" s="49"/>
      <c r="O32" s="49"/>
    </row>
    <row r="33" spans="1:15">
      <c r="A33" s="60">
        <v>43</v>
      </c>
      <c r="B33" s="19">
        <v>3.3929999999999998</v>
      </c>
      <c r="C33" s="19">
        <v>6.6639999999999997</v>
      </c>
      <c r="D33" s="19">
        <v>10.342000000000001</v>
      </c>
      <c r="E33" s="15"/>
      <c r="F33" s="48"/>
      <c r="G33" s="49"/>
      <c r="H33" s="49"/>
      <c r="I33" s="49"/>
      <c r="J33" s="49"/>
      <c r="K33" s="48"/>
      <c r="L33" s="49"/>
      <c r="M33" s="49"/>
      <c r="N33" s="49"/>
      <c r="O33" s="49"/>
    </row>
    <row r="34" spans="1:15">
      <c r="A34" s="60">
        <v>44</v>
      </c>
      <c r="B34" s="19">
        <v>3.907</v>
      </c>
      <c r="C34" s="19">
        <v>7.6479999999999997</v>
      </c>
      <c r="D34" s="19">
        <v>11.536</v>
      </c>
      <c r="E34" s="15"/>
      <c r="F34" s="48"/>
      <c r="G34" s="49"/>
      <c r="H34" s="49"/>
      <c r="I34" s="49"/>
      <c r="J34" s="49"/>
      <c r="K34" s="48"/>
      <c r="L34" s="49"/>
      <c r="M34" s="49"/>
      <c r="N34" s="49"/>
      <c r="O34" s="49"/>
    </row>
    <row r="35" spans="1:15">
      <c r="A35" s="60">
        <v>45</v>
      </c>
      <c r="B35" s="19">
        <v>4.4930000000000003</v>
      </c>
      <c r="C35" s="19">
        <v>8.5879999999999992</v>
      </c>
      <c r="D35" s="19">
        <v>12.592000000000001</v>
      </c>
      <c r="E35" s="15"/>
      <c r="F35" s="48"/>
      <c r="G35" s="49"/>
      <c r="H35" s="49"/>
      <c r="I35" s="49"/>
      <c r="J35" s="49"/>
      <c r="K35" s="48"/>
      <c r="L35" s="49"/>
      <c r="M35" s="49"/>
      <c r="N35" s="49"/>
      <c r="O35" s="49"/>
    </row>
    <row r="36" spans="1:15">
      <c r="A36" s="60">
        <v>46</v>
      </c>
      <c r="B36" s="19">
        <v>4.8689999999999998</v>
      </c>
      <c r="C36" s="19">
        <v>9.1649999999999991</v>
      </c>
      <c r="D36" s="19">
        <v>13.356999999999999</v>
      </c>
      <c r="E36" s="15"/>
      <c r="F36" s="48"/>
      <c r="G36" s="49"/>
      <c r="H36" s="49"/>
      <c r="I36" s="49"/>
      <c r="J36" s="49"/>
      <c r="K36" s="48"/>
      <c r="L36" s="49"/>
      <c r="M36" s="49"/>
      <c r="N36" s="49"/>
      <c r="O36" s="49"/>
    </row>
    <row r="37" spans="1:15">
      <c r="A37" s="60">
        <v>47</v>
      </c>
      <c r="B37" s="19">
        <v>5.1589999999999998</v>
      </c>
      <c r="C37" s="19">
        <v>9.6470000000000002</v>
      </c>
      <c r="D37" s="19">
        <v>14.025</v>
      </c>
      <c r="E37" s="15"/>
      <c r="F37" s="48"/>
      <c r="G37" s="49"/>
      <c r="H37" s="49"/>
      <c r="I37" s="49"/>
      <c r="J37" s="49"/>
      <c r="K37" s="48"/>
      <c r="L37" s="49"/>
      <c r="M37" s="49"/>
      <c r="N37" s="49"/>
      <c r="O37" s="49"/>
    </row>
    <row r="38" spans="1:15">
      <c r="A38" s="60">
        <v>48</v>
      </c>
      <c r="B38" s="19">
        <v>5.4820000000000002</v>
      </c>
      <c r="C38" s="19">
        <v>10.132999999999999</v>
      </c>
      <c r="D38" s="19">
        <v>14.705</v>
      </c>
      <c r="E38" s="15"/>
      <c r="F38" s="48"/>
      <c r="G38" s="49"/>
      <c r="H38" s="49"/>
      <c r="I38" s="49"/>
      <c r="J38" s="49"/>
      <c r="K38" s="48"/>
      <c r="L38" s="49"/>
      <c r="M38" s="49"/>
      <c r="N38" s="49"/>
      <c r="O38" s="49"/>
    </row>
    <row r="39" spans="1:15">
      <c r="A39" s="60">
        <v>49</v>
      </c>
      <c r="B39" s="19">
        <v>5.8070000000000004</v>
      </c>
      <c r="C39" s="19">
        <v>10.603999999999999</v>
      </c>
      <c r="D39" s="19">
        <v>15.428000000000001</v>
      </c>
      <c r="E39" s="15"/>
      <c r="F39" s="48"/>
      <c r="G39" s="49"/>
      <c r="H39" s="49"/>
      <c r="I39" s="49"/>
      <c r="J39" s="49"/>
      <c r="K39" s="48"/>
      <c r="L39" s="49"/>
      <c r="M39" s="49"/>
      <c r="N39" s="49"/>
      <c r="O39" s="49"/>
    </row>
    <row r="40" spans="1:15">
      <c r="A40" s="60">
        <v>50</v>
      </c>
      <c r="B40" s="19">
        <v>6.0780000000000003</v>
      </c>
      <c r="C40" s="19">
        <v>11.121</v>
      </c>
      <c r="D40" s="19">
        <v>16.247</v>
      </c>
      <c r="E40" s="15"/>
      <c r="F40" s="48"/>
      <c r="G40" s="49"/>
      <c r="H40" s="49"/>
      <c r="I40" s="49"/>
      <c r="J40" s="49"/>
      <c r="K40" s="48"/>
      <c r="L40" s="49"/>
      <c r="M40" s="49"/>
      <c r="N40" s="49"/>
      <c r="O40" s="49"/>
    </row>
    <row r="41" spans="1:15">
      <c r="A41" s="60">
        <v>51</v>
      </c>
      <c r="B41" s="19">
        <v>6.5430000000000001</v>
      </c>
      <c r="C41" s="19">
        <v>11.866</v>
      </c>
      <c r="D41" s="19">
        <v>17.309000000000001</v>
      </c>
      <c r="E41" s="15"/>
      <c r="F41" s="48"/>
      <c r="G41" s="49"/>
      <c r="H41" s="49"/>
      <c r="I41" s="49"/>
      <c r="J41" s="49"/>
      <c r="K41" s="48"/>
      <c r="L41" s="49"/>
      <c r="M41" s="49"/>
      <c r="N41" s="49"/>
      <c r="O41" s="49"/>
    </row>
    <row r="42" spans="1:15">
      <c r="A42" s="60">
        <v>52</v>
      </c>
      <c r="B42" s="19">
        <v>7.0570000000000004</v>
      </c>
      <c r="C42" s="19">
        <v>12.641999999999999</v>
      </c>
      <c r="D42" s="19">
        <v>18.440999999999999</v>
      </c>
      <c r="E42" s="15"/>
      <c r="F42" s="48"/>
      <c r="G42" s="49"/>
      <c r="H42" s="49"/>
      <c r="I42" s="49"/>
      <c r="J42" s="49"/>
      <c r="K42" s="48"/>
      <c r="L42" s="49"/>
      <c r="M42" s="49"/>
      <c r="N42" s="49"/>
      <c r="O42" s="49"/>
    </row>
    <row r="43" spans="1:15">
      <c r="A43" s="60">
        <v>53</v>
      </c>
      <c r="B43" s="19">
        <v>7.5119999999999996</v>
      </c>
      <c r="C43" s="19">
        <v>13.433</v>
      </c>
      <c r="D43" s="19">
        <v>19.68</v>
      </c>
      <c r="E43" s="15"/>
      <c r="F43" s="48"/>
      <c r="G43" s="49"/>
      <c r="H43" s="49"/>
      <c r="I43" s="49"/>
      <c r="J43" s="49"/>
      <c r="K43" s="48"/>
      <c r="L43" s="49"/>
      <c r="M43" s="49"/>
      <c r="N43" s="49"/>
      <c r="O43" s="49"/>
    </row>
    <row r="44" spans="1:15">
      <c r="A44" s="60">
        <v>54</v>
      </c>
      <c r="B44" s="19">
        <v>7.9909999999999997</v>
      </c>
      <c r="C44" s="19">
        <v>14.311</v>
      </c>
      <c r="D44" s="19">
        <v>21.056999999999999</v>
      </c>
      <c r="E44" s="15"/>
      <c r="F44" s="48"/>
      <c r="G44" s="49"/>
      <c r="H44" s="49"/>
      <c r="I44" s="49"/>
      <c r="J44" s="49"/>
      <c r="K44" s="48"/>
      <c r="L44" s="49"/>
      <c r="M44" s="49"/>
      <c r="N44" s="49"/>
      <c r="O44" s="49"/>
    </row>
    <row r="45" spans="1:15">
      <c r="A45" s="60">
        <v>55</v>
      </c>
      <c r="B45" s="19">
        <v>8.5350000000000001</v>
      </c>
      <c r="C45" s="19">
        <v>15.234999999999999</v>
      </c>
      <c r="D45" s="19">
        <v>22.512</v>
      </c>
      <c r="E45" s="15"/>
      <c r="F45" s="48"/>
      <c r="G45" s="49"/>
      <c r="H45" s="49"/>
      <c r="I45" s="49"/>
      <c r="J45" s="49"/>
      <c r="K45" s="48"/>
      <c r="L45" s="49"/>
      <c r="M45" s="49"/>
      <c r="N45" s="49"/>
      <c r="O45" s="49"/>
    </row>
    <row r="46" spans="1:15">
      <c r="A46" s="60">
        <v>56</v>
      </c>
      <c r="B46" s="19">
        <v>9.0410000000000004</v>
      </c>
      <c r="C46" s="19">
        <v>16.135999999999999</v>
      </c>
      <c r="D46" s="19">
        <v>24.004999999999999</v>
      </c>
      <c r="E46" s="15"/>
      <c r="F46" s="48"/>
      <c r="G46" s="49"/>
      <c r="H46" s="49"/>
      <c r="I46" s="49"/>
      <c r="J46" s="49"/>
      <c r="K46" s="48"/>
      <c r="L46" s="49"/>
      <c r="M46" s="49"/>
      <c r="N46" s="49"/>
      <c r="O46" s="49"/>
    </row>
    <row r="47" spans="1:15">
      <c r="A47" s="60">
        <v>57</v>
      </c>
      <c r="B47" s="19">
        <v>9.5709999999999997</v>
      </c>
      <c r="C47" s="19">
        <v>17.187999999999999</v>
      </c>
      <c r="D47" s="19">
        <v>25.873999999999999</v>
      </c>
      <c r="E47" s="15"/>
      <c r="F47" s="48"/>
      <c r="G47" s="49"/>
      <c r="H47" s="49"/>
      <c r="I47" s="49"/>
      <c r="J47" s="49"/>
      <c r="K47" s="48"/>
      <c r="L47" s="49"/>
      <c r="M47" s="49"/>
      <c r="N47" s="49"/>
      <c r="O47" s="49"/>
    </row>
    <row r="48" spans="1:15">
      <c r="A48" s="60">
        <v>58</v>
      </c>
      <c r="B48" s="19">
        <v>10.223000000000001</v>
      </c>
      <c r="C48" s="19">
        <v>18.712</v>
      </c>
      <c r="D48" s="19">
        <v>28.241</v>
      </c>
      <c r="E48" s="15"/>
      <c r="F48" s="48"/>
      <c r="G48" s="49"/>
      <c r="H48" s="49"/>
      <c r="I48" s="49"/>
      <c r="J48" s="49"/>
      <c r="K48" s="48"/>
      <c r="L48" s="49"/>
      <c r="M48" s="49"/>
      <c r="N48" s="49"/>
      <c r="O48" s="49"/>
    </row>
    <row r="49" spans="1:15">
      <c r="A49" s="60">
        <v>59</v>
      </c>
      <c r="B49" s="19">
        <v>11.305</v>
      </c>
      <c r="C49" s="19">
        <v>20.710999999999999</v>
      </c>
      <c r="D49" s="19">
        <v>30.992999999999999</v>
      </c>
      <c r="E49" s="15"/>
      <c r="F49" s="48"/>
      <c r="G49" s="49"/>
      <c r="H49" s="49"/>
      <c r="I49" s="49"/>
      <c r="J49" s="49"/>
      <c r="K49" s="48"/>
      <c r="L49" s="49"/>
      <c r="M49" s="49"/>
      <c r="N49" s="49"/>
      <c r="O49" s="49"/>
    </row>
    <row r="50" spans="1:15">
      <c r="A50" s="60">
        <v>60</v>
      </c>
      <c r="B50" s="19">
        <v>12.44</v>
      </c>
      <c r="C50" s="19">
        <v>22.581</v>
      </c>
      <c r="D50" s="19">
        <v>33.484000000000002</v>
      </c>
      <c r="E50" s="32"/>
      <c r="F50" s="48"/>
      <c r="G50" s="49"/>
      <c r="H50" s="49"/>
      <c r="I50" s="49"/>
      <c r="J50" s="49"/>
      <c r="K50" s="48"/>
      <c r="L50" s="49"/>
      <c r="M50" s="49"/>
      <c r="N50" s="49"/>
      <c r="O50" s="49"/>
    </row>
    <row r="51" spans="1:15">
      <c r="A51" s="60">
        <v>61</v>
      </c>
      <c r="B51" s="19">
        <v>13.207000000000001</v>
      </c>
      <c r="C51" s="19">
        <v>23.978999999999999</v>
      </c>
      <c r="D51" s="19">
        <v>35.856999999999999</v>
      </c>
      <c r="E51" s="32"/>
      <c r="F51" s="48"/>
      <c r="G51" s="49"/>
      <c r="H51" s="49"/>
      <c r="I51" s="49"/>
      <c r="J51" s="49"/>
      <c r="K51" s="48"/>
      <c r="L51" s="49"/>
      <c r="M51" s="49"/>
      <c r="N51" s="49"/>
      <c r="O51" s="49"/>
    </row>
    <row r="52" spans="1:15">
      <c r="A52" s="60">
        <v>62</v>
      </c>
      <c r="B52" s="19">
        <v>13.913</v>
      </c>
      <c r="C52" s="19">
        <v>25.806000000000001</v>
      </c>
      <c r="D52" s="19">
        <v>38.731999999999999</v>
      </c>
      <c r="E52" s="32"/>
      <c r="F52" s="48"/>
      <c r="G52" s="49"/>
      <c r="H52" s="49"/>
      <c r="I52" s="49"/>
      <c r="J52" s="49"/>
      <c r="K52" s="48"/>
      <c r="L52" s="49"/>
      <c r="M52" s="49"/>
      <c r="N52" s="49"/>
      <c r="O52" s="49"/>
    </row>
    <row r="53" spans="1:15">
      <c r="A53" s="60">
        <v>63</v>
      </c>
      <c r="B53" s="19">
        <v>15.314</v>
      </c>
      <c r="C53" s="19">
        <v>28.373999999999999</v>
      </c>
      <c r="D53" s="19">
        <v>42.774000000000001</v>
      </c>
      <c r="E53" s="32"/>
      <c r="F53" s="48"/>
      <c r="G53" s="49"/>
      <c r="H53" s="49"/>
      <c r="I53" s="49"/>
      <c r="J53" s="49"/>
      <c r="K53" s="48"/>
      <c r="L53" s="49"/>
      <c r="M53" s="49"/>
      <c r="N53" s="49"/>
      <c r="O53" s="49"/>
    </row>
    <row r="54" spans="1:15">
      <c r="A54" s="60">
        <v>64</v>
      </c>
      <c r="B54" s="19">
        <v>16.928000000000001</v>
      </c>
      <c r="C54" s="19">
        <v>31.515999999999998</v>
      </c>
      <c r="D54" s="19">
        <v>47.293999999999997</v>
      </c>
      <c r="E54" s="32"/>
      <c r="F54" s="48"/>
      <c r="G54" s="49"/>
      <c r="H54" s="49"/>
      <c r="I54" s="49"/>
      <c r="J54" s="49"/>
      <c r="K54" s="48"/>
      <c r="L54" s="49"/>
      <c r="M54" s="49"/>
      <c r="N54" s="49"/>
      <c r="O54" s="49"/>
    </row>
    <row r="55" spans="1:15">
      <c r="A55" s="60">
        <v>65</v>
      </c>
      <c r="B55" s="19">
        <v>18.855</v>
      </c>
      <c r="C55" s="19">
        <v>34.902000000000001</v>
      </c>
      <c r="D55" s="19">
        <v>51.725000000000001</v>
      </c>
    </row>
  </sheetData>
  <mergeCells count="1"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UI</vt:lpstr>
      <vt:lpstr>Logic</vt:lpstr>
      <vt:lpstr>BL_BDB</vt:lpstr>
      <vt:lpstr>BL_ACI_Male</vt:lpstr>
      <vt:lpstr>BL_ACI_Female</vt:lpstr>
      <vt:lpstr>BL_ACI_Male!Print_Area</vt:lpstr>
      <vt:lpstr>BL_ACI_Male!Print_Titles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Shailja Tiwari     /PROD/ICICIPRU/CNER</dc:creator>
  <cp:lastModifiedBy>JAHANVI .     /Group/ICICIPRU/CNER</cp:lastModifiedBy>
  <dcterms:created xsi:type="dcterms:W3CDTF">2019-07-23T08:59:19Z</dcterms:created>
  <dcterms:modified xsi:type="dcterms:W3CDTF">2025-02-18T12:29:49Z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d23c7c-392a-47a2-bfd7-f4959e330879_Enabled">
    <vt:lpwstr>true</vt:lpwstr>
  </property>
  <property fmtid="{D5CDD505-2E9C-101B-9397-08002B2CF9AE}" pid="3" name="MSIP_Label_47d23c7c-392a-47a2-bfd7-f4959e330879_SetDate">
    <vt:lpwstr>2023-04-17T12:22:16Z</vt:lpwstr>
  </property>
  <property fmtid="{D5CDD505-2E9C-101B-9397-08002B2CF9AE}" pid="4" name="MSIP_Label_47d23c7c-392a-47a2-bfd7-f4959e330879_Method">
    <vt:lpwstr>Privileged</vt:lpwstr>
  </property>
  <property fmtid="{D5CDD505-2E9C-101B-9397-08002B2CF9AE}" pid="5" name="MSIP_Label_47d23c7c-392a-47a2-bfd7-f4959e330879_Name">
    <vt:lpwstr>GHF-General</vt:lpwstr>
  </property>
  <property fmtid="{D5CDD505-2E9C-101B-9397-08002B2CF9AE}" pid="6" name="MSIP_Label_47d23c7c-392a-47a2-bfd7-f4959e330879_SiteId">
    <vt:lpwstr>bfa3dfb0-91d5-4bf7-9a0c-fbf6ff337187</vt:lpwstr>
  </property>
  <property fmtid="{D5CDD505-2E9C-101B-9397-08002B2CF9AE}" pid="7" name="MSIP_Label_47d23c7c-392a-47a2-bfd7-f4959e330879_ActionId">
    <vt:lpwstr>4534f121-7361-429c-a3d1-b13d2b0ecb1d</vt:lpwstr>
  </property>
  <property fmtid="{D5CDD505-2E9C-101B-9397-08002B2CF9AE}" pid="8" name="MSIP_Label_47d23c7c-392a-47a2-bfd7-f4959e330879_ContentBits">
    <vt:lpwstr>0</vt:lpwstr>
  </property>
</Properties>
</file>