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\\intra.ttu.ee\home\Innar.Liiv\Desktop\KOOLITUS\"/>
    </mc:Choice>
  </mc:AlternateContent>
  <xr:revisionPtr revIDLastSave="0" documentId="8_{9DBFA49C-47C8-4A65-9CE4-FD0F53DA3A29}" xr6:coauthVersionLast="36" xr6:coauthVersionMax="36" xr10:uidLastSave="{00000000-0000-0000-0000-000000000000}"/>
  <bookViews>
    <workbookView xWindow="0" yWindow="0" windowWidth="15660" windowHeight="5832" xr2:uid="{00000000-000D-0000-FFFF-FFFF00000000}"/>
  </bookViews>
  <sheets>
    <sheet name="Digiehituse_andmestik" sheetId="1" r:id="rId1"/>
  </sheets>
  <definedNames>
    <definedName name="_Filter" localSheetId="0" hidden="1">Digiehituse_andmestik!$A$1:$AR$377</definedName>
    <definedName name="_xlnm._FilterDatabase" localSheetId="0" hidden="1">Digiehituse_andmestik!$A$1:$AW$418</definedName>
    <definedName name="_xlcn.WorksheetConnection_Tabel11" hidden="1">Tabel1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Tabel1" name="Tabel1" connection="WorksheetConnection_Tabel1"/>
        </x15:modelTables>
      </x15:dataModel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2" i="1"/>
  <c r="K411" i="1"/>
  <c r="K407" i="1"/>
  <c r="K402" i="1"/>
  <c r="K361" i="1"/>
  <c r="K349" i="1"/>
  <c r="K307" i="1"/>
  <c r="K293" i="1"/>
  <c r="K288" i="1"/>
  <c r="K285" i="1"/>
  <c r="K283" i="1"/>
  <c r="K282" i="1"/>
  <c r="K281" i="1"/>
  <c r="K276" i="1"/>
  <c r="K257" i="1"/>
  <c r="K256" i="1"/>
  <c r="K252" i="1"/>
  <c r="K249" i="1"/>
  <c r="K245" i="1"/>
  <c r="K239" i="1"/>
  <c r="K236" i="1"/>
  <c r="K229" i="1"/>
  <c r="K228" i="1"/>
  <c r="K219" i="1"/>
  <c r="K217" i="1"/>
  <c r="K201" i="1"/>
  <c r="K199" i="1"/>
  <c r="K190" i="1"/>
  <c r="K185" i="1"/>
  <c r="K114" i="1"/>
  <c r="K83" i="1"/>
  <c r="K72" i="1"/>
  <c r="K62" i="1"/>
  <c r="K47" i="1"/>
  <c r="K34" i="1"/>
  <c r="K418" i="1" l="1"/>
  <c r="K417" i="1"/>
  <c r="K416" i="1"/>
  <c r="K415" i="1"/>
  <c r="K414" i="1"/>
  <c r="K413" i="1"/>
  <c r="K412" i="1"/>
  <c r="K410" i="1"/>
  <c r="K409" i="1"/>
  <c r="K408" i="1"/>
  <c r="K406" i="1"/>
  <c r="K405" i="1"/>
  <c r="K404" i="1"/>
  <c r="K403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0" i="1"/>
  <c r="K359" i="1"/>
  <c r="K358" i="1"/>
  <c r="K357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2" i="1"/>
  <c r="K291" i="1"/>
  <c r="K290" i="1"/>
  <c r="K289" i="1"/>
  <c r="K287" i="1"/>
  <c r="K286" i="1"/>
  <c r="K284" i="1"/>
  <c r="K280" i="1"/>
  <c r="K279" i="1"/>
  <c r="K278" i="1"/>
  <c r="K277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5" i="1"/>
  <c r="K254" i="1"/>
  <c r="K253" i="1"/>
  <c r="K251" i="1"/>
  <c r="K250" i="1"/>
  <c r="K248" i="1"/>
  <c r="K247" i="1"/>
  <c r="K246" i="1"/>
  <c r="K244" i="1"/>
  <c r="K243" i="1"/>
  <c r="K242" i="1"/>
  <c r="K241" i="1"/>
  <c r="K240" i="1"/>
  <c r="K238" i="1"/>
  <c r="K237" i="1"/>
  <c r="K235" i="1"/>
  <c r="K234" i="1"/>
  <c r="K233" i="1"/>
  <c r="K232" i="1"/>
  <c r="K231" i="1"/>
  <c r="K230" i="1"/>
  <c r="K227" i="1"/>
  <c r="K226" i="1"/>
  <c r="K225" i="1"/>
  <c r="K224" i="1"/>
  <c r="K223" i="1"/>
  <c r="K222" i="1"/>
  <c r="K221" i="1"/>
  <c r="K220" i="1"/>
  <c r="K218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0" i="1"/>
  <c r="K198" i="1"/>
  <c r="K197" i="1"/>
  <c r="K196" i="1"/>
  <c r="K195" i="1"/>
  <c r="K194" i="1"/>
  <c r="K193" i="1"/>
  <c r="K192" i="1"/>
  <c r="K191" i="1"/>
  <c r="K189" i="1"/>
  <c r="K188" i="1"/>
  <c r="K187" i="1"/>
  <c r="K186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2" i="1"/>
  <c r="K81" i="1"/>
  <c r="K80" i="1"/>
  <c r="K79" i="1"/>
  <c r="K78" i="1"/>
  <c r="K77" i="1"/>
  <c r="K76" i="1"/>
  <c r="K75" i="1"/>
  <c r="K74" i="1"/>
  <c r="K73" i="1"/>
  <c r="K71" i="1"/>
  <c r="K70" i="1"/>
  <c r="K69" i="1"/>
  <c r="K68" i="1"/>
  <c r="K67" i="1"/>
  <c r="K66" i="1"/>
  <c r="K65" i="1"/>
  <c r="K64" i="1"/>
  <c r="K63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6" i="1"/>
  <c r="K45" i="1"/>
  <c r="K44" i="1"/>
  <c r="K43" i="1"/>
  <c r="K42" i="1"/>
  <c r="K41" i="1"/>
  <c r="K40" i="1"/>
  <c r="K39" i="1"/>
  <c r="K38" i="1"/>
  <c r="K37" i="1"/>
  <c r="K36" i="1"/>
  <c r="K35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S156" i="1" l="1"/>
  <c r="AS384" i="1"/>
  <c r="AS381" i="1"/>
  <c r="AS376" i="1"/>
  <c r="AS373" i="1"/>
  <c r="AS147" i="1"/>
  <c r="AT147" i="1" s="1"/>
  <c r="AS145" i="1"/>
  <c r="AT145" i="1" s="1"/>
  <c r="AS371" i="1"/>
  <c r="AT371" i="1" s="1"/>
  <c r="AS370" i="1"/>
  <c r="AS136" i="1"/>
  <c r="AS134" i="1"/>
  <c r="AS369" i="1"/>
  <c r="AS338" i="1"/>
  <c r="AT338" i="1" s="1"/>
  <c r="AS132" i="1"/>
  <c r="AS131" i="1"/>
  <c r="AT131" i="1" s="1"/>
  <c r="AS127" i="1"/>
  <c r="AT127" i="1" s="1"/>
  <c r="AS126" i="1"/>
  <c r="AS122" i="1"/>
  <c r="AS119" i="1"/>
  <c r="AT119" i="1" s="1"/>
  <c r="AS118" i="1"/>
  <c r="AS44" i="1"/>
  <c r="AT44" i="1" s="1"/>
  <c r="AS10" i="1"/>
  <c r="AT10" i="1" s="1"/>
  <c r="AS275" i="1"/>
  <c r="AT275" i="1" s="1"/>
  <c r="AS363" i="1"/>
  <c r="AS358" i="1"/>
  <c r="AS357" i="1"/>
  <c r="AS356" i="1"/>
  <c r="AS270" i="1"/>
  <c r="AS43" i="1"/>
  <c r="AT43" i="1" s="1"/>
  <c r="AS109" i="1"/>
  <c r="AT109" i="1" s="1"/>
  <c r="AS107" i="1"/>
  <c r="AT107" i="1" s="1"/>
  <c r="AS413" i="1"/>
  <c r="AT413" i="1" s="1"/>
  <c r="AS248" i="1"/>
  <c r="AS99" i="1"/>
  <c r="AS5" i="1"/>
  <c r="AS97" i="1"/>
  <c r="AS246" i="1"/>
  <c r="AT246" i="1" s="1"/>
  <c r="AS243" i="1"/>
  <c r="AT243" i="1" s="1"/>
  <c r="AS353" i="1"/>
  <c r="AT353" i="1" s="1"/>
  <c r="AS239" i="1"/>
  <c r="AT239" i="1" s="1"/>
  <c r="AS238" i="1"/>
  <c r="AS86" i="1"/>
  <c r="AS352" i="1"/>
  <c r="AT352" i="1" s="1"/>
  <c r="AS233" i="1"/>
  <c r="AS36" i="1"/>
  <c r="AT36" i="1" s="1"/>
  <c r="AS226" i="1"/>
  <c r="AT226" i="1" s="1"/>
  <c r="AS348" i="1"/>
  <c r="AT348" i="1" s="1"/>
  <c r="AS347" i="1"/>
  <c r="AT347" i="1" s="1"/>
  <c r="AS346" i="1"/>
  <c r="AS351" i="1"/>
  <c r="AS350" i="1"/>
  <c r="AT350" i="1" s="1"/>
  <c r="AS225" i="1"/>
  <c r="AS224" i="1"/>
  <c r="AS77" i="1"/>
  <c r="AT77" i="1" s="1"/>
  <c r="AS223" i="1"/>
  <c r="AT223" i="1" s="1"/>
  <c r="AS222" i="1"/>
  <c r="AT222" i="1" s="1"/>
  <c r="AS221" i="1"/>
  <c r="AS76" i="1"/>
  <c r="AS220" i="1"/>
  <c r="AT220" i="1" s="1"/>
  <c r="AS217" i="1"/>
  <c r="AS216" i="1"/>
  <c r="AS3" i="1"/>
  <c r="AT3" i="1" s="1"/>
  <c r="AS214" i="1"/>
  <c r="AS213" i="1"/>
  <c r="AT213" i="1" s="1"/>
  <c r="AS209" i="1"/>
  <c r="AS208" i="1"/>
  <c r="AS206" i="1"/>
  <c r="AS204" i="1"/>
  <c r="AS203" i="1"/>
  <c r="AT203" i="1" s="1"/>
  <c r="AS196" i="1"/>
  <c r="AT196" i="1" s="1"/>
  <c r="AS13" i="1"/>
  <c r="AS189" i="1"/>
  <c r="AU156" i="1"/>
  <c r="AU384" i="1"/>
  <c r="AU381" i="1"/>
  <c r="AU376" i="1"/>
  <c r="AU373" i="1"/>
  <c r="AU147" i="1"/>
  <c r="AU369" i="1"/>
  <c r="AU338" i="1"/>
  <c r="AV338" i="1" s="1"/>
  <c r="AU132" i="1"/>
  <c r="AU126" i="1"/>
  <c r="AU44" i="1"/>
  <c r="AU10" i="1"/>
  <c r="AU363" i="1"/>
  <c r="AV363" i="1" s="1"/>
  <c r="AU358" i="1"/>
  <c r="AV358" i="1" s="1"/>
  <c r="AU357" i="1"/>
  <c r="AV357" i="1" s="1"/>
  <c r="AU356" i="1"/>
  <c r="AU270" i="1"/>
  <c r="AU43" i="1"/>
  <c r="AU107" i="1"/>
  <c r="AU413" i="1"/>
  <c r="AU99" i="1"/>
  <c r="AV99" i="1" s="1"/>
  <c r="AU5" i="1"/>
  <c r="AV5" i="1" s="1"/>
  <c r="AU97" i="1"/>
  <c r="AV97" i="1" s="1"/>
  <c r="AU243" i="1"/>
  <c r="AV243" i="1" s="1"/>
  <c r="AU239" i="1"/>
  <c r="AU238" i="1"/>
  <c r="AU86" i="1"/>
  <c r="AV86" i="1" s="1"/>
  <c r="AU352" i="1"/>
  <c r="AU233" i="1"/>
  <c r="AU36" i="1"/>
  <c r="AV36" i="1" s="1"/>
  <c r="AU226" i="1"/>
  <c r="AV226" i="1" s="1"/>
  <c r="AU351" i="1"/>
  <c r="AU350" i="1"/>
  <c r="AU225" i="1"/>
  <c r="AU224" i="1"/>
  <c r="AU77" i="1"/>
  <c r="AV77" i="1" s="1"/>
  <c r="AU223" i="1"/>
  <c r="AV223" i="1" s="1"/>
  <c r="AU222" i="1"/>
  <c r="AV222" i="1" s="1"/>
  <c r="AU221" i="1"/>
  <c r="AV221" i="1" s="1"/>
  <c r="AU76" i="1"/>
  <c r="AV76" i="1" s="1"/>
  <c r="AU220" i="1"/>
  <c r="AU217" i="1"/>
  <c r="AU216" i="1"/>
  <c r="AU214" i="1"/>
  <c r="AU213" i="1"/>
  <c r="AV213" i="1" s="1"/>
  <c r="AU209" i="1"/>
  <c r="AV209" i="1" s="1"/>
  <c r="AU208" i="1"/>
  <c r="AV208" i="1" s="1"/>
  <c r="AU206" i="1"/>
  <c r="AU204" i="1"/>
  <c r="AU196" i="1"/>
  <c r="AU13" i="1"/>
  <c r="AU189" i="1"/>
  <c r="AU184" i="1"/>
  <c r="AU58" i="1"/>
  <c r="AV58" i="1" s="1"/>
  <c r="AV43" i="1"/>
  <c r="AU393" i="1"/>
  <c r="AU320" i="1"/>
  <c r="AU66" i="1"/>
  <c r="AU63" i="1"/>
  <c r="AU398" i="1"/>
  <c r="AV147" i="1"/>
  <c r="AV239" i="1"/>
  <c r="AV238" i="1"/>
  <c r="AV350" i="1"/>
  <c r="AU391" i="1"/>
  <c r="AU170" i="1"/>
  <c r="AU60" i="1"/>
  <c r="AV60" i="1" s="1"/>
  <c r="AV352" i="1"/>
  <c r="AU164" i="1"/>
  <c r="AV164" i="1" s="1"/>
  <c r="AV225" i="1"/>
  <c r="AV217" i="1"/>
  <c r="AV214" i="1"/>
  <c r="AV413" i="1"/>
  <c r="AV10" i="1"/>
  <c r="AV270" i="1"/>
  <c r="AV196" i="1"/>
  <c r="AS184" i="1"/>
  <c r="AS58" i="1"/>
  <c r="AS399" i="1"/>
  <c r="AS344" i="1"/>
  <c r="AT344" i="1" s="1"/>
  <c r="AS393" i="1"/>
  <c r="AS320" i="1"/>
  <c r="AS67" i="1"/>
  <c r="AT67" i="1" s="1"/>
  <c r="AS66" i="1"/>
  <c r="AS394" i="1"/>
  <c r="AS63" i="1"/>
  <c r="AS398" i="1"/>
  <c r="AS345" i="1"/>
  <c r="AT345" i="1" s="1"/>
  <c r="AT208" i="1"/>
  <c r="AT363" i="1"/>
  <c r="AT118" i="1"/>
  <c r="AT369" i="1"/>
  <c r="AT358" i="1"/>
  <c r="AT238" i="1"/>
  <c r="AS391" i="1"/>
  <c r="AS68" i="1"/>
  <c r="AT68" i="1" s="1"/>
  <c r="AS71" i="1"/>
  <c r="AT71" i="1" s="1"/>
  <c r="AS70" i="1"/>
  <c r="AT70" i="1" s="1"/>
  <c r="AS69" i="1"/>
  <c r="AT69" i="1" s="1"/>
  <c r="AS170" i="1"/>
  <c r="AS60" i="1"/>
  <c r="AT60" i="1" s="1"/>
  <c r="AS164" i="1"/>
  <c r="AT164" i="1" s="1"/>
  <c r="AT225" i="1"/>
  <c r="AT370" i="1"/>
  <c r="AS329" i="1"/>
  <c r="AT329" i="1" s="1"/>
  <c r="AT217" i="1"/>
  <c r="AT122" i="1"/>
  <c r="AT224" i="1"/>
  <c r="AT214" i="1"/>
  <c r="AS405" i="1"/>
  <c r="AT405" i="1" s="1"/>
  <c r="AT97" i="1"/>
  <c r="AT76" i="1"/>
  <c r="AT136" i="1"/>
  <c r="AT248" i="1"/>
  <c r="AT5" i="1"/>
  <c r="AT216" i="1"/>
  <c r="AT209" i="1"/>
  <c r="AQ269" i="1"/>
  <c r="AQ355" i="1"/>
  <c r="AP83" i="1"/>
  <c r="AQ83" i="1"/>
  <c r="AQ310" i="1"/>
  <c r="AQ115" i="1"/>
  <c r="AP115" i="1"/>
  <c r="AQ334" i="1"/>
  <c r="AQ218" i="1"/>
  <c r="AP218" i="1"/>
  <c r="AQ6" i="1"/>
  <c r="AQ254" i="1"/>
  <c r="AP196" i="1"/>
  <c r="AP341" i="1"/>
  <c r="AQ341" i="1"/>
  <c r="AQ2" i="1"/>
  <c r="AQ120" i="1"/>
  <c r="AQ190" i="1"/>
  <c r="AQ412" i="1"/>
  <c r="AQ252" i="1"/>
  <c r="AP382" i="1"/>
  <c r="AQ382" i="1"/>
  <c r="AQ117" i="1"/>
  <c r="AQ151" i="1"/>
  <c r="AQ378" i="1"/>
  <c r="AV315" i="1"/>
  <c r="AV244" i="1"/>
  <c r="AV272" i="1"/>
  <c r="AV335" i="1"/>
  <c r="AV263" i="1"/>
  <c r="AV230" i="1"/>
  <c r="AV102" i="1"/>
  <c r="AV321" i="1"/>
  <c r="AV91" i="1"/>
  <c r="AV137" i="1"/>
  <c r="AV322" i="1"/>
  <c r="AV135" i="1"/>
  <c r="AV195" i="1"/>
  <c r="AV25" i="1"/>
  <c r="AV26" i="1"/>
  <c r="AV27" i="1"/>
  <c r="AV409" i="1"/>
  <c r="AV158" i="1"/>
  <c r="AV28" i="1"/>
  <c r="AV32" i="1"/>
  <c r="AV324" i="1"/>
  <c r="AV38" i="1"/>
  <c r="AV309" i="1"/>
  <c r="AV210" i="1"/>
  <c r="AV293" i="1"/>
  <c r="AV368" i="1"/>
  <c r="AV245" i="1"/>
  <c r="AV211" i="1"/>
  <c r="AV418" i="1"/>
  <c r="AT315" i="1"/>
  <c r="AT244" i="1"/>
  <c r="AT272" i="1"/>
  <c r="AT335" i="1"/>
  <c r="AT263" i="1"/>
  <c r="AT230" i="1"/>
  <c r="AT102" i="1"/>
  <c r="AT321" i="1"/>
  <c r="AT91" i="1"/>
  <c r="AT137" i="1"/>
  <c r="AT322" i="1"/>
  <c r="AT135" i="1"/>
  <c r="AT195" i="1"/>
  <c r="AT25" i="1"/>
  <c r="AT26" i="1"/>
  <c r="AT27" i="1"/>
  <c r="AT409" i="1"/>
  <c r="AT158" i="1"/>
  <c r="AT28" i="1"/>
  <c r="AT32" i="1"/>
  <c r="AT324" i="1"/>
  <c r="AT38" i="1"/>
  <c r="AT309" i="1"/>
  <c r="AT210" i="1"/>
  <c r="AT293" i="1"/>
  <c r="AT368" i="1"/>
  <c r="AT245" i="1"/>
  <c r="AT211" i="1"/>
  <c r="AT418" i="1"/>
  <c r="AQ73" i="1"/>
  <c r="AU244" i="1"/>
  <c r="AU272" i="1"/>
  <c r="AU335" i="1"/>
  <c r="AU263" i="1"/>
  <c r="AU230" i="1"/>
  <c r="AU102" i="1"/>
  <c r="AU321" i="1"/>
  <c r="AU91" i="1"/>
  <c r="AU137" i="1"/>
  <c r="AU322" i="1"/>
  <c r="AU135" i="1"/>
  <c r="AV356" i="1"/>
  <c r="AU195" i="1"/>
  <c r="AU25" i="1"/>
  <c r="AU26" i="1"/>
  <c r="AU27" i="1"/>
  <c r="AV224" i="1"/>
  <c r="AV107" i="1"/>
  <c r="AU409" i="1"/>
  <c r="AV216" i="1"/>
  <c r="AU158" i="1"/>
  <c r="AU28" i="1"/>
  <c r="AU32" i="1"/>
  <c r="AU324" i="1"/>
  <c r="AU38" i="1"/>
  <c r="AU309" i="1"/>
  <c r="AU210" i="1"/>
  <c r="AV220" i="1"/>
  <c r="AV44" i="1"/>
  <c r="AU293" i="1"/>
  <c r="AU368" i="1"/>
  <c r="AU245" i="1"/>
  <c r="AV369" i="1"/>
  <c r="AU211" i="1"/>
  <c r="AU418" i="1"/>
  <c r="AV233" i="1"/>
  <c r="AU315" i="1"/>
  <c r="AS244" i="1"/>
  <c r="AS272" i="1"/>
  <c r="AS335" i="1"/>
  <c r="AS263" i="1"/>
  <c r="AS230" i="1"/>
  <c r="AS102" i="1"/>
  <c r="AS321" i="1"/>
  <c r="AS91" i="1"/>
  <c r="AS137" i="1"/>
  <c r="AS322" i="1"/>
  <c r="AS135" i="1"/>
  <c r="AT356" i="1"/>
  <c r="AT357" i="1"/>
  <c r="AS195" i="1"/>
  <c r="AS25" i="1"/>
  <c r="AT221" i="1"/>
  <c r="AS26" i="1"/>
  <c r="AS27" i="1"/>
  <c r="AS409" i="1"/>
  <c r="AT99" i="1"/>
  <c r="AT86" i="1"/>
  <c r="AS158" i="1"/>
  <c r="AS28" i="1"/>
  <c r="AS32" i="1"/>
  <c r="AT270" i="1"/>
  <c r="AS324" i="1"/>
  <c r="AS38" i="1"/>
  <c r="AS309" i="1"/>
  <c r="AS210" i="1"/>
  <c r="AS293" i="1"/>
  <c r="AS368" i="1"/>
  <c r="AS245" i="1"/>
  <c r="AT58" i="1"/>
  <c r="AS211" i="1"/>
  <c r="AS418" i="1"/>
  <c r="AT233" i="1"/>
  <c r="AT346" i="1"/>
  <c r="AT399" i="1"/>
  <c r="AT394" i="1"/>
  <c r="AT134" i="1"/>
  <c r="AS315" i="1"/>
  <c r="M3" i="1"/>
  <c r="M371" i="1"/>
  <c r="AU371" i="1" s="1"/>
  <c r="M348" i="1"/>
  <c r="AU348" i="1" s="1"/>
  <c r="M145" i="1"/>
  <c r="AU145" i="1" s="1"/>
  <c r="M353" i="1"/>
  <c r="AU353" i="1" s="1"/>
  <c r="M275" i="1"/>
  <c r="AU275" i="1" s="1"/>
  <c r="M134" i="1"/>
  <c r="AU134" i="1" s="1"/>
  <c r="M345" i="1"/>
  <c r="M346" i="1"/>
  <c r="AU346" i="1" s="1"/>
  <c r="M347" i="1"/>
  <c r="AU347" i="1" s="1"/>
  <c r="M136" i="1"/>
  <c r="AU136" i="1" s="1"/>
  <c r="M122" i="1"/>
  <c r="AU122" i="1" s="1"/>
  <c r="M344" i="1"/>
  <c r="M370" i="1"/>
  <c r="AU370" i="1" s="1"/>
  <c r="M109" i="1"/>
  <c r="AU109" i="1" s="1"/>
  <c r="M71" i="1"/>
  <c r="M70" i="1"/>
  <c r="M69" i="1"/>
  <c r="M68" i="1"/>
  <c r="M67" i="1"/>
  <c r="M131" i="1"/>
  <c r="M119" i="1"/>
  <c r="AU119" i="1" s="1"/>
  <c r="M399" i="1"/>
  <c r="M394" i="1"/>
  <c r="M246" i="1"/>
  <c r="AU246" i="1" s="1"/>
  <c r="M127" i="1"/>
  <c r="AU127" i="1" s="1"/>
  <c r="M203" i="1"/>
  <c r="AU203" i="1" s="1"/>
  <c r="M118" i="1"/>
  <c r="AU118" i="1" s="1"/>
  <c r="M405" i="1"/>
  <c r="M248" i="1"/>
  <c r="AU248" i="1" s="1"/>
  <c r="M329" i="1"/>
  <c r="L3" i="1"/>
  <c r="L371" i="1"/>
  <c r="L348" i="1"/>
  <c r="L145" i="1"/>
  <c r="L353" i="1"/>
  <c r="L275" i="1"/>
  <c r="L134" i="1"/>
  <c r="L345" i="1"/>
  <c r="L346" i="1"/>
  <c r="L347" i="1"/>
  <c r="L136" i="1"/>
  <c r="L122" i="1"/>
  <c r="L344" i="1"/>
  <c r="L370" i="1"/>
  <c r="L109" i="1"/>
  <c r="L71" i="1"/>
  <c r="L70" i="1"/>
  <c r="L69" i="1"/>
  <c r="L68" i="1"/>
  <c r="L67" i="1"/>
  <c r="L131" i="1"/>
  <c r="L119" i="1"/>
  <c r="L399" i="1"/>
  <c r="L394" i="1"/>
  <c r="L246" i="1"/>
  <c r="L127" i="1"/>
  <c r="L203" i="1"/>
  <c r="L118" i="1"/>
  <c r="L405" i="1"/>
  <c r="L248" i="1"/>
  <c r="L329" i="1"/>
  <c r="AR248" i="1"/>
  <c r="AR405" i="1"/>
  <c r="AR118" i="1"/>
  <c r="AR203" i="1"/>
  <c r="AR127" i="1"/>
  <c r="AR246" i="1"/>
  <c r="AR394" i="1"/>
  <c r="AR399" i="1"/>
  <c r="AR119" i="1"/>
  <c r="AR131" i="1"/>
  <c r="AR67" i="1"/>
  <c r="AR68" i="1"/>
  <c r="AR69" i="1"/>
  <c r="AR70" i="1"/>
  <c r="AR71" i="1"/>
  <c r="AR109" i="1"/>
  <c r="AR370" i="1"/>
  <c r="AR344" i="1"/>
  <c r="AR122" i="1"/>
  <c r="AR136" i="1"/>
  <c r="AR347" i="1"/>
  <c r="AR346" i="1"/>
  <c r="AR345" i="1"/>
  <c r="AR134" i="1"/>
  <c r="AR275" i="1"/>
  <c r="AR353" i="1"/>
  <c r="AR145" i="1"/>
  <c r="AR348" i="1"/>
  <c r="AR371" i="1"/>
  <c r="AR3" i="1"/>
  <c r="AR329" i="1"/>
  <c r="AU131" i="1" l="1"/>
  <c r="AV131" i="1" s="1"/>
  <c r="AU3" i="1"/>
  <c r="AV3" i="1" s="1"/>
  <c r="AS73" i="1"/>
  <c r="AT73" i="1" s="1"/>
  <c r="AU73" i="1"/>
  <c r="AS378" i="1"/>
  <c r="AU378" i="1"/>
  <c r="AS151" i="1"/>
  <c r="AU151" i="1"/>
  <c r="AS117" i="1"/>
  <c r="AU117" i="1"/>
  <c r="AS382" i="1"/>
  <c r="AU382" i="1"/>
  <c r="AS252" i="1"/>
  <c r="AU252" i="1"/>
  <c r="AS412" i="1"/>
  <c r="AU412" i="1"/>
  <c r="AS190" i="1"/>
  <c r="AU190" i="1"/>
  <c r="AS120" i="1"/>
  <c r="AU120" i="1"/>
  <c r="AS2" i="1"/>
  <c r="AU2" i="1"/>
  <c r="AS341" i="1"/>
  <c r="AU341" i="1"/>
  <c r="AS254" i="1"/>
  <c r="AT254" i="1" s="1"/>
  <c r="AU254" i="1"/>
  <c r="AV254" i="1" s="1"/>
  <c r="AS6" i="1"/>
  <c r="AU6" i="1"/>
  <c r="AV6" i="1" s="1"/>
  <c r="AS218" i="1"/>
  <c r="AU218" i="1"/>
  <c r="AV218" i="1" s="1"/>
  <c r="AS115" i="1"/>
  <c r="AU115" i="1"/>
  <c r="AS83" i="1"/>
  <c r="AT83" i="1" s="1"/>
  <c r="AU83" i="1"/>
  <c r="AV83" i="1" s="1"/>
  <c r="AS355" i="1"/>
  <c r="AU355" i="1"/>
  <c r="AS269" i="1"/>
  <c r="AU269" i="1"/>
  <c r="AU329" i="1"/>
  <c r="AV329" i="1" s="1"/>
  <c r="AV248" i="1"/>
  <c r="AU405" i="1"/>
  <c r="AV405" i="1" s="1"/>
  <c r="AV118" i="1"/>
  <c r="AV203" i="1"/>
  <c r="AV127" i="1"/>
  <c r="AV246" i="1"/>
  <c r="AU394" i="1"/>
  <c r="AV394" i="1" s="1"/>
  <c r="AU399" i="1"/>
  <c r="AV399" i="1" s="1"/>
  <c r="AV119" i="1"/>
  <c r="AU67" i="1"/>
  <c r="AV67" i="1" s="1"/>
  <c r="AU68" i="1"/>
  <c r="AV68" i="1" s="1"/>
  <c r="AU69" i="1"/>
  <c r="AV69" i="1" s="1"/>
  <c r="AU70" i="1"/>
  <c r="AV70" i="1" s="1"/>
  <c r="AU71" i="1"/>
  <c r="AV71" i="1" s="1"/>
  <c r="AV109" i="1"/>
  <c r="AV370" i="1"/>
  <c r="AU344" i="1"/>
  <c r="AV344" i="1" s="1"/>
  <c r="AV122" i="1"/>
  <c r="AV136" i="1"/>
  <c r="AV347" i="1"/>
  <c r="AV346" i="1"/>
  <c r="AU345" i="1"/>
  <c r="AV345" i="1" s="1"/>
  <c r="AV134" i="1"/>
  <c r="AV275" i="1"/>
  <c r="AV353" i="1"/>
  <c r="AV145" i="1"/>
  <c r="AV348" i="1"/>
  <c r="AV371" i="1"/>
  <c r="AT6" i="1"/>
  <c r="AT218" i="1"/>
  <c r="AU334" i="1"/>
  <c r="AS334" i="1"/>
  <c r="AU310" i="1"/>
  <c r="AS310" i="1"/>
  <c r="AR190" i="1"/>
  <c r="AV73" i="1"/>
  <c r="AB112" i="1" l="1"/>
  <c r="AB168" i="1"/>
  <c r="AA168" i="1"/>
  <c r="AR270" i="1" l="1"/>
  <c r="AR239" i="1"/>
  <c r="AR58" i="1"/>
  <c r="AR238" i="1"/>
  <c r="AR99" i="1"/>
  <c r="AR208" i="1"/>
  <c r="AR233" i="1"/>
  <c r="AR217" i="1"/>
  <c r="AR223" i="1"/>
  <c r="AR224" i="1"/>
  <c r="AR10" i="1"/>
  <c r="AR214" i="1"/>
  <c r="AR243" i="1"/>
  <c r="AR254" i="1"/>
  <c r="AR196" i="1"/>
  <c r="AR220" i="1"/>
  <c r="AR221" i="1"/>
  <c r="AR164" i="1"/>
  <c r="AR76" i="1"/>
  <c r="AR352" i="1"/>
  <c r="AR358" i="1"/>
  <c r="AR357" i="1"/>
  <c r="AR356" i="1"/>
  <c r="AR86" i="1"/>
  <c r="AR369" i="1"/>
  <c r="AR363" i="1"/>
  <c r="AR107" i="1"/>
  <c r="AR350" i="1"/>
  <c r="AR77" i="1"/>
  <c r="AR216" i="1"/>
  <c r="AR338" i="1"/>
  <c r="AR413" i="1"/>
  <c r="AR218" i="1"/>
  <c r="AR83" i="1"/>
  <c r="AR36" i="1"/>
  <c r="AR213" i="1"/>
  <c r="AR147" i="1"/>
  <c r="AR5" i="1"/>
  <c r="AR97" i="1"/>
  <c r="AR43" i="1"/>
  <c r="AR44" i="1"/>
  <c r="AR226" i="1"/>
  <c r="AR222" i="1"/>
  <c r="AR60" i="1"/>
  <c r="AR6" i="1"/>
  <c r="AR73" i="1"/>
  <c r="AR225" i="1"/>
  <c r="AR209" i="1"/>
  <c r="AQ302" i="1"/>
  <c r="AP302" i="1"/>
  <c r="AQ253" i="1"/>
  <c r="AP253" i="1"/>
  <c r="AQ148" i="1"/>
  <c r="AP148" i="1"/>
  <c r="AQ205" i="1"/>
  <c r="AP205" i="1"/>
  <c r="AQ106" i="1"/>
  <c r="AP106" i="1"/>
  <c r="AQ149" i="1"/>
  <c r="AP149" i="1"/>
  <c r="AQ179" i="1"/>
  <c r="AP179" i="1"/>
  <c r="AQ177" i="1"/>
  <c r="AP177" i="1"/>
  <c r="AQ296" i="1"/>
  <c r="AP296" i="1"/>
  <c r="AQ62" i="1"/>
  <c r="AP62" i="1"/>
  <c r="AQ161" i="1"/>
  <c r="AP161" i="1"/>
  <c r="AQ185" i="1"/>
  <c r="AP185" i="1"/>
  <c r="AQ256" i="1"/>
  <c r="AP256" i="1"/>
  <c r="AQ20" i="1"/>
  <c r="AP20" i="1"/>
  <c r="AQ35" i="1"/>
  <c r="AP35" i="1"/>
  <c r="AQ155" i="1"/>
  <c r="AP155" i="1"/>
  <c r="AQ114" i="1"/>
  <c r="AP114" i="1"/>
  <c r="AQ389" i="1"/>
  <c r="AP389" i="1"/>
  <c r="AQ305" i="1"/>
  <c r="AP305" i="1"/>
  <c r="AQ59" i="1"/>
  <c r="AP59" i="1"/>
  <c r="AQ163" i="1"/>
  <c r="AP163" i="1"/>
  <c r="AQ187" i="1"/>
  <c r="AP187" i="1"/>
  <c r="AQ375" i="1"/>
  <c r="AP375" i="1"/>
  <c r="AQ359" i="1"/>
  <c r="AP359" i="1"/>
  <c r="AQ121" i="1"/>
  <c r="AP121" i="1"/>
  <c r="AQ186" i="1"/>
  <c r="AP186" i="1"/>
  <c r="AQ174" i="1"/>
  <c r="AP174" i="1"/>
  <c r="AQ400" i="1"/>
  <c r="AP400" i="1"/>
  <c r="AQ396" i="1"/>
  <c r="AP396" i="1"/>
  <c r="AQ47" i="1"/>
  <c r="AP47" i="1"/>
  <c r="AQ354" i="1"/>
  <c r="AP354" i="1"/>
  <c r="AQ104" i="1"/>
  <c r="AQ406" i="1"/>
  <c r="AP406" i="1"/>
  <c r="AQ228" i="1"/>
  <c r="AP228" i="1"/>
  <c r="AQ337" i="1"/>
  <c r="AP337" i="1"/>
  <c r="AQ340" i="1"/>
  <c r="AP340" i="1"/>
  <c r="AQ23" i="1"/>
  <c r="AP23" i="1"/>
  <c r="AQ16" i="1"/>
  <c r="AP16" i="1"/>
  <c r="AQ31" i="1"/>
  <c r="AP31" i="1"/>
  <c r="AQ48" i="1"/>
  <c r="AP48" i="1"/>
  <c r="AQ397" i="1"/>
  <c r="AP397" i="1"/>
  <c r="AQ383" i="1"/>
  <c r="AP383" i="1"/>
  <c r="AQ314" i="1"/>
  <c r="AP314" i="1"/>
  <c r="AQ364" i="1"/>
  <c r="AP364" i="1"/>
  <c r="AP392" i="1"/>
  <c r="AQ392" i="1"/>
  <c r="AQ395" i="1"/>
  <c r="AP395" i="1"/>
  <c r="AQ283" i="1"/>
  <c r="AP283" i="1"/>
  <c r="AQ182" i="1"/>
  <c r="AP182" i="1"/>
  <c r="AQ282" i="1"/>
  <c r="AP282" i="1"/>
  <c r="AQ380" i="1"/>
  <c r="AP380" i="1"/>
  <c r="AQ377" i="1"/>
  <c r="AP377" i="1"/>
  <c r="AQ390" i="1"/>
  <c r="AP390" i="1"/>
  <c r="AQ385" i="1"/>
  <c r="AP385" i="1"/>
  <c r="AQ386" i="1"/>
  <c r="AP386" i="1"/>
  <c r="AQ388" i="1"/>
  <c r="AP388" i="1"/>
  <c r="AQ387" i="1"/>
  <c r="AP387" i="1"/>
  <c r="AQ342" i="1"/>
  <c r="AP342" i="1"/>
  <c r="AQ281" i="1"/>
  <c r="AP281" i="1"/>
  <c r="AQ343" i="1"/>
  <c r="AP343" i="1"/>
  <c r="AQ46" i="1"/>
  <c r="AP46" i="1"/>
  <c r="AS46" i="1" l="1"/>
  <c r="AU46" i="1"/>
  <c r="AS343" i="1"/>
  <c r="AU343" i="1"/>
  <c r="AS281" i="1"/>
  <c r="AT281" i="1" s="1"/>
  <c r="AU281" i="1"/>
  <c r="AV281" i="1" s="1"/>
  <c r="AS342" i="1"/>
  <c r="AU342" i="1"/>
  <c r="AV342" i="1" s="1"/>
  <c r="AS387" i="1"/>
  <c r="AU387" i="1"/>
  <c r="AS388" i="1"/>
  <c r="AU388" i="1"/>
  <c r="AS386" i="1"/>
  <c r="AT386" i="1" s="1"/>
  <c r="AU386" i="1"/>
  <c r="AS385" i="1"/>
  <c r="AU385" i="1"/>
  <c r="AV385" i="1" s="1"/>
  <c r="AS377" i="1"/>
  <c r="AU377" i="1"/>
  <c r="AS380" i="1"/>
  <c r="AU380" i="1"/>
  <c r="AS282" i="1"/>
  <c r="AT282" i="1" s="1"/>
  <c r="AU282" i="1"/>
  <c r="AV282" i="1" s="1"/>
  <c r="AS283" i="1"/>
  <c r="AU283" i="1"/>
  <c r="AV283" i="1" s="1"/>
  <c r="AS364" i="1"/>
  <c r="AU364" i="1"/>
  <c r="AS383" i="1"/>
  <c r="AU383" i="1"/>
  <c r="AS48" i="1"/>
  <c r="AT48" i="1" s="1"/>
  <c r="AU48" i="1"/>
  <c r="AV48" i="1" s="1"/>
  <c r="AS31" i="1"/>
  <c r="AU31" i="1"/>
  <c r="AV31" i="1" s="1"/>
  <c r="AS16" i="1"/>
  <c r="AU16" i="1"/>
  <c r="AS23" i="1"/>
  <c r="AU23" i="1"/>
  <c r="AS340" i="1"/>
  <c r="AT340" i="1" s="1"/>
  <c r="AU340" i="1"/>
  <c r="AV340" i="1" s="1"/>
  <c r="AS337" i="1"/>
  <c r="AU337" i="1"/>
  <c r="AV337" i="1" s="1"/>
  <c r="AS228" i="1"/>
  <c r="AU228" i="1"/>
  <c r="AS406" i="1"/>
  <c r="AU406" i="1"/>
  <c r="AS104" i="1"/>
  <c r="AT104" i="1" s="1"/>
  <c r="AU104" i="1"/>
  <c r="AV104" i="1" s="1"/>
  <c r="AS354" i="1"/>
  <c r="AU354" i="1"/>
  <c r="AV354" i="1" s="1"/>
  <c r="AS47" i="1"/>
  <c r="AU47" i="1"/>
  <c r="AS121" i="1"/>
  <c r="AU121" i="1"/>
  <c r="AS359" i="1"/>
  <c r="AT359" i="1" s="1"/>
  <c r="AU359" i="1"/>
  <c r="AV359" i="1" s="1"/>
  <c r="AS375" i="1"/>
  <c r="AU375" i="1"/>
  <c r="AV375" i="1" s="1"/>
  <c r="AS163" i="1"/>
  <c r="AU163" i="1"/>
  <c r="AS305" i="1"/>
  <c r="AU305" i="1"/>
  <c r="AS389" i="1"/>
  <c r="AT389" i="1" s="1"/>
  <c r="AU389" i="1"/>
  <c r="AV389" i="1" s="1"/>
  <c r="AS114" i="1"/>
  <c r="AU114" i="1"/>
  <c r="AV114" i="1" s="1"/>
  <c r="AS155" i="1"/>
  <c r="AU155" i="1"/>
  <c r="AS35" i="1"/>
  <c r="AU35" i="1"/>
  <c r="AS20" i="1"/>
  <c r="AT20" i="1" s="1"/>
  <c r="AU20" i="1"/>
  <c r="AV20" i="1" s="1"/>
  <c r="AS256" i="1"/>
  <c r="AU256" i="1"/>
  <c r="AV256" i="1" s="1"/>
  <c r="AS161" i="1"/>
  <c r="AU161" i="1"/>
  <c r="AS296" i="1"/>
  <c r="AU296" i="1"/>
  <c r="AS149" i="1"/>
  <c r="AT149" i="1" s="1"/>
  <c r="AU149" i="1"/>
  <c r="AV149" i="1" s="1"/>
  <c r="AS106" i="1"/>
  <c r="AU106" i="1"/>
  <c r="AV106" i="1" s="1"/>
  <c r="AS205" i="1"/>
  <c r="AU205" i="1"/>
  <c r="AS148" i="1"/>
  <c r="AU148" i="1"/>
  <c r="AS253" i="1"/>
  <c r="AT253" i="1" s="1"/>
  <c r="AU253" i="1"/>
  <c r="AV253" i="1" s="1"/>
  <c r="AS302" i="1"/>
  <c r="AU302" i="1"/>
  <c r="AV302" i="1" s="1"/>
  <c r="AV46" i="1"/>
  <c r="AV343" i="1"/>
  <c r="AV387" i="1"/>
  <c r="AT387" i="1"/>
  <c r="AV388" i="1"/>
  <c r="AV386" i="1"/>
  <c r="AU390" i="1"/>
  <c r="AV390" i="1" s="1"/>
  <c r="AS390" i="1"/>
  <c r="AT390" i="1" s="1"/>
  <c r="AV377" i="1"/>
  <c r="AT377" i="1"/>
  <c r="AT380" i="1"/>
  <c r="AU182" i="1"/>
  <c r="AV182" i="1" s="1"/>
  <c r="AS182" i="1"/>
  <c r="AT182" i="1" s="1"/>
  <c r="AU395" i="1"/>
  <c r="AV395" i="1" s="1"/>
  <c r="AS395" i="1"/>
  <c r="AT395" i="1" s="1"/>
  <c r="AU392" i="1"/>
  <c r="AV392" i="1" s="1"/>
  <c r="AS392" i="1"/>
  <c r="AT392" i="1" s="1"/>
  <c r="AT364" i="1"/>
  <c r="AU314" i="1"/>
  <c r="AS314" i="1"/>
  <c r="AT314" i="1" s="1"/>
  <c r="AU397" i="1"/>
  <c r="AV397" i="1" s="1"/>
  <c r="AS397" i="1"/>
  <c r="AT397" i="1" s="1"/>
  <c r="AT31" i="1"/>
  <c r="AT16" i="1"/>
  <c r="AV23" i="1"/>
  <c r="AT23" i="1"/>
  <c r="AV228" i="1"/>
  <c r="AT228" i="1"/>
  <c r="AV406" i="1"/>
  <c r="AU396" i="1"/>
  <c r="AV396" i="1" s="1"/>
  <c r="AS396" i="1"/>
  <c r="AT396" i="1" s="1"/>
  <c r="AU400" i="1"/>
  <c r="AS400" i="1"/>
  <c r="AT400" i="1" s="1"/>
  <c r="AU174" i="1"/>
  <c r="AV174" i="1" s="1"/>
  <c r="AS174" i="1"/>
  <c r="AT174" i="1" s="1"/>
  <c r="AU186" i="1"/>
  <c r="AV186" i="1" s="1"/>
  <c r="AS186" i="1"/>
  <c r="AT186" i="1" s="1"/>
  <c r="AV121" i="1"/>
  <c r="AU187" i="1"/>
  <c r="AV187" i="1" s="1"/>
  <c r="AS187" i="1"/>
  <c r="AT187" i="1" s="1"/>
  <c r="AV163" i="1"/>
  <c r="AU59" i="1"/>
  <c r="AV59" i="1" s="1"/>
  <c r="AS59" i="1"/>
  <c r="AT59" i="1" s="1"/>
  <c r="AV305" i="1"/>
  <c r="AT305" i="1"/>
  <c r="AV155" i="1"/>
  <c r="AT155" i="1"/>
  <c r="AV35" i="1"/>
  <c r="AU185" i="1"/>
  <c r="AV185" i="1" s="1"/>
  <c r="AS185" i="1"/>
  <c r="AT185" i="1" s="1"/>
  <c r="AT161" i="1"/>
  <c r="AU62" i="1"/>
  <c r="AV62" i="1" s="1"/>
  <c r="AS62" i="1"/>
  <c r="AT62" i="1" s="1"/>
  <c r="AV296" i="1"/>
  <c r="AU177" i="1"/>
  <c r="AV177" i="1" s="1"/>
  <c r="AS177" i="1"/>
  <c r="AT177" i="1" s="1"/>
  <c r="AU179" i="1"/>
  <c r="AV179" i="1" s="1"/>
  <c r="AS179" i="1"/>
  <c r="AT179" i="1" s="1"/>
  <c r="AV205" i="1"/>
  <c r="AV148" i="1"/>
  <c r="AT148" i="1"/>
  <c r="AT46" i="1"/>
  <c r="AT343" i="1"/>
  <c r="AT342" i="1"/>
  <c r="AT388" i="1"/>
  <c r="AT385" i="1"/>
  <c r="AV380" i="1"/>
  <c r="AT283" i="1"/>
  <c r="AV364" i="1"/>
  <c r="AV314" i="1"/>
  <c r="AT383" i="1"/>
  <c r="AV383" i="1"/>
  <c r="AV16" i="1"/>
  <c r="AT337" i="1"/>
  <c r="AT406" i="1"/>
  <c r="AT354" i="1"/>
  <c r="AT47" i="1"/>
  <c r="AV47" i="1"/>
  <c r="AV400" i="1"/>
  <c r="AT121" i="1"/>
  <c r="AT375" i="1"/>
  <c r="AT163" i="1"/>
  <c r="AT114" i="1"/>
  <c r="AT35" i="1"/>
  <c r="AT256" i="1"/>
  <c r="AV161" i="1"/>
  <c r="AT296" i="1"/>
  <c r="AT106" i="1"/>
  <c r="AT205" i="1"/>
  <c r="AT302" i="1"/>
  <c r="AR104" i="1"/>
  <c r="AR392" i="1"/>
  <c r="AR46" i="1"/>
  <c r="AR343" i="1"/>
  <c r="AR281" i="1"/>
  <c r="AR342" i="1"/>
  <c r="AR387" i="1"/>
  <c r="AR388" i="1"/>
  <c r="AR386" i="1"/>
  <c r="AR385" i="1"/>
  <c r="AR390" i="1"/>
  <c r="AR377" i="1"/>
  <c r="AR380" i="1"/>
  <c r="AR282" i="1"/>
  <c r="AR182" i="1"/>
  <c r="AR283" i="1"/>
  <c r="AR395" i="1"/>
  <c r="AR364" i="1"/>
  <c r="AR314" i="1"/>
  <c r="AR383" i="1"/>
  <c r="AR397" i="1"/>
  <c r="AR48" i="1"/>
  <c r="AR31" i="1"/>
  <c r="AR16" i="1"/>
  <c r="AR23" i="1"/>
  <c r="AR340" i="1"/>
  <c r="AR337" i="1"/>
  <c r="AR228" i="1"/>
  <c r="AR406" i="1"/>
  <c r="AR354" i="1"/>
  <c r="AR47" i="1"/>
  <c r="AR396" i="1"/>
  <c r="AR400" i="1"/>
  <c r="AR174" i="1"/>
  <c r="AR186" i="1"/>
  <c r="AR121" i="1"/>
  <c r="AR359" i="1"/>
  <c r="AR375" i="1"/>
  <c r="AR187" i="1"/>
  <c r="AR163" i="1"/>
  <c r="AR59" i="1"/>
  <c r="AR305" i="1"/>
  <c r="AR389" i="1"/>
  <c r="AR114" i="1"/>
  <c r="AR155" i="1"/>
  <c r="AR35" i="1"/>
  <c r="AR20" i="1"/>
  <c r="AR256" i="1"/>
  <c r="AR185" i="1"/>
  <c r="AR161" i="1"/>
  <c r="AR62" i="1"/>
  <c r="AR296" i="1"/>
  <c r="AR177" i="1"/>
  <c r="AR179" i="1"/>
  <c r="AR149" i="1"/>
  <c r="AR106" i="1"/>
  <c r="AR205" i="1"/>
  <c r="AR148" i="1"/>
  <c r="AR253" i="1"/>
  <c r="AR302" i="1"/>
  <c r="AQ194" i="1"/>
  <c r="AQ64" i="1"/>
  <c r="AP64" i="1"/>
  <c r="AQ53" i="1"/>
  <c r="AP53" i="1"/>
  <c r="AP194" i="1"/>
  <c r="AQ65" i="1"/>
  <c r="AP65" i="1"/>
  <c r="AQ236" i="1"/>
  <c r="AP236" i="1"/>
  <c r="AQ167" i="1"/>
  <c r="AP167" i="1"/>
  <c r="AQ22" i="1"/>
  <c r="AP22" i="1"/>
  <c r="AQ12" i="1"/>
  <c r="AP12" i="1"/>
  <c r="AQ42" i="1"/>
  <c r="AP42" i="1"/>
  <c r="AQ33" i="1"/>
  <c r="AP33" i="1"/>
  <c r="AQ277" i="1"/>
  <c r="AP277" i="1"/>
  <c r="AQ49" i="1"/>
  <c r="AP49" i="1"/>
  <c r="AQ192" i="1"/>
  <c r="AS192" i="1" l="1"/>
  <c r="AU192" i="1"/>
  <c r="AS49" i="1"/>
  <c r="AU49" i="1"/>
  <c r="AS277" i="1"/>
  <c r="AU277" i="1"/>
  <c r="AV277" i="1" s="1"/>
  <c r="AS33" i="1"/>
  <c r="AT33" i="1" s="1"/>
  <c r="AU33" i="1"/>
  <c r="AV33" i="1" s="1"/>
  <c r="AS42" i="1"/>
  <c r="AT42" i="1" s="1"/>
  <c r="AU42" i="1"/>
  <c r="AV42" i="1" s="1"/>
  <c r="AS12" i="1"/>
  <c r="AU12" i="1"/>
  <c r="AV12" i="1" s="1"/>
  <c r="AS22" i="1"/>
  <c r="AT22" i="1" s="1"/>
  <c r="AU22" i="1"/>
  <c r="AV22" i="1" s="1"/>
  <c r="AS236" i="1"/>
  <c r="AT236" i="1" s="1"/>
  <c r="AU236" i="1"/>
  <c r="AV236" i="1" s="1"/>
  <c r="AS53" i="1"/>
  <c r="AU53" i="1"/>
  <c r="AS194" i="1"/>
  <c r="AT194" i="1" s="1"/>
  <c r="AU194" i="1"/>
  <c r="AV194" i="1" s="1"/>
  <c r="AV49" i="1"/>
  <c r="AT277" i="1"/>
  <c r="AT12" i="1"/>
  <c r="AU167" i="1"/>
  <c r="AV167" i="1" s="1"/>
  <c r="AS167" i="1"/>
  <c r="AT167" i="1" s="1"/>
  <c r="AU65" i="1"/>
  <c r="AV65" i="1" s="1"/>
  <c r="AS65" i="1"/>
  <c r="AT65" i="1" s="1"/>
  <c r="AV53" i="1"/>
  <c r="AU64" i="1"/>
  <c r="AV64" i="1" s="1"/>
  <c r="AS64" i="1"/>
  <c r="AT64" i="1" s="1"/>
  <c r="AT192" i="1"/>
  <c r="AV192" i="1"/>
  <c r="AT49" i="1"/>
  <c r="AT53" i="1"/>
  <c r="AR49" i="1"/>
  <c r="AR277" i="1"/>
  <c r="AR33" i="1"/>
  <c r="AR42" i="1"/>
  <c r="AR12" i="1"/>
  <c r="AR22" i="1"/>
  <c r="AR167" i="1"/>
  <c r="AR236" i="1"/>
  <c r="AR65" i="1"/>
  <c r="AR53" i="1"/>
  <c r="AR64" i="1"/>
  <c r="AR194" i="1"/>
  <c r="AP192" i="1"/>
  <c r="AQ45" i="1"/>
  <c r="AP45" i="1"/>
  <c r="AQ21" i="1"/>
  <c r="AP21" i="1"/>
  <c r="AQ285" i="1"/>
  <c r="AP285" i="1"/>
  <c r="AQ235" i="1"/>
  <c r="AP235" i="1"/>
  <c r="AQ34" i="1"/>
  <c r="AP34" i="1"/>
  <c r="AQ374" i="1"/>
  <c r="AP374" i="1"/>
  <c r="AQ349" i="1"/>
  <c r="AP349" i="1"/>
  <c r="AQ212" i="1"/>
  <c r="AP212" i="1"/>
  <c r="AQ232" i="1"/>
  <c r="AP232" i="1"/>
  <c r="AQ307" i="1"/>
  <c r="AP307" i="1"/>
  <c r="AQ199" i="1"/>
  <c r="AP199" i="1"/>
  <c r="AQ201" i="1"/>
  <c r="AP201" i="1"/>
  <c r="AS201" i="1" l="1"/>
  <c r="AU201" i="1"/>
  <c r="AV201" i="1" s="1"/>
  <c r="AS199" i="1"/>
  <c r="AT199" i="1" s="1"/>
  <c r="AU199" i="1"/>
  <c r="AS307" i="1"/>
  <c r="AT307" i="1" s="1"/>
  <c r="AU307" i="1"/>
  <c r="AV307" i="1" s="1"/>
  <c r="AS232" i="1"/>
  <c r="AT232" i="1" s="1"/>
  <c r="AU232" i="1"/>
  <c r="AV232" i="1" s="1"/>
  <c r="AS212" i="1"/>
  <c r="AU212" i="1"/>
  <c r="AS349" i="1"/>
  <c r="AU349" i="1"/>
  <c r="AV349" i="1" s="1"/>
  <c r="AS374" i="1"/>
  <c r="AT374" i="1" s="1"/>
  <c r="AU374" i="1"/>
  <c r="AV374" i="1" s="1"/>
  <c r="AS34" i="1"/>
  <c r="AT34" i="1" s="1"/>
  <c r="AU34" i="1"/>
  <c r="AV34" i="1" s="1"/>
  <c r="AS235" i="1"/>
  <c r="AT235" i="1" s="1"/>
  <c r="AU235" i="1"/>
  <c r="AS285" i="1"/>
  <c r="AT285" i="1" s="1"/>
  <c r="AU285" i="1"/>
  <c r="AV285" i="1" s="1"/>
  <c r="AS21" i="1"/>
  <c r="AT21" i="1" s="1"/>
  <c r="AU21" i="1"/>
  <c r="AV21" i="1" s="1"/>
  <c r="AS45" i="1"/>
  <c r="AT45" i="1" s="1"/>
  <c r="AU45" i="1"/>
  <c r="AV45" i="1" s="1"/>
  <c r="AV212" i="1"/>
  <c r="AT212" i="1"/>
  <c r="AT349" i="1"/>
  <c r="AV235" i="1"/>
  <c r="AV310" i="1"/>
  <c r="AT201" i="1"/>
  <c r="AV199" i="1"/>
  <c r="AR192" i="1"/>
  <c r="AR310" i="1"/>
  <c r="AT310" i="1"/>
  <c r="AR201" i="1"/>
  <c r="AR199" i="1"/>
  <c r="AR307" i="1"/>
  <c r="AR232" i="1"/>
  <c r="AR212" i="1"/>
  <c r="AR349" i="1"/>
  <c r="AR374" i="1"/>
  <c r="AR34" i="1"/>
  <c r="AR235" i="1"/>
  <c r="AR285" i="1"/>
  <c r="AR21" i="1"/>
  <c r="AR45" i="1"/>
  <c r="AQ39" i="1"/>
  <c r="AP39" i="1"/>
  <c r="AP184" i="1"/>
  <c r="AQ265" i="1"/>
  <c r="AP265" i="1"/>
  <c r="AQ330" i="1"/>
  <c r="AP330" i="1"/>
  <c r="AQ319" i="1"/>
  <c r="AQ327" i="1"/>
  <c r="AP327" i="1"/>
  <c r="AQ17" i="1"/>
  <c r="AP17" i="1"/>
  <c r="AQ402" i="1"/>
  <c r="AQ188" i="1"/>
  <c r="AS402" i="1" l="1"/>
  <c r="AU402" i="1"/>
  <c r="AV402" i="1" s="1"/>
  <c r="AS17" i="1"/>
  <c r="AT17" i="1" s="1"/>
  <c r="AU17" i="1"/>
  <c r="AS330" i="1"/>
  <c r="AT330" i="1" s="1"/>
  <c r="AU330" i="1"/>
  <c r="AV330" i="1" s="1"/>
  <c r="AS265" i="1"/>
  <c r="AT265" i="1" s="1"/>
  <c r="AU265" i="1"/>
  <c r="AV265" i="1" s="1"/>
  <c r="AS39" i="1"/>
  <c r="AT39" i="1" s="1"/>
  <c r="AU39" i="1"/>
  <c r="AV39" i="1" s="1"/>
  <c r="AU188" i="1"/>
  <c r="AV188" i="1" s="1"/>
  <c r="AS188" i="1"/>
  <c r="AT188" i="1" s="1"/>
  <c r="AT402" i="1"/>
  <c r="AV17" i="1"/>
  <c r="AU327" i="1"/>
  <c r="AV327" i="1" s="1"/>
  <c r="AS327" i="1"/>
  <c r="AT327" i="1" s="1"/>
  <c r="AU319" i="1"/>
  <c r="AV319" i="1" s="1"/>
  <c r="AS319" i="1"/>
  <c r="AT319" i="1" s="1"/>
  <c r="AT341" i="1"/>
  <c r="AV341" i="1"/>
  <c r="AT184" i="1"/>
  <c r="AV184" i="1"/>
  <c r="AR188" i="1"/>
  <c r="AR402" i="1"/>
  <c r="AR319" i="1"/>
  <c r="AR184" i="1"/>
  <c r="AR17" i="1"/>
  <c r="AR341" i="1"/>
  <c r="AR327" i="1"/>
  <c r="AR330" i="1"/>
  <c r="AR265" i="1"/>
  <c r="AR39" i="1"/>
  <c r="AQ128" i="1"/>
  <c r="AP128" i="1"/>
  <c r="AQ288" i="1"/>
  <c r="AP288" i="1"/>
  <c r="AQ172" i="1"/>
  <c r="AP172" i="1"/>
  <c r="AQ331" i="1"/>
  <c r="AP331" i="1"/>
  <c r="AQ173" i="1"/>
  <c r="AQ11" i="1"/>
  <c r="AP173" i="1"/>
  <c r="AQ162" i="1"/>
  <c r="AQ29" i="1"/>
  <c r="AP29" i="1"/>
  <c r="AP162" i="1"/>
  <c r="AQ80" i="1"/>
  <c r="AQ124" i="1"/>
  <c r="AQ78" i="1"/>
  <c r="AP78" i="1"/>
  <c r="AQ219" i="1"/>
  <c r="AP219" i="1"/>
  <c r="AQ150" i="1"/>
  <c r="AP150" i="1"/>
  <c r="AQ280" i="1"/>
  <c r="AP280" i="1"/>
  <c r="AQ237" i="1"/>
  <c r="AP237" i="1"/>
  <c r="AQ333" i="1"/>
  <c r="AP333" i="1"/>
  <c r="AQ72" i="1"/>
  <c r="AQ7" i="1"/>
  <c r="AP72" i="1"/>
  <c r="AP7" i="1"/>
  <c r="AQ160" i="1"/>
  <c r="AP160" i="1"/>
  <c r="AQ299" i="1"/>
  <c r="AP299" i="1"/>
  <c r="AQ14" i="1"/>
  <c r="AP14" i="1"/>
  <c r="AQ227" i="1"/>
  <c r="AP227" i="1"/>
  <c r="AQ287" i="1"/>
  <c r="AQ159" i="1"/>
  <c r="AP159" i="1"/>
  <c r="AQ74" i="1"/>
  <c r="AQ40" i="1"/>
  <c r="AP40" i="1"/>
  <c r="AQ365" i="1"/>
  <c r="AP365" i="1"/>
  <c r="Y324" i="1"/>
  <c r="AP411" i="1"/>
  <c r="AQ411" i="1"/>
  <c r="AQ289" i="1"/>
  <c r="AP289" i="1"/>
  <c r="AQ328" i="1"/>
  <c r="AP328" i="1"/>
  <c r="AQ50" i="1"/>
  <c r="AP50" i="1"/>
  <c r="AP101" i="1"/>
  <c r="AQ101" i="1"/>
  <c r="AQ56" i="1"/>
  <c r="AP56" i="1"/>
  <c r="AQ55" i="1"/>
  <c r="AP55" i="1"/>
  <c r="Y322" i="1"/>
  <c r="AQ318" i="1"/>
  <c r="AQ142" i="1"/>
  <c r="AP142" i="1"/>
  <c r="AQ171" i="1"/>
  <c r="AQ141" i="1"/>
  <c r="AQ140" i="1"/>
  <c r="AQ152" i="1"/>
  <c r="AP140" i="1"/>
  <c r="AQ229" i="1"/>
  <c r="AP229" i="1"/>
  <c r="AQ336" i="1"/>
  <c r="AQ95" i="1"/>
  <c r="AP95" i="1"/>
  <c r="AQ298" i="1"/>
  <c r="AP298" i="1"/>
  <c r="AQ143" i="1"/>
  <c r="AP143" i="1"/>
  <c r="AQ291" i="1"/>
  <c r="AP291" i="1"/>
  <c r="AQ169" i="1"/>
  <c r="AP169" i="1"/>
  <c r="AQ257" i="1"/>
  <c r="AP257" i="1"/>
  <c r="AP308" i="1"/>
  <c r="AQ308" i="1"/>
  <c r="AQ110" i="1"/>
  <c r="AQ175" i="1"/>
  <c r="AQ75" i="1"/>
  <c r="AP75" i="1"/>
  <c r="AQ37" i="1"/>
  <c r="AP37" i="1"/>
  <c r="AQ79" i="1"/>
  <c r="AP79" i="1"/>
  <c r="AQ200" i="1"/>
  <c r="AQ19" i="1"/>
  <c r="AP19" i="1"/>
  <c r="AQ207" i="1"/>
  <c r="AP207" i="1"/>
  <c r="AQ407" i="1"/>
  <c r="AQ176" i="1"/>
  <c r="AP176" i="1"/>
  <c r="AQ312" i="1"/>
  <c r="AQ264" i="1"/>
  <c r="AP264" i="1"/>
  <c r="AQ313" i="1"/>
  <c r="AQ105" i="1"/>
  <c r="AP105" i="1"/>
  <c r="AQ262" i="1"/>
  <c r="AP262" i="1"/>
  <c r="AQ57" i="1"/>
  <c r="AQ260" i="1"/>
  <c r="AP260" i="1"/>
  <c r="AQ311" i="1"/>
  <c r="AQ231" i="1"/>
  <c r="AP231" i="1"/>
  <c r="AQ261" i="1"/>
  <c r="AP261" i="1"/>
  <c r="AQ286" i="1"/>
  <c r="AQ93" i="1"/>
  <c r="AP93" i="1"/>
  <c r="AQ146" i="1"/>
  <c r="AP146" i="1"/>
  <c r="AQ193" i="1"/>
  <c r="AQ92" i="1"/>
  <c r="AP92" i="1"/>
  <c r="AQ123" i="1"/>
  <c r="AQ268" i="1"/>
  <c r="AP268" i="1"/>
  <c r="AQ113" i="1"/>
  <c r="AQ255" i="1"/>
  <c r="AP255" i="1"/>
  <c r="AQ360" i="1"/>
  <c r="AP360" i="1"/>
  <c r="AQ250" i="1"/>
  <c r="AP250" i="1"/>
  <c r="AQ183" i="1"/>
  <c r="AQ111" i="1"/>
  <c r="AP111" i="1"/>
  <c r="AQ410" i="1"/>
  <c r="AP410" i="1"/>
  <c r="AQ415" i="1"/>
  <c r="AQ414" i="1"/>
  <c r="AP414" i="1"/>
  <c r="AQ295" i="1"/>
  <c r="AP295" i="1"/>
  <c r="AQ138" i="1"/>
  <c r="AP138" i="1"/>
  <c r="AQ300" i="1"/>
  <c r="AQ278" i="1"/>
  <c r="AP278" i="1"/>
  <c r="AQ294" i="1"/>
  <c r="AQ87" i="1"/>
  <c r="AQ259" i="1"/>
  <c r="AQ417" i="1"/>
  <c r="AQ403" i="1"/>
  <c r="AP403" i="1"/>
  <c r="AQ317" i="1"/>
  <c r="AQ362" i="1"/>
  <c r="AP362" i="1"/>
  <c r="AQ129" i="1"/>
  <c r="AP129" i="1"/>
  <c r="AQ247" i="1"/>
  <c r="AQ266" i="1"/>
  <c r="AQ242" i="1"/>
  <c r="AQ144" i="1"/>
  <c r="AP144" i="1"/>
  <c r="AQ241" i="1"/>
  <c r="AQ240" i="1"/>
  <c r="AQ82" i="1"/>
  <c r="AP82" i="1"/>
  <c r="AQ81" i="1"/>
  <c r="AQ339" i="1"/>
  <c r="AP339" i="1"/>
  <c r="AQ112" i="1"/>
  <c r="AP112" i="1"/>
  <c r="AQ116" i="1"/>
  <c r="AQ292" i="1"/>
  <c r="AQ153" i="1"/>
  <c r="AP153" i="1"/>
  <c r="AQ139" i="1"/>
  <c r="AP139" i="1"/>
  <c r="AQ401" i="1"/>
  <c r="AQ168" i="1"/>
  <c r="AQ98" i="1"/>
  <c r="AP98" i="1"/>
  <c r="AP168" i="1"/>
  <c r="AQ271" i="1"/>
  <c r="AP271" i="1"/>
  <c r="AQ178" i="1"/>
  <c r="AQ258" i="1"/>
  <c r="AQ367" i="1"/>
  <c r="AP367" i="1"/>
  <c r="AQ416" i="1"/>
  <c r="AP416" i="1"/>
  <c r="AQ103" i="1"/>
  <c r="AP103" i="1"/>
  <c r="AQ85" i="1"/>
  <c r="AP85" i="1"/>
  <c r="AQ290" i="1"/>
  <c r="AP290" i="1"/>
  <c r="AQ202" i="1"/>
  <c r="AP202" i="1"/>
  <c r="AQ276" i="1"/>
  <c r="AP276" i="1"/>
  <c r="AQ408" i="1"/>
  <c r="AP408" i="1"/>
  <c r="AQ96" i="1"/>
  <c r="AP96" i="1"/>
  <c r="AQ366" i="1"/>
  <c r="AP366" i="1"/>
  <c r="AQ306" i="1"/>
  <c r="AP306" i="1"/>
  <c r="AQ198" i="1"/>
  <c r="AQ301" i="1"/>
  <c r="AP301" i="1"/>
  <c r="AQ84" i="1"/>
  <c r="AP84" i="1"/>
  <c r="AQ88" i="1"/>
  <c r="AQ166" i="1"/>
  <c r="AP88" i="1"/>
  <c r="AQ404" i="1"/>
  <c r="AQ94" i="1"/>
  <c r="AP94" i="1"/>
  <c r="AQ181" i="1"/>
  <c r="AP181" i="1"/>
  <c r="AQ90" i="1"/>
  <c r="AQ180" i="1"/>
  <c r="AQ89" i="1"/>
  <c r="AP89" i="1"/>
  <c r="AQ304" i="1"/>
  <c r="AQ273" i="1"/>
  <c r="AQ165" i="1"/>
  <c r="AP273" i="1"/>
  <c r="AP165" i="1"/>
  <c r="AQ133" i="1"/>
  <c r="AP133" i="1"/>
  <c r="AQ284" i="1"/>
  <c r="AP284" i="1"/>
  <c r="AQ325" i="1"/>
  <c r="AP325" i="1"/>
  <c r="AQ100" i="1"/>
  <c r="AQ279" i="1"/>
  <c r="AQ323" i="1"/>
  <c r="AP323" i="1"/>
  <c r="AQ316" i="1"/>
  <c r="AQ326" i="1"/>
  <c r="AQ8" i="1"/>
  <c r="AP8" i="1"/>
  <c r="AQ125" i="1"/>
  <c r="AP125" i="1"/>
  <c r="AQ267" i="1"/>
  <c r="AP267" i="1"/>
  <c r="AQ191" i="1"/>
  <c r="AP191" i="1"/>
  <c r="AQ130" i="1"/>
  <c r="AS130" i="1" l="1"/>
  <c r="AU130" i="1"/>
  <c r="AS191" i="1"/>
  <c r="AU191" i="1"/>
  <c r="AV191" i="1" s="1"/>
  <c r="AS267" i="1"/>
  <c r="AT267" i="1" s="1"/>
  <c r="AU267" i="1"/>
  <c r="AV267" i="1" s="1"/>
  <c r="AS125" i="1"/>
  <c r="AT125" i="1" s="1"/>
  <c r="AU125" i="1"/>
  <c r="AV125" i="1" s="1"/>
  <c r="AS8" i="1"/>
  <c r="AT8" i="1" s="1"/>
  <c r="AU8" i="1"/>
  <c r="AV8" i="1" s="1"/>
  <c r="AS279" i="1"/>
  <c r="AU279" i="1"/>
  <c r="AV279" i="1" s="1"/>
  <c r="AS100" i="1"/>
  <c r="AT100" i="1" s="1"/>
  <c r="AU100" i="1"/>
  <c r="AV100" i="1" s="1"/>
  <c r="AS284" i="1"/>
  <c r="AT284" i="1" s="1"/>
  <c r="AU284" i="1"/>
  <c r="AV284" i="1" s="1"/>
  <c r="AS133" i="1"/>
  <c r="AT133" i="1" s="1"/>
  <c r="AU133" i="1"/>
  <c r="AS273" i="1"/>
  <c r="AU273" i="1"/>
  <c r="AS304" i="1"/>
  <c r="AT304" i="1" s="1"/>
  <c r="AU304" i="1"/>
  <c r="AV304" i="1" s="1"/>
  <c r="AS89" i="1"/>
  <c r="AT89" i="1" s="1"/>
  <c r="AU89" i="1"/>
  <c r="AV89" i="1" s="1"/>
  <c r="AS90" i="1"/>
  <c r="AU90" i="1"/>
  <c r="AV90" i="1" s="1"/>
  <c r="AS94" i="1"/>
  <c r="AU94" i="1"/>
  <c r="AS88" i="1"/>
  <c r="AT88" i="1" s="1"/>
  <c r="AU88" i="1"/>
  <c r="AV88" i="1" s="1"/>
  <c r="AS84" i="1"/>
  <c r="AT84" i="1" s="1"/>
  <c r="AU84" i="1"/>
  <c r="AV84" i="1" s="1"/>
  <c r="AS301" i="1"/>
  <c r="AT301" i="1" s="1"/>
  <c r="AU301" i="1"/>
  <c r="AS198" i="1"/>
  <c r="AU198" i="1"/>
  <c r="AS306" i="1"/>
  <c r="AT306" i="1" s="1"/>
  <c r="AU306" i="1"/>
  <c r="AV306" i="1" s="1"/>
  <c r="AS366" i="1"/>
  <c r="AU366" i="1"/>
  <c r="AV366" i="1" s="1"/>
  <c r="AS96" i="1"/>
  <c r="AT96" i="1" s="1"/>
  <c r="AU96" i="1"/>
  <c r="AS408" i="1"/>
  <c r="AU408" i="1"/>
  <c r="AS276" i="1"/>
  <c r="AT276" i="1" s="1"/>
  <c r="AU276" i="1"/>
  <c r="AV276" i="1" s="1"/>
  <c r="AS202" i="1"/>
  <c r="AT202" i="1" s="1"/>
  <c r="AU202" i="1"/>
  <c r="AV202" i="1" s="1"/>
  <c r="AS290" i="1"/>
  <c r="AT290" i="1" s="1"/>
  <c r="AU290" i="1"/>
  <c r="AV290" i="1" s="1"/>
  <c r="AS85" i="1"/>
  <c r="AU85" i="1"/>
  <c r="AV85" i="1" s="1"/>
  <c r="AS103" i="1"/>
  <c r="AT103" i="1" s="1"/>
  <c r="AU103" i="1"/>
  <c r="AV103" i="1" s="1"/>
  <c r="AS416" i="1"/>
  <c r="AU416" i="1"/>
  <c r="AV416" i="1" s="1"/>
  <c r="AS367" i="1"/>
  <c r="AT367" i="1" s="1"/>
  <c r="AU367" i="1"/>
  <c r="AS258" i="1"/>
  <c r="AU258" i="1"/>
  <c r="AS271" i="1"/>
  <c r="AT271" i="1" s="1"/>
  <c r="AU271" i="1"/>
  <c r="AS98" i="1"/>
  <c r="AT98" i="1" s="1"/>
  <c r="AU98" i="1"/>
  <c r="AV98" i="1" s="1"/>
  <c r="AS401" i="1"/>
  <c r="AU401" i="1"/>
  <c r="AV401" i="1" s="1"/>
  <c r="AS139" i="1"/>
  <c r="AU139" i="1"/>
  <c r="AS153" i="1"/>
  <c r="AT153" i="1" s="1"/>
  <c r="AU153" i="1"/>
  <c r="AV153" i="1" s="1"/>
  <c r="AS292" i="1"/>
  <c r="AT292" i="1" s="1"/>
  <c r="AU292" i="1"/>
  <c r="AV292" i="1" s="1"/>
  <c r="AS116" i="1"/>
  <c r="AT116" i="1" s="1"/>
  <c r="AU116" i="1"/>
  <c r="AV116" i="1" s="1"/>
  <c r="AS112" i="1"/>
  <c r="AU112" i="1"/>
  <c r="AS339" i="1"/>
  <c r="AT339" i="1" s="1"/>
  <c r="AU339" i="1"/>
  <c r="AV339" i="1" s="1"/>
  <c r="AS81" i="1"/>
  <c r="AU81" i="1"/>
  <c r="AV81" i="1" s="1"/>
  <c r="AS82" i="1"/>
  <c r="AU82" i="1"/>
  <c r="AV82" i="1" s="1"/>
  <c r="AS240" i="1"/>
  <c r="AT240" i="1" s="1"/>
  <c r="AU240" i="1"/>
  <c r="AS241" i="1"/>
  <c r="AT241" i="1" s="1"/>
  <c r="AU241" i="1"/>
  <c r="AV241" i="1" s="1"/>
  <c r="AS144" i="1"/>
  <c r="AU144" i="1"/>
  <c r="AV144" i="1" s="1"/>
  <c r="AS242" i="1"/>
  <c r="AU242" i="1"/>
  <c r="AV242" i="1" s="1"/>
  <c r="AS266" i="1"/>
  <c r="AT266" i="1" s="1"/>
  <c r="AU266" i="1"/>
  <c r="AV266" i="1" s="1"/>
  <c r="AS247" i="1"/>
  <c r="AT247" i="1" s="1"/>
  <c r="AU247" i="1"/>
  <c r="AV247" i="1" s="1"/>
  <c r="AS129" i="1"/>
  <c r="AT129" i="1" s="1"/>
  <c r="AU129" i="1"/>
  <c r="AV129" i="1" s="1"/>
  <c r="AS362" i="1"/>
  <c r="AU362" i="1"/>
  <c r="AV362" i="1" s="1"/>
  <c r="AS403" i="1"/>
  <c r="AT403" i="1" s="1"/>
  <c r="AU403" i="1"/>
  <c r="AS417" i="1"/>
  <c r="AT417" i="1" s="1"/>
  <c r="AU417" i="1"/>
  <c r="AV417" i="1" s="1"/>
  <c r="AS259" i="1"/>
  <c r="AT259" i="1" s="1"/>
  <c r="AU259" i="1"/>
  <c r="AV259" i="1" s="1"/>
  <c r="AS87" i="1"/>
  <c r="AT87" i="1" s="1"/>
  <c r="AU87" i="1"/>
  <c r="AV87" i="1" s="1"/>
  <c r="AS294" i="1"/>
  <c r="AU294" i="1"/>
  <c r="AV294" i="1" s="1"/>
  <c r="AS278" i="1"/>
  <c r="AT278" i="1" s="1"/>
  <c r="AU278" i="1"/>
  <c r="AV278" i="1" s="1"/>
  <c r="AS300" i="1"/>
  <c r="AT300" i="1" s="1"/>
  <c r="AU300" i="1"/>
  <c r="AV300" i="1" s="1"/>
  <c r="AS138" i="1"/>
  <c r="AT138" i="1" s="1"/>
  <c r="AU138" i="1"/>
  <c r="AS295" i="1"/>
  <c r="AU295" i="1"/>
  <c r="AV295" i="1" s="1"/>
  <c r="AS414" i="1"/>
  <c r="AT414" i="1" s="1"/>
  <c r="AU414" i="1"/>
  <c r="AS415" i="1"/>
  <c r="AT415" i="1" s="1"/>
  <c r="AU415" i="1"/>
  <c r="AS410" i="1"/>
  <c r="AU410" i="1"/>
  <c r="AV410" i="1" s="1"/>
  <c r="AS111" i="1"/>
  <c r="AU111" i="1"/>
  <c r="AV111" i="1" s="1"/>
  <c r="AS250" i="1"/>
  <c r="AT250" i="1" s="1"/>
  <c r="AU250" i="1"/>
  <c r="AV250" i="1" s="1"/>
  <c r="AS360" i="1"/>
  <c r="AT360" i="1" s="1"/>
  <c r="AU360" i="1"/>
  <c r="AV360" i="1" s="1"/>
  <c r="AS255" i="1"/>
  <c r="AU255" i="1"/>
  <c r="AV255" i="1" s="1"/>
  <c r="AS113" i="1"/>
  <c r="AU113" i="1"/>
  <c r="AS268" i="1"/>
  <c r="AT268" i="1" s="1"/>
  <c r="AU268" i="1"/>
  <c r="AV268" i="1" s="1"/>
  <c r="AS123" i="1"/>
  <c r="AT123" i="1" s="1"/>
  <c r="AU123" i="1"/>
  <c r="AV123" i="1" s="1"/>
  <c r="AS92" i="1"/>
  <c r="AU92" i="1"/>
  <c r="AV92" i="1" s="1"/>
  <c r="AS193" i="1"/>
  <c r="AU193" i="1"/>
  <c r="AV193" i="1" s="1"/>
  <c r="AS146" i="1"/>
  <c r="AT146" i="1" s="1"/>
  <c r="AU146" i="1"/>
  <c r="AV146" i="1" s="1"/>
  <c r="AS93" i="1"/>
  <c r="AT93" i="1" s="1"/>
  <c r="AU93" i="1"/>
  <c r="AV93" i="1" s="1"/>
  <c r="AS286" i="1"/>
  <c r="AU286" i="1"/>
  <c r="AV286" i="1" s="1"/>
  <c r="AS261" i="1"/>
  <c r="AT261" i="1" s="1"/>
  <c r="AU261" i="1"/>
  <c r="AS231" i="1"/>
  <c r="AT231" i="1" s="1"/>
  <c r="AU231" i="1"/>
  <c r="AS260" i="1"/>
  <c r="AT260" i="1" s="1"/>
  <c r="AU260" i="1"/>
  <c r="AV260" i="1" s="1"/>
  <c r="AS262" i="1"/>
  <c r="AU262" i="1"/>
  <c r="AS105" i="1"/>
  <c r="AT105" i="1" s="1"/>
  <c r="AU105" i="1"/>
  <c r="AV105" i="1" s="1"/>
  <c r="AS264" i="1"/>
  <c r="AT264" i="1" s="1"/>
  <c r="AU264" i="1"/>
  <c r="AV264" i="1" s="1"/>
  <c r="AS407" i="1"/>
  <c r="AU407" i="1"/>
  <c r="AS207" i="1"/>
  <c r="AT207" i="1" s="1"/>
  <c r="AU207" i="1"/>
  <c r="AV207" i="1" s="1"/>
  <c r="AS19" i="1"/>
  <c r="AU19" i="1"/>
  <c r="AS200" i="1"/>
  <c r="AT200" i="1" s="1"/>
  <c r="AU200" i="1"/>
  <c r="AV200" i="1" s="1"/>
  <c r="AS79" i="1"/>
  <c r="AT79" i="1" s="1"/>
  <c r="AU79" i="1"/>
  <c r="AV79" i="1" s="1"/>
  <c r="AS37" i="1"/>
  <c r="AU37" i="1"/>
  <c r="AV37" i="1" s="1"/>
  <c r="AS75" i="1"/>
  <c r="AU75" i="1"/>
  <c r="AS110" i="1"/>
  <c r="AT110" i="1" s="1"/>
  <c r="AU110" i="1"/>
  <c r="AV110" i="1" s="1"/>
  <c r="AS308" i="1"/>
  <c r="AT308" i="1" s="1"/>
  <c r="AU308" i="1"/>
  <c r="AS257" i="1"/>
  <c r="AT257" i="1" s="1"/>
  <c r="AU257" i="1"/>
  <c r="AV257" i="1" s="1"/>
  <c r="AS291" i="1"/>
  <c r="AU291" i="1"/>
  <c r="AS143" i="1"/>
  <c r="AT143" i="1" s="1"/>
  <c r="AU143" i="1"/>
  <c r="AV143" i="1" s="1"/>
  <c r="AS298" i="1"/>
  <c r="AT298" i="1" s="1"/>
  <c r="AU298" i="1"/>
  <c r="AV298" i="1" s="1"/>
  <c r="AS95" i="1"/>
  <c r="AT95" i="1" s="1"/>
  <c r="AU95" i="1"/>
  <c r="AV95" i="1" s="1"/>
  <c r="AS336" i="1"/>
  <c r="AU336" i="1"/>
  <c r="AS229" i="1"/>
  <c r="AT229" i="1" s="1"/>
  <c r="AU229" i="1"/>
  <c r="AV229" i="1" s="1"/>
  <c r="AS152" i="1"/>
  <c r="AT152" i="1" s="1"/>
  <c r="AU152" i="1"/>
  <c r="AV152" i="1" s="1"/>
  <c r="AS140" i="1"/>
  <c r="AT140" i="1" s="1"/>
  <c r="AU140" i="1"/>
  <c r="AV140" i="1" s="1"/>
  <c r="AS141" i="1"/>
  <c r="AU141" i="1"/>
  <c r="AV141" i="1" s="1"/>
  <c r="AS142" i="1"/>
  <c r="AT142" i="1" s="1"/>
  <c r="AU142" i="1"/>
  <c r="AV142" i="1" s="1"/>
  <c r="AS55" i="1"/>
  <c r="AU55" i="1"/>
  <c r="AV55" i="1" s="1"/>
  <c r="AS56" i="1"/>
  <c r="AT56" i="1" s="1"/>
  <c r="AU56" i="1"/>
  <c r="AV56" i="1" s="1"/>
  <c r="AS101" i="1"/>
  <c r="AT101" i="1" s="1"/>
  <c r="AU101" i="1"/>
  <c r="AV101" i="1" s="1"/>
  <c r="AS50" i="1"/>
  <c r="AT50" i="1" s="1"/>
  <c r="AU50" i="1"/>
  <c r="AV50" i="1" s="1"/>
  <c r="AS289" i="1"/>
  <c r="AT289" i="1" s="1"/>
  <c r="AU289" i="1"/>
  <c r="AV289" i="1" s="1"/>
  <c r="AS411" i="1"/>
  <c r="AU411" i="1"/>
  <c r="AV411" i="1" s="1"/>
  <c r="AS365" i="1"/>
  <c r="AU365" i="1"/>
  <c r="AS40" i="1"/>
  <c r="AT40" i="1" s="1"/>
  <c r="AU40" i="1"/>
  <c r="AV40" i="1" s="1"/>
  <c r="AS74" i="1"/>
  <c r="AT74" i="1" s="1"/>
  <c r="AU74" i="1"/>
  <c r="AV74" i="1" s="1"/>
  <c r="AS159" i="1"/>
  <c r="AT159" i="1" s="1"/>
  <c r="AU159" i="1"/>
  <c r="AV159" i="1" s="1"/>
  <c r="AS287" i="1"/>
  <c r="AU287" i="1"/>
  <c r="AS227" i="1"/>
  <c r="AT227" i="1" s="1"/>
  <c r="AU227" i="1"/>
  <c r="AV227" i="1" s="1"/>
  <c r="AS14" i="1"/>
  <c r="AT14" i="1" s="1"/>
  <c r="AU14" i="1"/>
  <c r="AV14" i="1" s="1"/>
  <c r="AS299" i="1"/>
  <c r="AU299" i="1"/>
  <c r="AS160" i="1"/>
  <c r="AT160" i="1" s="1"/>
  <c r="AU160" i="1"/>
  <c r="AV160" i="1" s="1"/>
  <c r="AS7" i="1"/>
  <c r="AT7" i="1" s="1"/>
  <c r="AU7" i="1"/>
  <c r="AV7" i="1" s="1"/>
  <c r="AS72" i="1"/>
  <c r="AT72" i="1" s="1"/>
  <c r="AU72" i="1"/>
  <c r="AV72" i="1" s="1"/>
  <c r="AS333" i="1"/>
  <c r="AU333" i="1"/>
  <c r="AV333" i="1" s="1"/>
  <c r="AS237" i="1"/>
  <c r="AT237" i="1" s="1"/>
  <c r="AU237" i="1"/>
  <c r="AV237" i="1" s="1"/>
  <c r="AS280" i="1"/>
  <c r="AT280" i="1" s="1"/>
  <c r="AU280" i="1"/>
  <c r="AV280" i="1" s="1"/>
  <c r="AS150" i="1"/>
  <c r="AT150" i="1" s="1"/>
  <c r="AU150" i="1"/>
  <c r="AS219" i="1"/>
  <c r="AT219" i="1" s="1"/>
  <c r="AU219" i="1"/>
  <c r="AV219" i="1" s="1"/>
  <c r="AS78" i="1"/>
  <c r="AU78" i="1"/>
  <c r="AV78" i="1" s="1"/>
  <c r="AS124" i="1"/>
  <c r="AT124" i="1" s="1"/>
  <c r="AU124" i="1"/>
  <c r="AV124" i="1" s="1"/>
  <c r="AS80" i="1"/>
  <c r="AU80" i="1"/>
  <c r="AV80" i="1" s="1"/>
  <c r="AS29" i="1"/>
  <c r="AT29" i="1" s="1"/>
  <c r="AU29" i="1"/>
  <c r="AV29" i="1" s="1"/>
  <c r="AS162" i="1"/>
  <c r="AU162" i="1"/>
  <c r="AV162" i="1" s="1"/>
  <c r="AS11" i="1"/>
  <c r="AT11" i="1" s="1"/>
  <c r="AU11" i="1"/>
  <c r="AV11" i="1" s="1"/>
  <c r="AS331" i="1"/>
  <c r="AT331" i="1" s="1"/>
  <c r="AU331" i="1"/>
  <c r="AS288" i="1"/>
  <c r="AT288" i="1" s="1"/>
  <c r="AU288" i="1"/>
  <c r="AV288" i="1" s="1"/>
  <c r="AS128" i="1"/>
  <c r="AU128" i="1"/>
  <c r="AS326" i="1"/>
  <c r="AT326" i="1" s="1"/>
  <c r="AS316" i="1"/>
  <c r="AT316" i="1" s="1"/>
  <c r="AS323" i="1"/>
  <c r="AT323" i="1" s="1"/>
  <c r="AU325" i="1"/>
  <c r="AV325" i="1" s="1"/>
  <c r="AS325" i="1"/>
  <c r="AT325" i="1" s="1"/>
  <c r="AV133" i="1"/>
  <c r="AU165" i="1"/>
  <c r="AV165" i="1" s="1"/>
  <c r="AS165" i="1"/>
  <c r="AU180" i="1"/>
  <c r="AV180" i="1" s="1"/>
  <c r="AS180" i="1"/>
  <c r="AT180" i="1" s="1"/>
  <c r="AU181" i="1"/>
  <c r="AV181" i="1" s="1"/>
  <c r="AS181" i="1"/>
  <c r="AT181" i="1" s="1"/>
  <c r="AT94" i="1"/>
  <c r="AU404" i="1"/>
  <c r="AS404" i="1"/>
  <c r="AU166" i="1"/>
  <c r="AS166" i="1"/>
  <c r="AT166" i="1" s="1"/>
  <c r="AT408" i="1"/>
  <c r="AT85" i="1"/>
  <c r="AV258" i="1"/>
  <c r="AT258" i="1"/>
  <c r="AU178" i="1"/>
  <c r="AV178" i="1" s="1"/>
  <c r="AS178" i="1"/>
  <c r="AT178" i="1" s="1"/>
  <c r="AU168" i="1"/>
  <c r="AV168" i="1" s="1"/>
  <c r="AS168" i="1"/>
  <c r="AT401" i="1"/>
  <c r="AV112" i="1"/>
  <c r="AT112" i="1"/>
  <c r="AT82" i="1"/>
  <c r="AU317" i="1"/>
  <c r="AV317" i="1" s="1"/>
  <c r="AS317" i="1"/>
  <c r="AT317" i="1" s="1"/>
  <c r="AV403" i="1"/>
  <c r="AT294" i="1"/>
  <c r="AV138" i="1"/>
  <c r="AT410" i="1"/>
  <c r="AU183" i="1"/>
  <c r="AV183" i="1" s="1"/>
  <c r="AS183" i="1"/>
  <c r="AT183" i="1" s="1"/>
  <c r="AT113" i="1"/>
  <c r="AV231" i="1"/>
  <c r="AU311" i="1"/>
  <c r="AV311" i="1" s="1"/>
  <c r="AS311" i="1"/>
  <c r="AT311" i="1" s="1"/>
  <c r="AU57" i="1"/>
  <c r="AV57" i="1" s="1"/>
  <c r="AS57" i="1"/>
  <c r="AT57" i="1" s="1"/>
  <c r="AU313" i="1"/>
  <c r="AV313" i="1" s="1"/>
  <c r="AS313" i="1"/>
  <c r="AU312" i="1"/>
  <c r="AV312" i="1" s="1"/>
  <c r="AS312" i="1"/>
  <c r="AU176" i="1"/>
  <c r="AS176" i="1"/>
  <c r="AT176" i="1" s="1"/>
  <c r="AV407" i="1"/>
  <c r="AT407" i="1"/>
  <c r="AV75" i="1"/>
  <c r="AU175" i="1"/>
  <c r="AS175" i="1"/>
  <c r="AT175" i="1" s="1"/>
  <c r="AU169" i="1"/>
  <c r="AV169" i="1" s="1"/>
  <c r="AS169" i="1"/>
  <c r="AT169" i="1" s="1"/>
  <c r="AV291" i="1"/>
  <c r="AV336" i="1"/>
  <c r="AU171" i="1"/>
  <c r="AV171" i="1" s="1"/>
  <c r="AS171" i="1"/>
  <c r="AT171" i="1" s="1"/>
  <c r="AU318" i="1"/>
  <c r="AV318" i="1" s="1"/>
  <c r="AS318" i="1"/>
  <c r="AT318" i="1" s="1"/>
  <c r="AU328" i="1"/>
  <c r="AV328" i="1" s="1"/>
  <c r="AS328" i="1"/>
  <c r="AT328" i="1" s="1"/>
  <c r="AT411" i="1"/>
  <c r="AT365" i="1"/>
  <c r="AV287" i="1"/>
  <c r="AT287" i="1"/>
  <c r="AT333" i="1"/>
  <c r="AV150" i="1"/>
  <c r="AT78" i="1"/>
  <c r="AT80" i="1"/>
  <c r="AT162" i="1"/>
  <c r="AU173" i="1"/>
  <c r="AV173" i="1" s="1"/>
  <c r="AS173" i="1"/>
  <c r="AT173" i="1" s="1"/>
  <c r="AV331" i="1"/>
  <c r="AU172" i="1"/>
  <c r="AV172" i="1" s="1"/>
  <c r="AS172" i="1"/>
  <c r="AT172" i="1" s="1"/>
  <c r="AV128" i="1"/>
  <c r="AV130" i="1"/>
  <c r="AU326" i="1"/>
  <c r="AV326" i="1" s="1"/>
  <c r="AU316" i="1"/>
  <c r="AV316" i="1" s="1"/>
  <c r="AV404" i="1"/>
  <c r="AV166" i="1"/>
  <c r="AV198" i="1"/>
  <c r="AV240" i="1"/>
  <c r="AV415" i="1"/>
  <c r="AV113" i="1"/>
  <c r="AV269" i="1"/>
  <c r="AV412" i="1"/>
  <c r="AV175" i="1"/>
  <c r="AT191" i="1"/>
  <c r="AU323" i="1"/>
  <c r="AV323" i="1" s="1"/>
  <c r="AT165" i="1"/>
  <c r="AT273" i="1"/>
  <c r="AV273" i="1"/>
  <c r="AV94" i="1"/>
  <c r="AV301" i="1"/>
  <c r="AT366" i="1"/>
  <c r="AV96" i="1"/>
  <c r="AV408" i="1"/>
  <c r="AT416" i="1"/>
  <c r="AV367" i="1"/>
  <c r="AV271" i="1"/>
  <c r="AT168" i="1"/>
  <c r="AT139" i="1"/>
  <c r="AV139" i="1"/>
  <c r="AT362" i="1"/>
  <c r="AT295" i="1"/>
  <c r="AV414" i="1"/>
  <c r="AT111" i="1"/>
  <c r="AT255" i="1"/>
  <c r="AT92" i="1"/>
  <c r="AV261" i="1"/>
  <c r="AT262" i="1"/>
  <c r="AV262" i="1"/>
  <c r="AV176" i="1"/>
  <c r="AT19" i="1"/>
  <c r="AV19" i="1"/>
  <c r="AT37" i="1"/>
  <c r="AT75" i="1"/>
  <c r="AV308" i="1"/>
  <c r="AT291" i="1"/>
  <c r="AT55" i="1"/>
  <c r="AV365" i="1"/>
  <c r="AT299" i="1"/>
  <c r="AV299" i="1"/>
  <c r="AT128" i="1"/>
  <c r="AR130" i="1"/>
  <c r="AT130" i="1"/>
  <c r="AR326" i="1"/>
  <c r="AR316" i="1"/>
  <c r="AR279" i="1"/>
  <c r="AT279" i="1"/>
  <c r="AR100" i="1"/>
  <c r="AR304" i="1"/>
  <c r="AR180" i="1"/>
  <c r="AR90" i="1"/>
  <c r="AT90" i="1"/>
  <c r="AR404" i="1"/>
  <c r="AT404" i="1"/>
  <c r="AR166" i="1"/>
  <c r="AR198" i="1"/>
  <c r="AT198" i="1"/>
  <c r="AR258" i="1"/>
  <c r="AR178" i="1"/>
  <c r="AR401" i="1"/>
  <c r="AR292" i="1"/>
  <c r="AR116" i="1"/>
  <c r="AR81" i="1"/>
  <c r="AT81" i="1"/>
  <c r="AR240" i="1"/>
  <c r="AR241" i="1"/>
  <c r="AR242" i="1"/>
  <c r="AT242" i="1"/>
  <c r="AR266" i="1"/>
  <c r="AR247" i="1"/>
  <c r="AR317" i="1"/>
  <c r="AR417" i="1"/>
  <c r="AR259" i="1"/>
  <c r="AR87" i="1"/>
  <c r="AR294" i="1"/>
  <c r="AR300" i="1"/>
  <c r="AR415" i="1"/>
  <c r="AR183" i="1"/>
  <c r="AR113" i="1"/>
  <c r="AR269" i="1"/>
  <c r="AT269" i="1"/>
  <c r="AR123" i="1"/>
  <c r="AR193" i="1"/>
  <c r="AT193" i="1"/>
  <c r="AR412" i="1"/>
  <c r="AT412" i="1"/>
  <c r="AR286" i="1"/>
  <c r="AT286" i="1"/>
  <c r="AR311" i="1"/>
  <c r="AR57" i="1"/>
  <c r="AR313" i="1"/>
  <c r="AT313" i="1"/>
  <c r="AR312" i="1"/>
  <c r="AT312" i="1"/>
  <c r="AR407" i="1"/>
  <c r="AR200" i="1"/>
  <c r="AR175" i="1"/>
  <c r="AR110" i="1"/>
  <c r="AR336" i="1"/>
  <c r="AT336" i="1"/>
  <c r="AR152" i="1"/>
  <c r="AR141" i="1"/>
  <c r="AT141" i="1"/>
  <c r="AR171" i="1"/>
  <c r="AR318" i="1"/>
  <c r="AR74" i="1"/>
  <c r="AR287" i="1"/>
  <c r="AR124" i="1"/>
  <c r="AR80" i="1"/>
  <c r="AR11" i="1"/>
  <c r="AR101" i="1"/>
  <c r="AR308" i="1"/>
  <c r="AR411" i="1"/>
  <c r="AR191" i="1"/>
  <c r="AR267" i="1"/>
  <c r="AR125" i="1"/>
  <c r="AR8" i="1"/>
  <c r="AR323" i="1"/>
  <c r="AR325" i="1"/>
  <c r="AR284" i="1"/>
  <c r="AR133" i="1"/>
  <c r="AR165" i="1"/>
  <c r="AR273" i="1"/>
  <c r="AR89" i="1"/>
  <c r="AR181" i="1"/>
  <c r="AR94" i="1"/>
  <c r="AR88" i="1"/>
  <c r="AR84" i="1"/>
  <c r="AR301" i="1"/>
  <c r="AR306" i="1"/>
  <c r="AR366" i="1"/>
  <c r="AR96" i="1"/>
  <c r="AR408" i="1"/>
  <c r="AR276" i="1"/>
  <c r="AR202" i="1"/>
  <c r="AR290" i="1"/>
  <c r="AR85" i="1"/>
  <c r="AR103" i="1"/>
  <c r="AR416" i="1"/>
  <c r="AR367" i="1"/>
  <c r="AR271" i="1"/>
  <c r="AR98" i="1"/>
  <c r="AR168" i="1"/>
  <c r="AR139" i="1"/>
  <c r="AR153" i="1"/>
  <c r="AR112" i="1"/>
  <c r="AR339" i="1"/>
  <c r="AR82" i="1"/>
  <c r="AR144" i="1"/>
  <c r="AR129" i="1"/>
  <c r="AR362" i="1"/>
  <c r="AR403" i="1"/>
  <c r="AR278" i="1"/>
  <c r="AR138" i="1"/>
  <c r="AR295" i="1"/>
  <c r="AR414" i="1"/>
  <c r="AR410" i="1"/>
  <c r="AR111" i="1"/>
  <c r="AR250" i="1"/>
  <c r="AR360" i="1"/>
  <c r="AR255" i="1"/>
  <c r="AR268" i="1"/>
  <c r="AR92" i="1"/>
  <c r="AR146" i="1"/>
  <c r="AR93" i="1"/>
  <c r="AR261" i="1"/>
  <c r="AR231" i="1"/>
  <c r="AR260" i="1"/>
  <c r="AR262" i="1"/>
  <c r="AR105" i="1"/>
  <c r="AR264" i="1"/>
  <c r="AR176" i="1"/>
  <c r="AR207" i="1"/>
  <c r="AR19" i="1"/>
  <c r="AR79" i="1"/>
  <c r="AR37" i="1"/>
  <c r="AR75" i="1"/>
  <c r="AR257" i="1"/>
  <c r="AR169" i="1"/>
  <c r="AR291" i="1"/>
  <c r="AR143" i="1"/>
  <c r="AR298" i="1"/>
  <c r="AR95" i="1"/>
  <c r="AR229" i="1"/>
  <c r="AR140" i="1"/>
  <c r="AR142" i="1"/>
  <c r="AR55" i="1"/>
  <c r="AR56" i="1"/>
  <c r="AR50" i="1"/>
  <c r="AR328" i="1"/>
  <c r="AR289" i="1"/>
  <c r="AR365" i="1"/>
  <c r="AR40" i="1"/>
  <c r="AR159" i="1"/>
  <c r="AR227" i="1"/>
  <c r="AR14" i="1"/>
  <c r="AR299" i="1"/>
  <c r="AR160" i="1"/>
  <c r="AR7" i="1"/>
  <c r="AR72" i="1"/>
  <c r="AR333" i="1"/>
  <c r="AR237" i="1"/>
  <c r="AR280" i="1"/>
  <c r="AR150" i="1"/>
  <c r="AR219" i="1"/>
  <c r="AR78" i="1"/>
  <c r="AR29" i="1"/>
  <c r="AR162" i="1"/>
  <c r="AR173" i="1"/>
  <c r="AR331" i="1"/>
  <c r="AR172" i="1"/>
  <c r="AR288" i="1"/>
  <c r="AR128" i="1"/>
  <c r="AQ297" i="1"/>
  <c r="AP297" i="1"/>
  <c r="AQ9" i="1"/>
  <c r="AP9" i="1"/>
  <c r="AQ4" i="1"/>
  <c r="AP4" i="1"/>
  <c r="AQ108" i="1"/>
  <c r="AP108" i="1"/>
  <c r="AQ61" i="1"/>
  <c r="AQ234" i="1"/>
  <c r="AP234" i="1"/>
  <c r="AQ15" i="1"/>
  <c r="AQ372" i="1"/>
  <c r="AP372" i="1"/>
  <c r="AQ18" i="1"/>
  <c r="AP18" i="1"/>
  <c r="AQ154" i="1"/>
  <c r="AQ30" i="1"/>
  <c r="AQ52" i="1"/>
  <c r="AP52" i="1"/>
  <c r="AQ41" i="1"/>
  <c r="AQ24" i="1"/>
  <c r="AP24" i="1"/>
  <c r="AQ197" i="1"/>
  <c r="AQ251" i="1"/>
  <c r="AP251" i="1"/>
  <c r="AQ379" i="1"/>
  <c r="AP379" i="1"/>
  <c r="AQ215" i="1"/>
  <c r="AQ332" i="1"/>
  <c r="AQ303" i="1"/>
  <c r="AP303" i="1"/>
  <c r="AQ54" i="1"/>
  <c r="AP54" i="1"/>
  <c r="AQ249" i="1"/>
  <c r="AQ157" i="1"/>
  <c r="AP157" i="1"/>
  <c r="AP51" i="1"/>
  <c r="AP361" i="1"/>
  <c r="AQ51" i="1"/>
  <c r="AQ361" i="1"/>
  <c r="AS361" i="1" l="1"/>
  <c r="AT361" i="1" s="1"/>
  <c r="AU361" i="1"/>
  <c r="AV361" i="1" s="1"/>
  <c r="AS51" i="1"/>
  <c r="AU51" i="1"/>
  <c r="AS157" i="1"/>
  <c r="AT157" i="1" s="1"/>
  <c r="AU157" i="1"/>
  <c r="AV157" i="1" s="1"/>
  <c r="AS249" i="1"/>
  <c r="AT249" i="1" s="1"/>
  <c r="AU249" i="1"/>
  <c r="AV249" i="1" s="1"/>
  <c r="AS54" i="1"/>
  <c r="AT54" i="1" s="1"/>
  <c r="AU54" i="1"/>
  <c r="AV54" i="1" s="1"/>
  <c r="AS303" i="1"/>
  <c r="AU303" i="1"/>
  <c r="AV303" i="1" s="1"/>
  <c r="AS215" i="1"/>
  <c r="AT215" i="1" s="1"/>
  <c r="AU215" i="1"/>
  <c r="AV215" i="1" s="1"/>
  <c r="AS379" i="1"/>
  <c r="AT379" i="1" s="1"/>
  <c r="AU379" i="1"/>
  <c r="AV379" i="1" s="1"/>
  <c r="AS251" i="1"/>
  <c r="AT251" i="1" s="1"/>
  <c r="AU251" i="1"/>
  <c r="AS197" i="1"/>
  <c r="AU197" i="1"/>
  <c r="AS24" i="1"/>
  <c r="AT24" i="1" s="1"/>
  <c r="AU24" i="1"/>
  <c r="AV24" i="1" s="1"/>
  <c r="AS41" i="1"/>
  <c r="AT41" i="1" s="1"/>
  <c r="AU41" i="1"/>
  <c r="AV41" i="1" s="1"/>
  <c r="AS52" i="1"/>
  <c r="AT52" i="1" s="1"/>
  <c r="AU52" i="1"/>
  <c r="AV52" i="1" s="1"/>
  <c r="AS30" i="1"/>
  <c r="AU30" i="1"/>
  <c r="AS154" i="1"/>
  <c r="AU154" i="1"/>
  <c r="AV154" i="1" s="1"/>
  <c r="AS18" i="1"/>
  <c r="AT18" i="1" s="1"/>
  <c r="AU18" i="1"/>
  <c r="AV18" i="1" s="1"/>
  <c r="AS372" i="1"/>
  <c r="AT372" i="1" s="1"/>
  <c r="AU372" i="1"/>
  <c r="AV372" i="1" s="1"/>
  <c r="AS15" i="1"/>
  <c r="AT15" i="1" s="1"/>
  <c r="AU15" i="1"/>
  <c r="AS234" i="1"/>
  <c r="AT234" i="1" s="1"/>
  <c r="AU234" i="1"/>
  <c r="AV234" i="1" s="1"/>
  <c r="AS108" i="1"/>
  <c r="AT108" i="1" s="1"/>
  <c r="AU108" i="1"/>
  <c r="AV108" i="1" s="1"/>
  <c r="AS4" i="1"/>
  <c r="AT4" i="1" s="1"/>
  <c r="AU4" i="1"/>
  <c r="AV4" i="1" s="1"/>
  <c r="AS9" i="1"/>
  <c r="AT9" i="1" s="1"/>
  <c r="AU9" i="1"/>
  <c r="AS297" i="1"/>
  <c r="AT297" i="1" s="1"/>
  <c r="AU297" i="1"/>
  <c r="AV51" i="1"/>
  <c r="AT51" i="1"/>
  <c r="AU332" i="1"/>
  <c r="AV332" i="1" s="1"/>
  <c r="AS332" i="1"/>
  <c r="AT332" i="1" s="1"/>
  <c r="AV251" i="1"/>
  <c r="AV30" i="1"/>
  <c r="AT154" i="1"/>
  <c r="AV15" i="1"/>
  <c r="AU61" i="1"/>
  <c r="AV61" i="1" s="1"/>
  <c r="AS61" i="1"/>
  <c r="AV373" i="1"/>
  <c r="AV126" i="1"/>
  <c r="AV189" i="1"/>
  <c r="AV156" i="1"/>
  <c r="AV391" i="1"/>
  <c r="AV197" i="1"/>
  <c r="AU274" i="1"/>
  <c r="AV274" i="1"/>
  <c r="AV398" i="1"/>
  <c r="AV63" i="1"/>
  <c r="AV13" i="1"/>
  <c r="AV378" i="1"/>
  <c r="AV206" i="1"/>
  <c r="AV381" i="1"/>
  <c r="AV190" i="1"/>
  <c r="AV393" i="1"/>
  <c r="AV2" i="1"/>
  <c r="AV252" i="1"/>
  <c r="AT252" i="1"/>
  <c r="AT120" i="1"/>
  <c r="AV120" i="1"/>
  <c r="AT204" i="1"/>
  <c r="AV204" i="1"/>
  <c r="AT132" i="1"/>
  <c r="AV132" i="1"/>
  <c r="AT355" i="1"/>
  <c r="AV355" i="1"/>
  <c r="AT351" i="1"/>
  <c r="AV351" i="1"/>
  <c r="AT115" i="1"/>
  <c r="AV115" i="1"/>
  <c r="AT170" i="1"/>
  <c r="AV170" i="1"/>
  <c r="AT151" i="1"/>
  <c r="AV151" i="1"/>
  <c r="AT303" i="1"/>
  <c r="AT117" i="1"/>
  <c r="AV117" i="1"/>
  <c r="AT334" i="1"/>
  <c r="AV334" i="1"/>
  <c r="AT384" i="1"/>
  <c r="AV384" i="1"/>
  <c r="AT66" i="1"/>
  <c r="AV66" i="1"/>
  <c r="AT376" i="1"/>
  <c r="AV376" i="1"/>
  <c r="AT320" i="1"/>
  <c r="AV320" i="1"/>
  <c r="AT382" i="1"/>
  <c r="AV382" i="1"/>
  <c r="AV9" i="1"/>
  <c r="AV297" i="1"/>
  <c r="AR373" i="1"/>
  <c r="AT373" i="1"/>
  <c r="AR249" i="1"/>
  <c r="AR332" i="1"/>
  <c r="AR215" i="1"/>
  <c r="AR126" i="1"/>
  <c r="AT126" i="1"/>
  <c r="AR189" i="1"/>
  <c r="AT189" i="1"/>
  <c r="AR156" i="1"/>
  <c r="AT156" i="1"/>
  <c r="AR391" i="1"/>
  <c r="AT391" i="1"/>
  <c r="AR197" i="1"/>
  <c r="AT197" i="1"/>
  <c r="AS274" i="1"/>
  <c r="AT274" i="1" s="1"/>
  <c r="AR252" i="1"/>
  <c r="AR41" i="1"/>
  <c r="AR398" i="1"/>
  <c r="AT398" i="1"/>
  <c r="AR63" i="1"/>
  <c r="AT63" i="1"/>
  <c r="AR13" i="1"/>
  <c r="AT13" i="1"/>
  <c r="AR378" i="1"/>
  <c r="AT378" i="1"/>
  <c r="AR206" i="1"/>
  <c r="AT206" i="1"/>
  <c r="AR30" i="1"/>
  <c r="AT30" i="1"/>
  <c r="AR154" i="1"/>
  <c r="AR381" i="1"/>
  <c r="AT381" i="1"/>
  <c r="AR15" i="1"/>
  <c r="AT190" i="1"/>
  <c r="AR393" i="1"/>
  <c r="AT393" i="1"/>
  <c r="AR61" i="1"/>
  <c r="AT61" i="1"/>
  <c r="AR2" i="1"/>
  <c r="AT2" i="1"/>
  <c r="AR120" i="1"/>
  <c r="AR355" i="1"/>
  <c r="AR361" i="1"/>
  <c r="AR132" i="1"/>
  <c r="AR51" i="1"/>
  <c r="AR204" i="1"/>
  <c r="AR351" i="1"/>
  <c r="AR115" i="1"/>
  <c r="AR170" i="1"/>
  <c r="AR157" i="1"/>
  <c r="AR151" i="1"/>
  <c r="AR54" i="1"/>
  <c r="AR303" i="1"/>
  <c r="AR117" i="1"/>
  <c r="AR379" i="1"/>
  <c r="AR251" i="1"/>
  <c r="AR334" i="1"/>
  <c r="AR24" i="1"/>
  <c r="AR52" i="1"/>
  <c r="AR18" i="1"/>
  <c r="AR384" i="1"/>
  <c r="AR372" i="1"/>
  <c r="AR66" i="1"/>
  <c r="AR376" i="1"/>
  <c r="AR320" i="1"/>
  <c r="AR234" i="1"/>
  <c r="AR382" i="1"/>
  <c r="AR108" i="1"/>
  <c r="AR4" i="1"/>
  <c r="AR9" i="1"/>
  <c r="AR29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E746D4-EDBA-460B-982E-10D66DCB4A0E}" keepAlive="1" name="ThisWorkbookDataModel" description="Andmemu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895A19-12C9-4945-A8B7-9634C1C4B53D}" name="WorksheetConnection_Tabel1" type="102" refreshedVersion="8" minRefreshableVersion="5">
    <extLst>
      <ext xmlns:x15="http://schemas.microsoft.com/office/spreadsheetml/2010/11/main" uri="{DE250136-89BD-433C-8126-D09CA5730AF9}">
        <x15:connection id="Tabel1">
          <x15:rangePr sourceName="_xlcn.WorksheetConnection_Tabel11"/>
        </x15:connection>
      </ext>
    </extLst>
  </connection>
</connections>
</file>

<file path=xl/sharedStrings.xml><?xml version="1.0" encoding="utf-8"?>
<sst xmlns="http://schemas.openxmlformats.org/spreadsheetml/2006/main" count="5136" uniqueCount="399">
  <si>
    <t>ID</t>
  </si>
  <si>
    <t>Kasutusotstarve</t>
  </si>
  <si>
    <t>Kasutusotstarve_ID</t>
  </si>
  <si>
    <t>Maakond</t>
  </si>
  <si>
    <t>KOV</t>
  </si>
  <si>
    <t>KOV_voi_LinnaOsa</t>
  </si>
  <si>
    <t>Esmane_Kasutuselevotu_Aasta</t>
  </si>
  <si>
    <t>Ajastu</t>
  </si>
  <si>
    <t>Hooneosade_Arv</t>
  </si>
  <si>
    <t>Hooneosade_Arv_Normaliseeritud</t>
  </si>
  <si>
    <t>Ruumide_Arv</t>
  </si>
  <si>
    <t>Rummide_arv_vannitoata</t>
  </si>
  <si>
    <t>Maksimaalne_Korruste_Arv</t>
  </si>
  <si>
    <t>Liftid</t>
  </si>
  <si>
    <t>Trepikodade_Arv</t>
  </si>
  <si>
    <t>MaaAluste_Korruste_Arv</t>
  </si>
  <si>
    <t>Korgus</t>
  </si>
  <si>
    <t>Korgus_Umardatud</t>
  </si>
  <si>
    <t>Laius</t>
  </si>
  <si>
    <t>Pikkus</t>
  </si>
  <si>
    <t>EhitusAlune_Pindala</t>
  </si>
  <si>
    <t>Suletud_Netopindala</t>
  </si>
  <si>
    <t>Building_Common_Area</t>
  </si>
  <si>
    <t>Heated_Area</t>
  </si>
  <si>
    <t>Välisseina_liik</t>
  </si>
  <si>
    <t>Valisnurkade Arva</t>
  </si>
  <si>
    <t>Sisenurkade Arv</t>
  </si>
  <si>
    <t>Mitu otsaseina soojustatud?</t>
  </si>
  <si>
    <t>Kande- ja jäigastavate konstruktsioonide materjal</t>
  </si>
  <si>
    <t>Välisseina liik</t>
  </si>
  <si>
    <t>Välisseina välisviimistluse materjal</t>
  </si>
  <si>
    <t>Katusekatte materjal</t>
  </si>
  <si>
    <t>Soojusvarustuse liik</t>
  </si>
  <si>
    <t>Lamekatus_0/1</t>
  </si>
  <si>
    <t>kahepoolne_kaldkatus_0/1</t>
  </si>
  <si>
    <t>ühepoole_kaldkatus_0/1</t>
  </si>
  <si>
    <t>Lodzad_0/1</t>
  </si>
  <si>
    <t>Rõdud_0/1</t>
  </si>
  <si>
    <t>Otstes aknad_0/1</t>
  </si>
  <si>
    <t>Asein_märgis</t>
  </si>
  <si>
    <t>Aken/sein</t>
  </si>
  <si>
    <t>kütte kommentaar</t>
  </si>
  <si>
    <t>Muu kolme või enama korteriga elamu</t>
  </si>
  <si>
    <t>Harju maakond</t>
  </si>
  <si>
    <t xml:space="preserve"> Tallinn</t>
  </si>
  <si>
    <t xml:space="preserve"> Lasnamäe linnaosa</t>
  </si>
  <si>
    <t>...-1900</t>
  </si>
  <si>
    <t>tellis</t>
  </si>
  <si>
    <t>'muu', 'tellis, väikeplokk'</t>
  </si>
  <si>
    <t>'tellis, väikeplokk'</t>
  </si>
  <si>
    <t>'krohv'</t>
  </si>
  <si>
    <t>'plekk'</t>
  </si>
  <si>
    <t>'kohtküte'</t>
  </si>
  <si>
    <t>F</t>
  </si>
  <si>
    <t>Lääne-Viru maakond</t>
  </si>
  <si>
    <t xml:space="preserve"> Rakvere vald</t>
  </si>
  <si>
    <t xml:space="preserve"> Sõmeru alevik</t>
  </si>
  <si>
    <t>1961-1970</t>
  </si>
  <si>
    <t>'tellis'</t>
  </si>
  <si>
    <t>'keraamiline tellis'</t>
  </si>
  <si>
    <t>'eterniit'</t>
  </si>
  <si>
    <t>E</t>
  </si>
  <si>
    <t xml:space="preserve"> Põhja-Tallinna linnaosa</t>
  </si>
  <si>
    <t>1951-1960</t>
  </si>
  <si>
    <t>'puit'</t>
  </si>
  <si>
    <t/>
  </si>
  <si>
    <t>'väike- või suurplokk (vaht, mull, kergkruus, kärg, betoon jms)', 'tellis'</t>
  </si>
  <si>
    <t>'plaatmaterjal (seal hulgas tsementkiudplaat)'</t>
  </si>
  <si>
    <t xml:space="preserve"> Keila linn</t>
  </si>
  <si>
    <t>1971-1980</t>
  </si>
  <si>
    <t>suurplokk</t>
  </si>
  <si>
    <t>'tellis', 'monteeritav raudbetoon', 'väike- või suurplokk, näiteks vaht, mull, kergkruus, kärg, betoon'</t>
  </si>
  <si>
    <t>'tellis, väikeplokk', 'väike- või suurplokk (vaht, mull, kergkruus, kärg, betoon jms)'</t>
  </si>
  <si>
    <t>'keraamiline tellis', 'krohv'</t>
  </si>
  <si>
    <t>'bituumen või  PVC  plaat või rullmaterjal'</t>
  </si>
  <si>
    <t>'kaugküte'</t>
  </si>
  <si>
    <t>C</t>
  </si>
  <si>
    <t>Valga maakond</t>
  </si>
  <si>
    <t xml:space="preserve"> Tõrva vald</t>
  </si>
  <si>
    <t xml:space="preserve"> Tõrva linn</t>
  </si>
  <si>
    <t>'tellis', 'monteeritav raudbetoon'</t>
  </si>
  <si>
    <t>'lokaalküte'</t>
  </si>
  <si>
    <t xml:space="preserve"> Nõmme linnaosa</t>
  </si>
  <si>
    <t>'fassaadiplaat (seal hulgas tsementkiudplaat)'</t>
  </si>
  <si>
    <t>D</t>
  </si>
  <si>
    <t>Tartu maakond</t>
  </si>
  <si>
    <t xml:space="preserve"> Tartu linn</t>
  </si>
  <si>
    <t xml:space="preserve"> Rahinge küla</t>
  </si>
  <si>
    <t>A</t>
  </si>
  <si>
    <t xml:space="preserve"> Vinni vald</t>
  </si>
  <si>
    <t xml:space="preserve"> Roela alevik</t>
  </si>
  <si>
    <t>'monteeritav raudbetoon'</t>
  </si>
  <si>
    <t>'mitmekihiline raudbetoonpaneel'</t>
  </si>
  <si>
    <t>TP21</t>
  </si>
  <si>
    <t>1971 (2019)</t>
  </si>
  <si>
    <t>'tellis', 'väike- või suurplokk, näiteks vaht, mull, kergkruus, kärg, betoon'</t>
  </si>
  <si>
    <t>'eterniit', 'plaatmaterjal (seal hulgas tsementkiudplaat)'</t>
  </si>
  <si>
    <t>'muu', 'kohtküte', 'lokaalküte'</t>
  </si>
  <si>
    <t xml:space="preserve"> Kristiine linnaosa</t>
  </si>
  <si>
    <t>'muu', 'fassaadiplaat (seal hulgas tsementkiudplaat)'</t>
  </si>
  <si>
    <t>'kaugküte', 'lokaalküte'</t>
  </si>
  <si>
    <t xml:space="preserve"> Saue vald</t>
  </si>
  <si>
    <t xml:space="preserve"> Valingu küla</t>
  </si>
  <si>
    <t>G</t>
  </si>
  <si>
    <t xml:space="preserve"> Kose vald</t>
  </si>
  <si>
    <t xml:space="preserve"> Kose-Uuemõisa alevik</t>
  </si>
  <si>
    <t>Jõgeva maakond</t>
  </si>
  <si>
    <t xml:space="preserve"> Põltsamaa vald</t>
  </si>
  <si>
    <t xml:space="preserve"> Põltsamaa linn</t>
  </si>
  <si>
    <t>'betoon'</t>
  </si>
  <si>
    <t xml:space="preserve"> Rakvere linn</t>
  </si>
  <si>
    <t>1931-1940</t>
  </si>
  <si>
    <t xml:space="preserve"> Raasiku vald</t>
  </si>
  <si>
    <t xml:space="preserve"> Aruküla alevik</t>
  </si>
  <si>
    <t>'tellis', 'väike- või suurplokk, näiteks vaht, mull, kergkruus, kärg, betoon', 'monoliitne raudbetoon', 'monteeritav raudbetoon'</t>
  </si>
  <si>
    <t>'väike- või suurplokk (vaht, mull, kergkruus, kärg, betoon jms)'</t>
  </si>
  <si>
    <t>'tellis', 'monoliitne raudbetoon', 'monteeritav raudbetoon', 'väike- või suurplokk, näiteks vaht, mull, kergkruus, kärg, betoon'</t>
  </si>
  <si>
    <t>TP12</t>
  </si>
  <si>
    <t xml:space="preserve"> Elva vald</t>
  </si>
  <si>
    <t xml:space="preserve"> Elva linn</t>
  </si>
  <si>
    <t>1970 (2020)</t>
  </si>
  <si>
    <t>'puit', 'tellis'</t>
  </si>
  <si>
    <t xml:space="preserve"> Saue linn</t>
  </si>
  <si>
    <t>B</t>
  </si>
  <si>
    <t>Järva maakond</t>
  </si>
  <si>
    <t xml:space="preserve"> Paide linn</t>
  </si>
  <si>
    <t>'väike- või suurplokk, näiteks vaht, mull, kergkruus, kärg, betoon'</t>
  </si>
  <si>
    <t>'kaugküte', 'kohtküte'</t>
  </si>
  <si>
    <t>Lääne maakond</t>
  </si>
  <si>
    <t xml:space="preserve"> Haapsalu linn</t>
  </si>
  <si>
    <t xml:space="preserve"> Uuemõisa alevik</t>
  </si>
  <si>
    <t>1981-1990</t>
  </si>
  <si>
    <t>Rapla maakond</t>
  </si>
  <si>
    <t xml:space="preserve"> Rapla vald</t>
  </si>
  <si>
    <t xml:space="preserve"> Kuimetsa küla</t>
  </si>
  <si>
    <t>'krohv', 'puit (vooder)'</t>
  </si>
  <si>
    <t>'kohtküte', 'lokaalküte'</t>
  </si>
  <si>
    <t xml:space="preserve"> Otepää vald</t>
  </si>
  <si>
    <t xml:space="preserve"> Puka alevik</t>
  </si>
  <si>
    <t>'muu'</t>
  </si>
  <si>
    <t>TP31</t>
  </si>
  <si>
    <t>Viljandi maakond</t>
  </si>
  <si>
    <t xml:space="preserve"> Viljandi vald</t>
  </si>
  <si>
    <t xml:space="preserve"> Päri küla</t>
  </si>
  <si>
    <t>1973 (2017)</t>
  </si>
  <si>
    <t>'muu', 'krohv'</t>
  </si>
  <si>
    <t xml:space="preserve"> Jõelähtme vald</t>
  </si>
  <si>
    <t xml:space="preserve"> Loo alevik</t>
  </si>
  <si>
    <t xml:space="preserve"> Harku vald</t>
  </si>
  <si>
    <t xml:space="preserve"> Harkujärve küla</t>
  </si>
  <si>
    <t>'krohv', 'muu'</t>
  </si>
  <si>
    <t>'kohtküte', 'kaugküte'</t>
  </si>
  <si>
    <t>0*</t>
  </si>
  <si>
    <t>väikeplokk</t>
  </si>
  <si>
    <t xml:space="preserve"> Türisalu küla</t>
  </si>
  <si>
    <t>'tellis, väikeplokk', 'tellis', 'väike- või suurplokk (vaht, mull, kergkruus, kärg, betoon jms)'</t>
  </si>
  <si>
    <t>'eterniit', 'plekk'</t>
  </si>
  <si>
    <t xml:space="preserve"> Kose alevik</t>
  </si>
  <si>
    <t>Pärnu maakond</t>
  </si>
  <si>
    <t xml:space="preserve"> Tori vald</t>
  </si>
  <si>
    <t xml:space="preserve"> Sauga alevik</t>
  </si>
  <si>
    <t xml:space="preserve"> Helme alevik</t>
  </si>
  <si>
    <t xml:space="preserve"> Lääne-Nigula vald</t>
  </si>
  <si>
    <t xml:space="preserve"> Risti alevik</t>
  </si>
  <si>
    <t>'monoliitne raudbetoon', 'monteeritav raudbetoon'</t>
  </si>
  <si>
    <t>'info puudub'</t>
  </si>
  <si>
    <t xml:space="preserve"> Rapla linn</t>
  </si>
  <si>
    <t>1991-2000</t>
  </si>
  <si>
    <t>Ida-Viru maakond</t>
  </si>
  <si>
    <t xml:space="preserve"> Lüganuse vald</t>
  </si>
  <si>
    <t xml:space="preserve"> Lüganuse alevik</t>
  </si>
  <si>
    <t>'monteeritav raudbetoon', 'tellis'</t>
  </si>
  <si>
    <t xml:space="preserve"> Kesklinna linnaosa</t>
  </si>
  <si>
    <t>1921-1930</t>
  </si>
  <si>
    <t>'katusekivi'</t>
  </si>
  <si>
    <t xml:space="preserve"> Oru küla</t>
  </si>
  <si>
    <t xml:space="preserve"> Vinni alevik</t>
  </si>
  <si>
    <t>'lokaalküte', 'kaugküte'</t>
  </si>
  <si>
    <t>'muu', 'tellis'</t>
  </si>
  <si>
    <t>'muu', 'plekk'</t>
  </si>
  <si>
    <t>Saare maakond</t>
  </si>
  <si>
    <t xml:space="preserve"> Saaremaa vald</t>
  </si>
  <si>
    <t xml:space="preserve"> Kuressaare linn</t>
  </si>
  <si>
    <t xml:space="preserve"> Põhja-Sakala vald</t>
  </si>
  <si>
    <t xml:space="preserve"> Suure-Jaani linn</t>
  </si>
  <si>
    <t>'puit', 'tellis', 'monteeritav raudbetoon'</t>
  </si>
  <si>
    <t xml:space="preserve"> Pärnu linn</t>
  </si>
  <si>
    <t>TP13</t>
  </si>
  <si>
    <t xml:space="preserve"> Rae vald</t>
  </si>
  <si>
    <t xml:space="preserve"> Jüri alevik</t>
  </si>
  <si>
    <t xml:space="preserve"> Ravila alevik</t>
  </si>
  <si>
    <t>'tellis', 'väike- või suurplokk (vaht, mull, kergkruus, kärg, betoon jms)'</t>
  </si>
  <si>
    <t xml:space="preserve"> Kadrina vald</t>
  </si>
  <si>
    <t xml:space="preserve"> Kihlevere küla</t>
  </si>
  <si>
    <t>tõhus kaugküte</t>
  </si>
  <si>
    <t xml:space="preserve"> Tapa vald</t>
  </si>
  <si>
    <t xml:space="preserve"> Tapa linn</t>
  </si>
  <si>
    <t>'monteeritav raudbetoon', 'väike- või suurplokk, näiteks vaht, mull, kergkruus, kärg, betoon', 'tellis'</t>
  </si>
  <si>
    <t xml:space="preserve"> Valjala alevik</t>
  </si>
  <si>
    <t xml:space="preserve"> Jõgeva vald</t>
  </si>
  <si>
    <t xml:space="preserve"> Sadala alevik</t>
  </si>
  <si>
    <t xml:space="preserve"> Haage küla</t>
  </si>
  <si>
    <t>'krohv', 'fassaadiplaat (seal hulgas tsementkiudplaat)'</t>
  </si>
  <si>
    <t>'lokaalküte', 'kohtküte'</t>
  </si>
  <si>
    <t>'väike- või suurplokk, näiteks vaht, mull, kergkruus, kärg, betoon', 'monteeritav raudbetoon'</t>
  </si>
  <si>
    <t xml:space="preserve"> Harku alevik</t>
  </si>
  <si>
    <t xml:space="preserve"> Ilmatsalu alevik</t>
  </si>
  <si>
    <t xml:space="preserve"> Vääna küla</t>
  </si>
  <si>
    <t>1911-1920</t>
  </si>
  <si>
    <t xml:space="preserve"> Tõstamaa alevik</t>
  </si>
  <si>
    <t>suurpaneel</t>
  </si>
  <si>
    <t>Põlva maakond</t>
  </si>
  <si>
    <t xml:space="preserve"> Põlva vald</t>
  </si>
  <si>
    <t xml:space="preserve"> Põlva linn</t>
  </si>
  <si>
    <t>väikepaneel</t>
  </si>
  <si>
    <t xml:space="preserve"> Saku vald</t>
  </si>
  <si>
    <t xml:space="preserve"> Saku alevik</t>
  </si>
  <si>
    <t xml:space="preserve"> Adavere alevik</t>
  </si>
  <si>
    <t xml:space="preserve"> Pajusti alevik</t>
  </si>
  <si>
    <t>'monteeritav raudbetoon', 'väike- või suurplokk, näiteks vaht, mull, kergkruus, kärg, betoon'</t>
  </si>
  <si>
    <t>'plaatmaterjal (seal hulgas tsementkiudplaat)', 'plekk'</t>
  </si>
  <si>
    <t xml:space="preserve"> Haiba küla</t>
  </si>
  <si>
    <t>TP35</t>
  </si>
  <si>
    <t xml:space="preserve"> Viljandi linn</t>
  </si>
  <si>
    <t xml:space="preserve"> Rõngu alevik</t>
  </si>
  <si>
    <t xml:space="preserve"> Tartu vald</t>
  </si>
  <si>
    <t xml:space="preserve"> Äksi alevik</t>
  </si>
  <si>
    <t>'monteeritav raudbetoon', 'puit', 'väike- või suurplokk, näiteks vaht, mull, kergkruus, kärg, betoon', 'tellis', 'tellis, väikeplokk'</t>
  </si>
  <si>
    <t xml:space="preserve"> Kõrveküla alevik</t>
  </si>
  <si>
    <t>'puit', 'monteeritav raudbetoon'</t>
  </si>
  <si>
    <t>'puit', 'monteeritav raudbetoon', 'tellis'</t>
  </si>
  <si>
    <t>'tellis', 'puit', 'monteeritav raudbetoon'</t>
  </si>
  <si>
    <t>'monoliitne raudbetoon', 'monteeritav raudbetoon', 'tellis, väikeplokk'</t>
  </si>
  <si>
    <t>'väike- või suurplokk (vaht, mull, kergkruus, kärg, betoon jms)', 'tellis, väikeplokk'</t>
  </si>
  <si>
    <t>'tellis', 'tellis, väikeplokk', 'puit', 'monteeritav raudbetoon'</t>
  </si>
  <si>
    <t>'tellis, väikeplokk', 'tellis'</t>
  </si>
  <si>
    <t>'tellis', 'tellis, väikeplokk'</t>
  </si>
  <si>
    <t>TP17</t>
  </si>
  <si>
    <t xml:space="preserve"> Kärkna küla</t>
  </si>
  <si>
    <t>1978 (2019)</t>
  </si>
  <si>
    <t>'betoon', 'väike- või suurplokk (vaht, mull, kergkruus, kärg, betoon jms)'</t>
  </si>
  <si>
    <t xml:space="preserve"> Viimsi vald</t>
  </si>
  <si>
    <t xml:space="preserve"> Viimsi alevik</t>
  </si>
  <si>
    <t xml:space="preserve">Tõhus kaugküte </t>
  </si>
  <si>
    <t>Gaas kondensatsioonikatel</t>
  </si>
  <si>
    <t>Kaugküte</t>
  </si>
  <si>
    <t>TP16</t>
  </si>
  <si>
    <t xml:space="preserve"> Märjamaa vald</t>
  </si>
  <si>
    <t xml:space="preserve"> Kasti küla</t>
  </si>
  <si>
    <t>TP30</t>
  </si>
  <si>
    <t>'eterniit', 'puudub'</t>
  </si>
  <si>
    <t>Pelletkatel</t>
  </si>
  <si>
    <t xml:space="preserve"> Jõhvi vald</t>
  </si>
  <si>
    <t xml:space="preserve"> Jõhvi linn</t>
  </si>
  <si>
    <t xml:space="preserve"> Piira küla</t>
  </si>
  <si>
    <t>'mitmekihiline raudbetoonpaneel', 'väike- või suurplokk (vaht, mull, kergkruus, kärg, betoon jms)'</t>
  </si>
  <si>
    <t>'muu', 'väike- või suurplokk, näiteks vaht, mull, kergkruus, kärg, betoon'</t>
  </si>
  <si>
    <t>'puit', 'monoliitne raudbetoon', 'tellis'</t>
  </si>
  <si>
    <t>Maasoojuspump</t>
  </si>
  <si>
    <t>'metall', 'monoliitne raudbetoon', 'monteeritav raudbetoon', 'tellis'</t>
  </si>
  <si>
    <t>Tõhus kaugküte</t>
  </si>
  <si>
    <t xml:space="preserve"> Laagri alevik</t>
  </si>
  <si>
    <t>TP11</t>
  </si>
  <si>
    <t>Gaasikatel</t>
  </si>
  <si>
    <t xml:space="preserve"> Märjamaa alev</t>
  </si>
  <si>
    <t>vahvelpaneel</t>
  </si>
  <si>
    <t xml:space="preserve"> Mustamäe linnaosa</t>
  </si>
  <si>
    <t>TP28</t>
  </si>
  <si>
    <t>'väike- või suurplokk, näiteks vaht, mull, kergkruus, kärg, betoon', 'muu'</t>
  </si>
  <si>
    <t>'muu', 'väike- või suurplokk (vaht, mull, kergkruus, kärg, betoon jms)'</t>
  </si>
  <si>
    <t xml:space="preserve"> Järva vald</t>
  </si>
  <si>
    <t xml:space="preserve"> Järva-Jaani alev</t>
  </si>
  <si>
    <t xml:space="preserve"> Olustvere alevik</t>
  </si>
  <si>
    <t>'fassaadiplaat (seal hulgas tsementkiudplaat)', 'krohv'</t>
  </si>
  <si>
    <t xml:space="preserve"> Haabersti linnaosa</t>
  </si>
  <si>
    <t>'bituumen või  PVC  plaat või rullmaterjal', 'muu'</t>
  </si>
  <si>
    <t xml:space="preserve"> Kambja vald</t>
  </si>
  <si>
    <t xml:space="preserve"> Reola küla</t>
  </si>
  <si>
    <t>tuhaplokk</t>
  </si>
  <si>
    <t>TP36</t>
  </si>
  <si>
    <t>TP27</t>
  </si>
  <si>
    <t xml:space="preserve"> Tabasalu alevik</t>
  </si>
  <si>
    <t>'keraamiline tellis', 'fassaadiplaat (seal hulgas tsementkiudplaat)'</t>
  </si>
  <si>
    <t xml:space="preserve"> Viiratsi alevik</t>
  </si>
  <si>
    <t xml:space="preserve"> Uusna küla</t>
  </si>
  <si>
    <t>TP24</t>
  </si>
  <si>
    <t xml:space="preserve"> Puhja alevik</t>
  </si>
  <si>
    <t>1973 (2019)</t>
  </si>
  <si>
    <t>TP25</t>
  </si>
  <si>
    <t>TP23</t>
  </si>
  <si>
    <t>TP26</t>
  </si>
  <si>
    <t xml:space="preserve"> Kostivere alevik</t>
  </si>
  <si>
    <t>TP20</t>
  </si>
  <si>
    <t xml:space="preserve"> Kärla alevik</t>
  </si>
  <si>
    <t>TP38</t>
  </si>
  <si>
    <t xml:space="preserve"> Toila vald</t>
  </si>
  <si>
    <t xml:space="preserve"> Voka alevik</t>
  </si>
  <si>
    <t xml:space="preserve"> Vaida alevik</t>
  </si>
  <si>
    <t>tellis/väikeplokk</t>
  </si>
  <si>
    <t>'väike- või suurplokk, näiteks vaht, mull, kergkruus, kärg, betoon', 'tellis', 'looduslik kivi', 'monteeritav raudbetoon'</t>
  </si>
  <si>
    <t>'tellis', 'väike- või suurplokk, näiteks vaht, mull, kergkruus, kärg, betoon', 'monteeritav raudbetoon'</t>
  </si>
  <si>
    <t>TP37</t>
  </si>
  <si>
    <t>'bituumen või  PVC  plaat või rullmaterjal', 'plekk'</t>
  </si>
  <si>
    <t xml:space="preserve"> Linna küla</t>
  </si>
  <si>
    <t>Võru maakond</t>
  </si>
  <si>
    <t xml:space="preserve"> Võru vald</t>
  </si>
  <si>
    <t xml:space="preserve"> Sõmerpalu alevik</t>
  </si>
  <si>
    <t xml:space="preserve"> Võru linn</t>
  </si>
  <si>
    <t xml:space="preserve"> Kambja alevik</t>
  </si>
  <si>
    <t xml:space="preserve"> Valga vald</t>
  </si>
  <si>
    <t xml:space="preserve"> Valga linn</t>
  </si>
  <si>
    <t>'tellis', 'puit', 'monteeritav raudbetoon', 'väike- või suurplokk, näiteks vaht, mull, kergkruus, kärg, betoon'</t>
  </si>
  <si>
    <t xml:space="preserve"> Kastre vald</t>
  </si>
  <si>
    <t xml:space="preserve"> Roiu alevik</t>
  </si>
  <si>
    <t>TP14</t>
  </si>
  <si>
    <t>'tellis', 'looduslik kivi', 'monteeritav raudbetoon'</t>
  </si>
  <si>
    <t xml:space="preserve"> Ramsi alevik</t>
  </si>
  <si>
    <t>'tellis', 'monoliitne raudbetoon', 'monteeritav raudbetoon'</t>
  </si>
  <si>
    <t xml:space="preserve"> Anija vald</t>
  </si>
  <si>
    <t xml:space="preserve"> Kehra linn</t>
  </si>
  <si>
    <t xml:space="preserve"> Haabneeme alevik</t>
  </si>
  <si>
    <t>'monoliitne raudbetoon'</t>
  </si>
  <si>
    <t>'tellis', 'monoliitne raudbetoon'</t>
  </si>
  <si>
    <t>'monoliitne raudbetoon', 'monteeritav raudbetoon', 'tellis'</t>
  </si>
  <si>
    <t>'kaugküte', 'muu'</t>
  </si>
  <si>
    <t>'mitmekihiline raudbetoonpaneel', 'vahetäitega sõrestik'</t>
  </si>
  <si>
    <t>'muu', 'bituumen või  PVC  plaat või rullmaterjal'</t>
  </si>
  <si>
    <t>Ühiselamu üliõpilastele või õpilastele</t>
  </si>
  <si>
    <t>'monoliitne raudbetoon', 'monteeritav raudbetoon', 'tellis', 'väike- või suurplokk, näiteks vaht, mull, kergkruus, kärg, betoon'</t>
  </si>
  <si>
    <t>TP40</t>
  </si>
  <si>
    <t>1982 (2019)</t>
  </si>
  <si>
    <t>'väike- või suurplokk (vaht, mull, kergkruus, kärg, betoon jms)', 'mitmekihiline raudbetoonpaneel'</t>
  </si>
  <si>
    <t>'krohv', 'fassaadiplaat (seal hulgas tsementkiudplaat)', 'muu'</t>
  </si>
  <si>
    <t xml:space="preserve"> Jõgeva linn</t>
  </si>
  <si>
    <t>'väike- või suurplokk (vaht, mull, kergkruus, kärg, betoon jms)', 'betoon'</t>
  </si>
  <si>
    <t xml:space="preserve"> Viru-Nigula vald</t>
  </si>
  <si>
    <t xml:space="preserve"> Kunda linn</t>
  </si>
  <si>
    <t>'väike- või suurplokk, näiteks vaht, mull, kergkruus, kärg, betoon', 'monoliitne raudbetoon', 'monteeritav raudbetoon'</t>
  </si>
  <si>
    <t>TP34</t>
  </si>
  <si>
    <t>1990 (2019)</t>
  </si>
  <si>
    <t>'fassaadiplaat (seal hulgas tsementkiudplaat)', 'muu'</t>
  </si>
  <si>
    <t>'krohv', 'muu', 'fassaadiplaat (seal hulgas tsementkiudplaat)'</t>
  </si>
  <si>
    <t>TP18</t>
  </si>
  <si>
    <t>1988 (2019)</t>
  </si>
  <si>
    <t xml:space="preserve"> Kohila vald</t>
  </si>
  <si>
    <t xml:space="preserve"> Kohila alev</t>
  </si>
  <si>
    <t>TP22</t>
  </si>
  <si>
    <t>'keraamiline tellis', 'muu'</t>
  </si>
  <si>
    <t xml:space="preserve"> Tõrvandi alevik</t>
  </si>
  <si>
    <t>'väike- või suurplokk (vaht, mull, kergkruus, kärg, betoon jms)', 'tsementkiudplaat'</t>
  </si>
  <si>
    <t>'krohv', 'fassaadiplaat (seal hulgas tsementkiudplaat)', 'keraamiline tellis'</t>
  </si>
  <si>
    <t>TP32</t>
  </si>
  <si>
    <t xml:space="preserve"> Sindi linn</t>
  </si>
  <si>
    <t>'metall (seal hulgas plekk või profiilplekk)'</t>
  </si>
  <si>
    <t>TP39</t>
  </si>
  <si>
    <t>TP33</t>
  </si>
  <si>
    <t>TP29</t>
  </si>
  <si>
    <t>1987 (2017)</t>
  </si>
  <si>
    <t>'muu', 'muu', 'krohv'</t>
  </si>
  <si>
    <t>TP19</t>
  </si>
  <si>
    <t>1986 (2019)</t>
  </si>
  <si>
    <t xml:space="preserve"> Alu alevik</t>
  </si>
  <si>
    <t>'plaatmaterjal (seal hulgas tsementkiudplaat)', 'muu'</t>
  </si>
  <si>
    <t>TP15</t>
  </si>
  <si>
    <t>'väike- või suurplokk (vaht, mull, kergkruus, kärg, betoon jms)', 'muu'</t>
  </si>
  <si>
    <t xml:space="preserve"> Räni alevik</t>
  </si>
  <si>
    <t>'puudub'</t>
  </si>
  <si>
    <t xml:space="preserve"> Kadrina alevik</t>
  </si>
  <si>
    <t>Aaken_märgis</t>
  </si>
  <si>
    <t>Heated/6.25</t>
  </si>
  <si>
    <t>A märgis/A arv(köetavast pinnast)</t>
  </si>
  <si>
    <t>Akende pindala vastavalt tubade arvule</t>
  </si>
  <si>
    <t>A märgis/A arv(ktubade arv)</t>
  </si>
  <si>
    <t>puit</t>
  </si>
  <si>
    <t>'palk', 'laudis'</t>
  </si>
  <si>
    <t>TP41</t>
  </si>
  <si>
    <t>H</t>
  </si>
  <si>
    <t>gaas kondensatsioonikatel</t>
  </si>
  <si>
    <t>1941-1950</t>
  </si>
  <si>
    <t>'vahetäitega sõrestik'</t>
  </si>
  <si>
    <t xml:space="preserve"> Otepää linn</t>
  </si>
  <si>
    <t>'palk'</t>
  </si>
  <si>
    <t>'puit (vooder)'</t>
  </si>
  <si>
    <t>'laudis'</t>
  </si>
  <si>
    <t>'puit', 'palk'</t>
  </si>
  <si>
    <t>'muu', 'puit'</t>
  </si>
  <si>
    <t>'muu', 'vahetäitega sõrestik', 'palk'</t>
  </si>
  <si>
    <t>'keraamiline tellis', 'puit (vooder)'</t>
  </si>
  <si>
    <t xml:space="preserve"> Riisipere alevik</t>
  </si>
  <si>
    <t xml:space="preserve"> Siimusti alevik</t>
  </si>
  <si>
    <t xml:space="preserve"> Kehtna vald</t>
  </si>
  <si>
    <t xml:space="preserve"> Kehtna alevik</t>
  </si>
  <si>
    <t>'tellis', 'monteeritav raudbetoon', 'monoliitne raudbetoon'</t>
  </si>
  <si>
    <t>'kohtküte', 'kaugküte', 'lokaalküte'</t>
  </si>
  <si>
    <t>'tellis', 'monteeritav raudbetoon', 'looduslik kivi', 'monoliitne raudbetoon'</t>
  </si>
  <si>
    <t>'tellis, väikeplokk', 'muu'</t>
  </si>
  <si>
    <t xml:space="preserve"> Põhja-Pärnumaa vald</t>
  </si>
  <si>
    <t xml:space="preserve"> Vändra alev</t>
  </si>
  <si>
    <t>Energy_Certificate_Class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</si>
</sst>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quotePrefix="1" applyFont="1"/>
    <xf numFmtId="2" fontId="2" fillId="0" borderId="0" xfId="0" quotePrefix="1" applyNumberFormat="1" applyFont="1"/>
    <xf numFmtId="0" fontId="0" fillId="3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 vertical="center"/>
    </xf>
    <xf numFmtId="164" fontId="0" fillId="0" borderId="0" xfId="0" applyNumberFormat="1"/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connections" Target="connections.xml"/><Relationship Id="rId34" Type="http://schemas.microsoft.com/office/2017/10/relationships/person" Target="persons/person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sa Iliste" id="{6DA7D36F-A8DC-4DB0-A756-28E46F2E6508}" userId="Elisa Iliste" providerId="None"/>
  <person displayName="Elisa Iliste" id="{8E31EE0D-F94B-44FF-9EAC-8465923A20D0}" userId="S::elilis@ttu.ee::9f9c07b2-a17b-49e1-8fb7-e190e1ae5c56" providerId="AD"/>
  <person displayName="Siim Lomp" id="{976BF00B-5E02-4DB1-82D4-6364C35E42C0}" userId="S::silomp@ttu.ee::c35b3845-ae8e-41d1-aa16-67d39e73b1f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X1" dT="2022-11-02T08:42:32.16" personId="{8E31EE0D-F94B-44FF-9EAC-8465923A20D0}" id="{5957B8C1-656C-44F0-B6C5-73E9F2BE6061}">
    <text>akna keskmine pindala 2.3m2</text>
  </threadedComment>
  <threadedComment ref="AQ83" dT="2022-10-05T09:11:32.77" personId="{8E31EE0D-F94B-44FF-9EAC-8465923A20D0}" id="{C5114AB7-DC7E-4119-A7DA-D783B9D2151D}">
    <text>otsas on üks aken pööningul</text>
  </threadedComment>
  <threadedComment ref="AC101" dT="2022-10-12T08:32:22.19" personId="{8E31EE0D-F94B-44FF-9EAC-8465923A20D0}" id="{D9D44EF7-87A7-4ED1-BAD3-59A59413F5CD}">
    <text xml:space="preserve">katusepinnast peaks oleka ka soppidega digikaksikus ikka kast
</text>
  </threadedComment>
  <threadedComment ref="AC123" dT="2022-10-12T10:25:53.46" personId="{8E31EE0D-F94B-44FF-9EAC-8465923A20D0}" id="{D87949FF-598F-4096-B928-836D1DD72628}">
    <text>vastavalt pikkus/laius, hoone kuju</text>
  </threadedComment>
  <threadedComment ref="AC132" dT="2022-10-13T08:06:01.05" personId="{976BF00B-5E02-4DB1-82D4-6364C35E42C0}" id="{B1FF8336-68FE-4151-8B6B-3C8A1F57B6E5}">
    <text>Lisaks võiks arvestada välis/sisenurkasid lodžas</text>
  </threadedComment>
  <threadedComment ref="AT144" dT="2022-11-02T09:23:50.26" personId="{8E31EE0D-F94B-44FF-9EAC-8465923A20D0}" id="{F6E2C07B-6E2B-4D38-999C-A029E90C203B}">
    <text xml:space="preserve">väga kahtlane, aga mõlemas märgises nii
</text>
  </threadedComment>
  <threadedComment ref="AF158" dT="2022-10-13T10:19:39.22" personId="{976BF00B-5E02-4DB1-82D4-6364C35E42C0}" id="{73142FFD-1389-4C68-912E-120A9C74F465}">
    <text>Pigem 0 kui 2. Otsaseintes tundus nagu oleks paksem teist värvi kiht kuid suurpaneelide vuugi paistsid</text>
  </threadedComment>
  <threadedComment ref="AC164" dT="2022-10-12T08:21:07.56" personId="{8E31EE0D-F94B-44FF-9EAC-8465923A20D0}" id="{5A96A607-7FE7-4DE3-A304-33C21A2651F1}">
    <text>keset põldu, tänavavaadet pole</text>
  </threadedComment>
  <threadedComment ref="AC167" dT="2022-10-13T06:44:05.57" personId="{976BF00B-5E02-4DB1-82D4-6364C35E42C0}" id="{1E89E60C-AD14-48C1-AC43-1A8F17EA3580}">
    <text>Gaasbetoon?</text>
  </threadedComment>
  <threadedComment ref="E174" dT="2022-10-12T08:52:55.61" personId="{8E31EE0D-F94B-44FF-9EAC-8465923A20D0}" id="{2860805C-6749-4BA1-A9CB-7BB12B7E4590}">
    <text>mapsis: Friedrich Reinhold Kreutzwaldi tn 54a, Võru, 65610 Võru maakond</text>
  </threadedComment>
  <threadedComment ref="AC174" dT="2022-10-12T08:55:41.52" personId="{8E31EE0D-F94B-44FF-9EAC-8465923A20D0}" id="{B4C68C1F-6543-473B-A437-BA895BB30E67}">
    <text>tänavalt pole tegelikult näha, kinnisvara24 ütleb kivimaja</text>
  </threadedComment>
  <threadedComment ref="AC182" dT="2022-10-12T07:29:51.58" personId="{8E31EE0D-F94B-44FF-9EAC-8465923A20D0}" id="{771B1799-D19E-4435-8DED-974DC43854FB}">
    <text>trepikodade ristuvad seinad tellisest</text>
  </threadedComment>
  <threadedComment ref="M189" dT="2022-10-17T13:24:15.32" personId="{8E31EE0D-F94B-44FF-9EAC-8465923A20D0}" id="{FF8E773B-BB73-4602-B92F-25CE04675CD0}">
    <text>ehr`s on 25</text>
  </threadedComment>
  <threadedComment ref="B245" dT="2022-10-11T11:58:54.58" personId="{8E31EE0D-F94B-44FF-9EAC-8465923A20D0}" id="{61F2FDCC-AEBF-44D1-AB49-53BF5F74DE01}">
    <text xml:space="preserve">ehr`i kood ei toimi, aadressil nagu poleks ametliku hoonet
</text>
  </threadedComment>
  <threadedComment ref="AP270" dT="2022-10-05T09:09:17.73" personId="{8E31EE0D-F94B-44FF-9EAC-8465923A20D0}" id="{AEB518D2-57E1-4173-B53D-DEC10778951C}">
    <text>kunagi olid enam ei ole</text>
  </threadedComment>
  <threadedComment ref="AC326" dT="2022-10-13T11:06:29.96" personId="{976BF00B-5E02-4DB1-82D4-6364C35E42C0}" id="{5D253D88-3A24-4A4F-9496-988020FB1F4A}">
    <text>Hoonet ei olnud üldse näha</text>
  </threadedComment>
  <threadedComment ref="AC366" dT="2022-10-12T08:28:29.57" personId="{8E31EE0D-F94B-44FF-9EAC-8465923A20D0}" id="{B80DDC0E-25AE-47F5-9E82-F6F8B97983E3}">
    <text>väikepaneel+otstes vahvel</text>
  </threadedComment>
  <threadedComment ref="AC373" dT="2022-10-14T09:10:43.89" personId="{8E31EE0D-F94B-44FF-9EAC-8465923A20D0}" id="{BCAFF59D-50DB-47AB-9065-D8AC01515952}">
    <text xml:space="preserve">äkki mingi teise viimistlusega väikepaneel, </text>
  </threadedComment>
  <threadedComment ref="AC407" dT="2022-10-12T12:34:02.21" personId="{976BF00B-5E02-4DB1-82D4-6364C35E42C0}" id="{A217C05F-8D7F-4E9B-8ECC-924CB0EF4F35}">
    <text>sokkel, 1. ja 2. korrus raudbetoon. 3. korrus väikeplokk</text>
  </threadedComment>
  <threadedComment ref="AF408" dT="2022-10-13T11:03:06.63" personId="{976BF00B-5E02-4DB1-82D4-6364C35E42C0}" id="{9961658E-1B18-4B27-84BB-32AEBBAEA50B}">
    <text>Ei näe hoonet</text>
  </threadedComment>
  <threadedComment ref="AQ408" dT="2022-10-06T07:30:09.01" personId="{8E31EE0D-F94B-44FF-9EAC-8465923A20D0}" id="{AB39367C-8ED2-4597-AFF4-EA77734E7726}">
    <text>Street view on väga kaugel, kinnisvara müügis ka ei ole, pealt ainult näha, et kaldkatus</text>
  </threadedComment>
  <threadedComment ref="AC414" dT="2022-10-13T11:28:12.22" personId="{976BF00B-5E02-4DB1-82D4-6364C35E42C0}" id="{189A274A-E3CA-4F4D-9C9F-A8A8D81E1768}">
    <text>Otsaseinad suurplokk</text>
  </threadedComment>
  <threadedComment ref="AC415" dT="2022-10-12T08:36:08.27" personId="{8E31EE0D-F94B-44FF-9EAC-8465923A20D0}" id="{C516526F-7BF4-4566-9E0C-AFE2ED0CE123}">
    <text>väikeplokk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17"/>
  <sheetViews>
    <sheetView tabSelected="1" zoomScale="40" zoomScaleNormal="40" workbookViewId="0">
      <pane ySplit="1" topLeftCell="A2" activePane="bottomLeft" state="frozen"/>
      <selection pane="bottomLeft" activeCell="A28" sqref="A28"/>
    </sheetView>
  </sheetViews>
  <sheetFormatPr defaultColWidth="9.109375" defaultRowHeight="14.4" x14ac:dyDescent="0.3"/>
  <cols>
    <col min="1" max="1" width="8.109375" customWidth="1"/>
    <col min="2" max="2" width="26.109375" customWidth="1"/>
    <col min="3" max="3" width="13.88671875" style="1" customWidth="1"/>
    <col min="4" max="4" width="20.33203125" customWidth="1"/>
    <col min="5" max="5" width="12.33203125" customWidth="1"/>
    <col min="6" max="6" width="26.21875" customWidth="1"/>
    <col min="7" max="7" width="33.109375" style="2" customWidth="1"/>
    <col min="8" max="9" width="11.6640625" style="2" customWidth="1"/>
    <col min="10" max="21" width="9.109375" style="2" customWidth="1"/>
    <col min="22" max="22" width="9.109375" style="1" customWidth="1"/>
    <col min="23" max="23" width="22.33203125" style="2" customWidth="1"/>
    <col min="24" max="24" width="16.44140625" style="2" customWidth="1"/>
    <col min="25" max="25" width="21.88671875" style="1" customWidth="1"/>
    <col min="26" max="26" width="17.88671875" style="2" customWidth="1"/>
    <col min="27" max="28" width="9.109375" style="2" customWidth="1"/>
    <col min="29" max="29" width="16.6640625" style="2" customWidth="1"/>
    <col min="30" max="30" width="31.6640625" customWidth="1"/>
    <col min="31" max="31" width="43.88671875" customWidth="1"/>
    <col min="32" max="32" width="51.88671875" customWidth="1"/>
    <col min="33" max="33" width="50.109375" customWidth="1"/>
    <col min="34" max="34" width="30.5546875" customWidth="1"/>
    <col min="35" max="41" width="9.109375" style="2" customWidth="1"/>
    <col min="42" max="42" width="23.6640625" style="1" customWidth="1"/>
    <col min="43" max="43" width="21.6640625" style="1" customWidth="1"/>
    <col min="44" max="44" width="15" style="1" customWidth="1"/>
    <col min="45" max="45" width="15.33203125" customWidth="1"/>
    <col min="46" max="46" width="22.33203125" customWidth="1"/>
    <col min="47" max="47" width="24.44140625" customWidth="1"/>
    <col min="48" max="48" width="25" customWidth="1"/>
    <col min="49" max="49" width="22.33203125" customWidth="1"/>
    <col min="51" max="51" width="25.88671875" customWidth="1"/>
  </cols>
  <sheetData>
    <row r="1" spans="1:49" s="5" customFormat="1" x14ac:dyDescent="0.3">
      <c r="A1" s="5" t="s">
        <v>0</v>
      </c>
      <c r="B1" s="23" t="s">
        <v>1</v>
      </c>
      <c r="C1" s="24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/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4" t="s">
        <v>20</v>
      </c>
      <c r="W1" s="23" t="s">
        <v>21</v>
      </c>
      <c r="X1" s="23" t="s">
        <v>22</v>
      </c>
      <c r="Y1" s="24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3" t="s">
        <v>30</v>
      </c>
      <c r="AG1" s="23" t="s">
        <v>31</v>
      </c>
      <c r="AH1" s="23" t="s">
        <v>32</v>
      </c>
      <c r="AI1" s="23" t="s">
        <v>33</v>
      </c>
      <c r="AJ1" s="23" t="s">
        <v>34</v>
      </c>
      <c r="AK1" s="23" t="s">
        <v>35</v>
      </c>
      <c r="AL1" s="23" t="s">
        <v>36</v>
      </c>
      <c r="AM1" s="23" t="s">
        <v>37</v>
      </c>
      <c r="AN1" s="23" t="s">
        <v>38</v>
      </c>
      <c r="AO1" s="23" t="s">
        <v>398</v>
      </c>
      <c r="AP1" s="6" t="s">
        <v>39</v>
      </c>
      <c r="AQ1" s="6" t="s">
        <v>368</v>
      </c>
      <c r="AR1" s="6" t="s">
        <v>40</v>
      </c>
      <c r="AS1" s="5" t="s">
        <v>369</v>
      </c>
      <c r="AT1" s="5" t="s">
        <v>370</v>
      </c>
      <c r="AU1" s="5" t="s">
        <v>371</v>
      </c>
      <c r="AV1" s="5" t="s">
        <v>372</v>
      </c>
      <c r="AW1" s="5" t="s">
        <v>41</v>
      </c>
    </row>
    <row r="2" spans="1:49" x14ac:dyDescent="0.3">
      <c r="A2" s="23">
        <v>125</v>
      </c>
      <c r="B2" t="s">
        <v>42</v>
      </c>
      <c r="C2" s="1">
        <v>11222</v>
      </c>
      <c r="D2" t="s">
        <v>43</v>
      </c>
      <c r="E2" t="s">
        <v>44</v>
      </c>
      <c r="F2" t="s">
        <v>62</v>
      </c>
      <c r="G2" s="2">
        <v>1957</v>
      </c>
      <c r="H2" s="2" t="s">
        <v>63</v>
      </c>
      <c r="I2" s="2" t="str">
        <f>IF(G2&lt;1951,"&lt;1950",IF(G2&lt;1981,"1950-1980","&gt;1980"))</f>
        <v>1950-1980</v>
      </c>
      <c r="J2" s="2">
        <v>8</v>
      </c>
      <c r="K2" s="2">
        <f t="shared" ref="K2:K65" si="0">MROUND(J2,10)</f>
        <v>10</v>
      </c>
      <c r="L2" s="2">
        <v>34</v>
      </c>
      <c r="M2" s="2">
        <v>26</v>
      </c>
      <c r="N2" s="2">
        <v>2</v>
      </c>
      <c r="O2" s="2">
        <v>0</v>
      </c>
      <c r="P2" s="2">
        <v>1</v>
      </c>
      <c r="Q2" s="2">
        <v>0</v>
      </c>
      <c r="R2" s="2">
        <v>11</v>
      </c>
      <c r="S2" s="2">
        <v>11</v>
      </c>
      <c r="T2" s="2">
        <v>12</v>
      </c>
      <c r="U2" s="2">
        <v>18</v>
      </c>
      <c r="V2" s="1">
        <v>253</v>
      </c>
      <c r="W2" s="2">
        <v>432.7</v>
      </c>
      <c r="X2" s="2">
        <v>29.7</v>
      </c>
      <c r="Y2" s="1">
        <v>432.7</v>
      </c>
      <c r="Z2" s="2" t="s">
        <v>373</v>
      </c>
      <c r="AA2" s="2">
        <v>4</v>
      </c>
      <c r="AB2" s="2">
        <v>0</v>
      </c>
      <c r="AD2" s="3" t="s">
        <v>64</v>
      </c>
      <c r="AE2" s="3" t="s">
        <v>64</v>
      </c>
      <c r="AF2" s="3" t="s">
        <v>50</v>
      </c>
      <c r="AG2" s="3" t="s">
        <v>60</v>
      </c>
      <c r="AH2" s="3" t="s">
        <v>52</v>
      </c>
      <c r="AI2" s="2">
        <v>0</v>
      </c>
      <c r="AJ2" s="2">
        <v>1</v>
      </c>
      <c r="AK2" s="2">
        <v>0</v>
      </c>
      <c r="AL2" s="2">
        <v>0</v>
      </c>
      <c r="AM2" s="2">
        <v>0</v>
      </c>
      <c r="AN2" s="2">
        <v>1</v>
      </c>
      <c r="AO2" s="2" t="s">
        <v>84</v>
      </c>
      <c r="AP2" s="1">
        <v>308.5</v>
      </c>
      <c r="AQ2" s="1">
        <f>16.4+5.5*2+17.8</f>
        <v>45.2</v>
      </c>
      <c r="AR2" s="4">
        <f t="shared" ref="AR2:AR24" si="1">AQ2/(AP2+AQ2)</f>
        <v>0.12779191405145604</v>
      </c>
      <c r="AS2" s="18">
        <f t="shared" ref="AS2:AS33" si="2">IF(AQ2&lt;&gt;"", Y2/6.25,"")</f>
        <v>69.231999999999999</v>
      </c>
      <c r="AT2">
        <f t="shared" ref="AT2:AT33" si="3">IF(AQ2&lt;&gt;"",AS2/AQ2,"")</f>
        <v>1.5316814159292034</v>
      </c>
      <c r="AU2">
        <f t="shared" ref="AU2:AU24" si="4">IF(AQ2&lt;&gt;"",2.27*M2,"")</f>
        <v>59.02</v>
      </c>
      <c r="AV2" s="9">
        <f t="shared" ref="AV2:AV65" si="5">IF(AQ2&lt;&gt;"",AU2/AQ2,"")</f>
        <v>1.3057522123893806</v>
      </c>
    </row>
    <row r="3" spans="1:49" x14ac:dyDescent="0.3">
      <c r="A3" s="24" t="s">
        <v>375</v>
      </c>
      <c r="B3" t="s">
        <v>42</v>
      </c>
      <c r="C3" s="2">
        <v>11222</v>
      </c>
      <c r="D3" t="s">
        <v>43</v>
      </c>
      <c r="E3" t="s">
        <v>44</v>
      </c>
      <c r="F3" t="s">
        <v>172</v>
      </c>
      <c r="G3" s="2">
        <v>1914</v>
      </c>
      <c r="H3" s="2" t="s">
        <v>131</v>
      </c>
      <c r="I3" s="2" t="str">
        <f t="shared" ref="I3:I66" si="6">IF(G3&lt;1951,"&lt;1950",IF(G3&lt;1981,"1950-1980","&gt;1980"))</f>
        <v>&lt;1950</v>
      </c>
      <c r="J3" s="14">
        <v>4</v>
      </c>
      <c r="K3" s="2">
        <f t="shared" si="0"/>
        <v>0</v>
      </c>
      <c r="L3" s="14">
        <f>12+4*2</f>
        <v>20</v>
      </c>
      <c r="M3" s="14">
        <f>12+4</f>
        <v>16</v>
      </c>
      <c r="N3" s="2">
        <v>2</v>
      </c>
      <c r="O3" s="2">
        <v>0</v>
      </c>
      <c r="P3" s="2">
        <v>2</v>
      </c>
      <c r="Q3" s="2">
        <v>1</v>
      </c>
      <c r="R3" s="15">
        <v>8</v>
      </c>
      <c r="S3" s="15">
        <v>8</v>
      </c>
      <c r="T3" s="2">
        <v>13.2</v>
      </c>
      <c r="U3" s="2">
        <v>12.9</v>
      </c>
      <c r="V3" s="2">
        <v>188</v>
      </c>
      <c r="W3" s="2">
        <v>405.3</v>
      </c>
      <c r="X3" s="2">
        <v>0</v>
      </c>
      <c r="Y3" s="2">
        <v>393.2</v>
      </c>
      <c r="Z3" s="2" t="s">
        <v>373</v>
      </c>
      <c r="AA3">
        <v>5</v>
      </c>
      <c r="AB3" s="2">
        <v>1</v>
      </c>
      <c r="AC3"/>
      <c r="AD3" s="3" t="s">
        <v>64</v>
      </c>
      <c r="AE3" s="3" t="s">
        <v>65</v>
      </c>
      <c r="AF3" s="3" t="s">
        <v>65</v>
      </c>
      <c r="AG3" s="3" t="s">
        <v>65</v>
      </c>
      <c r="AH3" s="3" t="s">
        <v>52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1</v>
      </c>
      <c r="AO3" s="2" t="s">
        <v>376</v>
      </c>
      <c r="AP3" s="2">
        <v>352.2</v>
      </c>
      <c r="AQ3" s="2">
        <v>54.8</v>
      </c>
      <c r="AR3" s="4">
        <f t="shared" si="1"/>
        <v>0.13464373464373464</v>
      </c>
      <c r="AS3" s="18">
        <f t="shared" si="2"/>
        <v>62.911999999999999</v>
      </c>
      <c r="AT3">
        <f t="shared" si="3"/>
        <v>1.1480291970802921</v>
      </c>
      <c r="AU3">
        <f t="shared" si="4"/>
        <v>36.32</v>
      </c>
      <c r="AV3" s="9">
        <f t="shared" si="5"/>
        <v>0.66277372262773726</v>
      </c>
      <c r="AW3" t="s">
        <v>377</v>
      </c>
    </row>
    <row r="4" spans="1:49" x14ac:dyDescent="0.3">
      <c r="A4" s="23">
        <v>40</v>
      </c>
      <c r="B4" t="s">
        <v>42</v>
      </c>
      <c r="C4" s="1">
        <v>11222</v>
      </c>
      <c r="D4" t="s">
        <v>304</v>
      </c>
      <c r="E4" t="s">
        <v>307</v>
      </c>
      <c r="F4" t="s">
        <v>307</v>
      </c>
      <c r="G4" s="2">
        <v>1954</v>
      </c>
      <c r="H4" s="2" t="s">
        <v>63</v>
      </c>
      <c r="I4" s="2" t="str">
        <f t="shared" si="6"/>
        <v>1950-1980</v>
      </c>
      <c r="J4" s="2">
        <v>8</v>
      </c>
      <c r="K4" s="2">
        <f t="shared" si="0"/>
        <v>10</v>
      </c>
      <c r="L4" s="2">
        <v>34</v>
      </c>
      <c r="M4" s="2">
        <v>26</v>
      </c>
      <c r="N4" s="2">
        <v>2</v>
      </c>
      <c r="O4" s="2">
        <v>0</v>
      </c>
      <c r="P4" s="2">
        <v>1</v>
      </c>
      <c r="Q4" s="2">
        <v>0</v>
      </c>
      <c r="R4" s="2">
        <v>10.8</v>
      </c>
      <c r="S4" s="2">
        <v>11</v>
      </c>
      <c r="T4" s="2">
        <v>13.8</v>
      </c>
      <c r="U4" s="2">
        <v>18.100000000000001</v>
      </c>
      <c r="V4" s="1">
        <v>282</v>
      </c>
      <c r="W4" s="2">
        <v>400.4</v>
      </c>
      <c r="X4" s="2">
        <v>23.6</v>
      </c>
      <c r="Y4" s="1">
        <v>376.8</v>
      </c>
      <c r="Z4" s="2" t="s">
        <v>373</v>
      </c>
      <c r="AA4" s="2">
        <v>4</v>
      </c>
      <c r="AB4" s="2">
        <v>0</v>
      </c>
      <c r="AD4" s="3" t="s">
        <v>64</v>
      </c>
      <c r="AE4" s="3" t="s">
        <v>379</v>
      </c>
      <c r="AF4" s="3" t="s">
        <v>50</v>
      </c>
      <c r="AG4" s="3" t="s">
        <v>51</v>
      </c>
      <c r="AH4" s="3" t="s">
        <v>81</v>
      </c>
      <c r="AI4" s="2">
        <v>0</v>
      </c>
      <c r="AJ4" s="2">
        <v>1</v>
      </c>
      <c r="AK4" s="2">
        <v>0</v>
      </c>
      <c r="AL4" s="2">
        <v>0</v>
      </c>
      <c r="AM4" s="2">
        <v>0</v>
      </c>
      <c r="AN4" s="2">
        <v>1</v>
      </c>
      <c r="AO4" s="2" t="s">
        <v>76</v>
      </c>
      <c r="AP4" s="1">
        <f>249.1</f>
        <v>249.1</v>
      </c>
      <c r="AQ4" s="1">
        <f>8.4+19+17.6+8.4</f>
        <v>53.4</v>
      </c>
      <c r="AR4" s="4">
        <f t="shared" si="1"/>
        <v>0.17652892561983471</v>
      </c>
      <c r="AS4" s="18">
        <f t="shared" si="2"/>
        <v>60.288000000000004</v>
      </c>
      <c r="AT4">
        <f t="shared" si="3"/>
        <v>1.1289887640449439</v>
      </c>
      <c r="AU4">
        <f t="shared" si="4"/>
        <v>59.02</v>
      </c>
      <c r="AV4" s="9">
        <f t="shared" si="5"/>
        <v>1.1052434456928839</v>
      </c>
    </row>
    <row r="5" spans="1:49" x14ac:dyDescent="0.3">
      <c r="A5" s="23">
        <v>174</v>
      </c>
      <c r="B5" t="s">
        <v>42</v>
      </c>
      <c r="C5" s="1">
        <v>11222</v>
      </c>
      <c r="D5" t="s">
        <v>43</v>
      </c>
      <c r="E5" t="s">
        <v>44</v>
      </c>
      <c r="F5" t="s">
        <v>62</v>
      </c>
      <c r="G5" s="2">
        <v>1943</v>
      </c>
      <c r="H5" s="2" t="s">
        <v>378</v>
      </c>
      <c r="I5" s="2" t="str">
        <f t="shared" si="6"/>
        <v>&lt;1950</v>
      </c>
      <c r="J5" s="2">
        <v>8</v>
      </c>
      <c r="K5" s="2">
        <f t="shared" si="0"/>
        <v>10</v>
      </c>
      <c r="L5" s="2">
        <v>36</v>
      </c>
      <c r="M5" s="2">
        <v>28</v>
      </c>
      <c r="N5" s="2">
        <v>2</v>
      </c>
      <c r="O5" s="2">
        <v>0</v>
      </c>
      <c r="P5" s="2">
        <v>1</v>
      </c>
      <c r="Q5" s="2">
        <v>1</v>
      </c>
      <c r="R5" s="2">
        <v>10.5</v>
      </c>
      <c r="S5" s="2">
        <v>10.5</v>
      </c>
      <c r="T5" s="2">
        <v>11.3</v>
      </c>
      <c r="U5" s="2">
        <v>24.3</v>
      </c>
      <c r="V5" s="1">
        <v>255</v>
      </c>
      <c r="W5" s="2">
        <v>596.29999999999995</v>
      </c>
      <c r="X5" s="2">
        <v>205.6</v>
      </c>
      <c r="Y5" s="1">
        <v>390.7</v>
      </c>
      <c r="Z5" s="2" t="s">
        <v>373</v>
      </c>
      <c r="AA5" s="2">
        <v>4</v>
      </c>
      <c r="AB5" s="2">
        <v>0</v>
      </c>
      <c r="AD5" s="3" t="s">
        <v>64</v>
      </c>
      <c r="AE5" s="3" t="s">
        <v>65</v>
      </c>
      <c r="AF5" s="3" t="s">
        <v>65</v>
      </c>
      <c r="AG5" s="3" t="s">
        <v>74</v>
      </c>
      <c r="AH5" s="3" t="s">
        <v>52</v>
      </c>
      <c r="AI5" s="2">
        <v>0</v>
      </c>
      <c r="AJ5" s="2">
        <v>1</v>
      </c>
      <c r="AK5" s="2">
        <v>0</v>
      </c>
      <c r="AL5" s="2">
        <v>0</v>
      </c>
      <c r="AM5" s="2">
        <v>0</v>
      </c>
      <c r="AN5" s="2">
        <v>1</v>
      </c>
      <c r="AO5" s="2" t="s">
        <v>61</v>
      </c>
      <c r="AP5" s="1">
        <v>297.2</v>
      </c>
      <c r="AQ5" s="1">
        <v>61.8</v>
      </c>
      <c r="AR5" s="4">
        <f t="shared" si="1"/>
        <v>0.17214484679665737</v>
      </c>
      <c r="AS5" s="18">
        <f t="shared" si="2"/>
        <v>62.512</v>
      </c>
      <c r="AT5">
        <f t="shared" si="3"/>
        <v>1.0115210355987057</v>
      </c>
      <c r="AU5">
        <f t="shared" si="4"/>
        <v>63.56</v>
      </c>
      <c r="AV5" s="9">
        <f t="shared" si="5"/>
        <v>1.0284789644012946</v>
      </c>
    </row>
    <row r="6" spans="1:49" x14ac:dyDescent="0.3">
      <c r="A6" s="23">
        <v>130</v>
      </c>
      <c r="B6" t="s">
        <v>42</v>
      </c>
      <c r="C6" s="1">
        <v>11222</v>
      </c>
      <c r="D6" t="s">
        <v>77</v>
      </c>
      <c r="E6" t="s">
        <v>137</v>
      </c>
      <c r="F6" t="s">
        <v>380</v>
      </c>
      <c r="G6" s="2">
        <v>1954</v>
      </c>
      <c r="H6" s="2" t="s">
        <v>63</v>
      </c>
      <c r="I6" s="2" t="str">
        <f t="shared" si="6"/>
        <v>1950-1980</v>
      </c>
      <c r="J6" s="2">
        <v>4</v>
      </c>
      <c r="K6" s="2">
        <f t="shared" si="0"/>
        <v>0</v>
      </c>
      <c r="L6" s="2">
        <v>14</v>
      </c>
      <c r="M6" s="2">
        <v>10</v>
      </c>
      <c r="N6" s="2">
        <v>2</v>
      </c>
      <c r="O6" s="2">
        <v>0</v>
      </c>
      <c r="P6" s="2">
        <v>1</v>
      </c>
      <c r="Q6" s="2">
        <v>0</v>
      </c>
      <c r="R6" s="2">
        <v>7.1</v>
      </c>
      <c r="S6" s="2">
        <v>7</v>
      </c>
      <c r="T6" s="2">
        <v>10.1</v>
      </c>
      <c r="U6" s="2">
        <v>13</v>
      </c>
      <c r="V6" s="1">
        <v>135</v>
      </c>
      <c r="W6" s="2">
        <v>181.1</v>
      </c>
      <c r="X6" s="2">
        <v>38.799999999999997</v>
      </c>
      <c r="Y6" s="1">
        <v>167.2</v>
      </c>
      <c r="Z6" s="2" t="s">
        <v>373</v>
      </c>
      <c r="AA6" s="2">
        <v>6</v>
      </c>
      <c r="AB6" s="2">
        <v>2</v>
      </c>
      <c r="AC6" s="2">
        <v>0</v>
      </c>
      <c r="AD6" s="3" t="s">
        <v>64</v>
      </c>
      <c r="AE6" s="3" t="s">
        <v>381</v>
      </c>
      <c r="AF6" s="3" t="s">
        <v>382</v>
      </c>
      <c r="AG6" s="3" t="s">
        <v>51</v>
      </c>
      <c r="AH6" s="3" t="s">
        <v>52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1</v>
      </c>
      <c r="AO6" s="2" t="s">
        <v>84</v>
      </c>
      <c r="AP6" s="1">
        <v>163.4</v>
      </c>
      <c r="AQ6" s="1">
        <f>6.2+9.5+6.4+5.6</f>
        <v>27.700000000000003</v>
      </c>
      <c r="AR6" s="4">
        <f t="shared" si="1"/>
        <v>0.14495028780743066</v>
      </c>
      <c r="AS6" s="18">
        <f t="shared" si="2"/>
        <v>26.751999999999999</v>
      </c>
      <c r="AT6">
        <f t="shared" si="3"/>
        <v>0.96577617328519838</v>
      </c>
      <c r="AU6">
        <f t="shared" si="4"/>
        <v>22.7</v>
      </c>
      <c r="AV6" s="9">
        <f t="shared" si="5"/>
        <v>0.819494584837545</v>
      </c>
    </row>
    <row r="7" spans="1:49" x14ac:dyDescent="0.3">
      <c r="A7" s="23">
        <v>243</v>
      </c>
      <c r="B7" t="s">
        <v>42</v>
      </c>
      <c r="C7" s="1">
        <v>11222</v>
      </c>
      <c r="D7" t="s">
        <v>85</v>
      </c>
      <c r="E7" t="s">
        <v>86</v>
      </c>
      <c r="F7" t="s">
        <v>86</v>
      </c>
      <c r="G7" s="2">
        <v>1939</v>
      </c>
      <c r="H7" s="2" t="s">
        <v>111</v>
      </c>
      <c r="I7" s="2" t="str">
        <f t="shared" si="6"/>
        <v>&lt;1950</v>
      </c>
      <c r="J7" s="2">
        <v>6</v>
      </c>
      <c r="K7" s="2">
        <f t="shared" si="0"/>
        <v>10</v>
      </c>
      <c r="L7" s="2">
        <v>40</v>
      </c>
      <c r="M7" s="2">
        <v>34</v>
      </c>
      <c r="N7" s="2">
        <v>3</v>
      </c>
      <c r="O7" s="2">
        <v>0</v>
      </c>
      <c r="P7" s="2">
        <v>1</v>
      </c>
      <c r="Q7" s="2">
        <v>1</v>
      </c>
      <c r="R7" s="2">
        <v>11</v>
      </c>
      <c r="S7" s="2">
        <v>11</v>
      </c>
      <c r="T7" s="2">
        <v>17</v>
      </c>
      <c r="U7" s="2">
        <v>23.2</v>
      </c>
      <c r="V7" s="1">
        <v>334</v>
      </c>
      <c r="W7" s="2">
        <v>1024.3</v>
      </c>
      <c r="X7" s="2">
        <v>345.7</v>
      </c>
      <c r="Y7" s="1">
        <v>776.7</v>
      </c>
      <c r="Z7" s="2" t="s">
        <v>373</v>
      </c>
      <c r="AA7" s="2">
        <v>6</v>
      </c>
      <c r="AB7" s="2">
        <v>2</v>
      </c>
      <c r="AD7" s="3" t="s">
        <v>64</v>
      </c>
      <c r="AE7" s="3" t="s">
        <v>374</v>
      </c>
      <c r="AF7" s="3" t="s">
        <v>50</v>
      </c>
      <c r="AG7" s="3" t="s">
        <v>51</v>
      </c>
      <c r="AH7" s="3" t="s">
        <v>203</v>
      </c>
      <c r="AI7" s="2">
        <v>0</v>
      </c>
      <c r="AJ7" s="2">
        <v>1</v>
      </c>
      <c r="AK7" s="2">
        <v>0</v>
      </c>
      <c r="AL7" s="2">
        <v>0</v>
      </c>
      <c r="AM7" s="2">
        <v>1</v>
      </c>
      <c r="AN7" s="2">
        <v>1</v>
      </c>
      <c r="AO7" s="2" t="s">
        <v>76</v>
      </c>
      <c r="AP7" s="1">
        <f>579</f>
        <v>579</v>
      </c>
      <c r="AQ7" s="1">
        <f>45.4+19.8+44.9+19.8</f>
        <v>129.9</v>
      </c>
      <c r="AR7" s="4">
        <f t="shared" si="1"/>
        <v>0.18324164198053322</v>
      </c>
      <c r="AS7" s="18">
        <f t="shared" si="2"/>
        <v>124.27200000000001</v>
      </c>
      <c r="AT7">
        <f t="shared" si="3"/>
        <v>0.95667436489607394</v>
      </c>
      <c r="AU7">
        <f t="shared" si="4"/>
        <v>77.180000000000007</v>
      </c>
      <c r="AV7" s="9">
        <f t="shared" si="5"/>
        <v>0.59414934565050037</v>
      </c>
    </row>
    <row r="8" spans="1:49" x14ac:dyDescent="0.3">
      <c r="A8" s="23">
        <v>290</v>
      </c>
      <c r="B8" t="s">
        <v>42</v>
      </c>
      <c r="C8" s="1">
        <v>11222</v>
      </c>
      <c r="D8" t="s">
        <v>43</v>
      </c>
      <c r="E8" t="s">
        <v>44</v>
      </c>
      <c r="F8" t="s">
        <v>172</v>
      </c>
      <c r="G8" s="2">
        <v>1912</v>
      </c>
      <c r="H8" s="2" t="s">
        <v>208</v>
      </c>
      <c r="I8" s="2" t="str">
        <f t="shared" si="6"/>
        <v>&lt;1950</v>
      </c>
      <c r="J8" s="2">
        <v>5</v>
      </c>
      <c r="K8" s="2">
        <f t="shared" si="0"/>
        <v>10</v>
      </c>
      <c r="L8" s="2">
        <v>29</v>
      </c>
      <c r="M8" s="2">
        <v>24</v>
      </c>
      <c r="N8" s="2">
        <v>2</v>
      </c>
      <c r="O8" s="2">
        <v>0</v>
      </c>
      <c r="P8" s="2">
        <v>2</v>
      </c>
      <c r="Q8" s="2">
        <v>1</v>
      </c>
      <c r="R8" s="2">
        <v>12.4</v>
      </c>
      <c r="S8" s="2">
        <v>12.5</v>
      </c>
      <c r="T8" s="2">
        <v>11.4</v>
      </c>
      <c r="U8" s="2">
        <v>23.2</v>
      </c>
      <c r="V8" s="1">
        <v>247</v>
      </c>
      <c r="W8" s="2">
        <v>626.1</v>
      </c>
      <c r="X8" s="2">
        <v>111.7</v>
      </c>
      <c r="Y8" s="1">
        <v>586</v>
      </c>
      <c r="Z8" s="2" t="s">
        <v>373</v>
      </c>
      <c r="AA8" s="2">
        <v>4</v>
      </c>
      <c r="AB8" s="2">
        <v>0</v>
      </c>
      <c r="AD8" s="3" t="s">
        <v>64</v>
      </c>
      <c r="AE8" s="3" t="s">
        <v>64</v>
      </c>
      <c r="AF8" s="3" t="s">
        <v>64</v>
      </c>
      <c r="AG8" s="3" t="s">
        <v>51</v>
      </c>
      <c r="AH8" s="3" t="s">
        <v>52</v>
      </c>
      <c r="AI8" s="2">
        <v>0</v>
      </c>
      <c r="AJ8" s="2">
        <v>1</v>
      </c>
      <c r="AK8" s="2">
        <v>0</v>
      </c>
      <c r="AL8" s="2">
        <v>0</v>
      </c>
      <c r="AM8" s="2">
        <v>0</v>
      </c>
      <c r="AN8" s="2">
        <v>1</v>
      </c>
      <c r="AO8" s="2" t="s">
        <v>61</v>
      </c>
      <c r="AP8" s="1">
        <f>284.7+86.4+92.6</f>
        <v>463.70000000000005</v>
      </c>
      <c r="AQ8" s="1">
        <f>44.4+51.6+3.4</f>
        <v>99.4</v>
      </c>
      <c r="AR8" s="4">
        <f t="shared" si="1"/>
        <v>0.17652282010300124</v>
      </c>
      <c r="AS8" s="18">
        <f t="shared" si="2"/>
        <v>93.76</v>
      </c>
      <c r="AT8">
        <f t="shared" si="3"/>
        <v>0.94325955734406441</v>
      </c>
      <c r="AU8">
        <f t="shared" si="4"/>
        <v>54.480000000000004</v>
      </c>
      <c r="AV8" s="9">
        <f t="shared" si="5"/>
        <v>0.54808853118712275</v>
      </c>
    </row>
    <row r="9" spans="1:49" x14ac:dyDescent="0.3">
      <c r="A9" s="23">
        <v>221</v>
      </c>
      <c r="B9" t="s">
        <v>42</v>
      </c>
      <c r="C9" s="1">
        <v>11222</v>
      </c>
      <c r="D9" t="s">
        <v>43</v>
      </c>
      <c r="E9" t="s">
        <v>44</v>
      </c>
      <c r="F9" t="s">
        <v>172</v>
      </c>
      <c r="G9" s="2">
        <v>1949</v>
      </c>
      <c r="H9" s="2" t="s">
        <v>378</v>
      </c>
      <c r="I9" s="2" t="str">
        <f t="shared" si="6"/>
        <v>&lt;1950</v>
      </c>
      <c r="J9" s="2">
        <v>5</v>
      </c>
      <c r="K9" s="2">
        <f t="shared" si="0"/>
        <v>10</v>
      </c>
      <c r="L9" s="2">
        <v>20</v>
      </c>
      <c r="M9" s="2">
        <v>15</v>
      </c>
      <c r="N9" s="2">
        <v>3</v>
      </c>
      <c r="O9" s="2">
        <v>0</v>
      </c>
      <c r="P9" s="2">
        <v>1</v>
      </c>
      <c r="Q9" s="2">
        <v>1</v>
      </c>
      <c r="R9" s="2">
        <v>10.7</v>
      </c>
      <c r="S9" s="2">
        <v>10.5</v>
      </c>
      <c r="T9" s="2">
        <v>10.9</v>
      </c>
      <c r="U9" s="2">
        <v>16.899999999999999</v>
      </c>
      <c r="V9" s="1">
        <v>153</v>
      </c>
      <c r="W9" s="2">
        <v>379.5</v>
      </c>
      <c r="X9" s="2">
        <v>114.6</v>
      </c>
      <c r="Y9" s="1">
        <v>379.5</v>
      </c>
      <c r="Z9" s="2" t="s">
        <v>373</v>
      </c>
      <c r="AA9" s="2">
        <v>6</v>
      </c>
      <c r="AB9" s="2">
        <v>2</v>
      </c>
      <c r="AC9" s="2">
        <v>0</v>
      </c>
      <c r="AD9" s="3" t="s">
        <v>64</v>
      </c>
      <c r="AE9" s="3" t="s">
        <v>383</v>
      </c>
      <c r="AF9" s="3" t="s">
        <v>382</v>
      </c>
      <c r="AG9" s="3" t="s">
        <v>51</v>
      </c>
      <c r="AH9" s="3" t="s">
        <v>81</v>
      </c>
      <c r="AI9" s="2">
        <v>0</v>
      </c>
      <c r="AJ9" s="2">
        <v>1</v>
      </c>
      <c r="AK9" s="2">
        <v>0</v>
      </c>
      <c r="AL9" s="2">
        <v>0</v>
      </c>
      <c r="AM9" s="2">
        <v>0</v>
      </c>
      <c r="AN9" s="2">
        <v>1</v>
      </c>
      <c r="AO9" s="2" t="s">
        <v>123</v>
      </c>
      <c r="AP9" s="1">
        <f>111.7+117.4+64.2+73.6</f>
        <v>366.9</v>
      </c>
      <c r="AQ9" s="1">
        <f>17.3+17.1+18.8+11.6</f>
        <v>64.8</v>
      </c>
      <c r="AR9" s="4">
        <f t="shared" si="1"/>
        <v>0.15010423905489922</v>
      </c>
      <c r="AS9" s="18">
        <f t="shared" si="2"/>
        <v>60.72</v>
      </c>
      <c r="AT9">
        <f t="shared" si="3"/>
        <v>0.93703703703703711</v>
      </c>
      <c r="AU9">
        <f t="shared" si="4"/>
        <v>34.049999999999997</v>
      </c>
      <c r="AV9" s="9">
        <f t="shared" si="5"/>
        <v>0.52546296296296291</v>
      </c>
    </row>
    <row r="10" spans="1:49" x14ac:dyDescent="0.3">
      <c r="A10" s="23">
        <v>185</v>
      </c>
      <c r="B10" t="s">
        <v>42</v>
      </c>
      <c r="C10" s="1">
        <v>11222</v>
      </c>
      <c r="D10" t="s">
        <v>43</v>
      </c>
      <c r="E10" t="s">
        <v>44</v>
      </c>
      <c r="F10" t="s">
        <v>172</v>
      </c>
      <c r="G10" s="2">
        <v>1927</v>
      </c>
      <c r="H10" s="2" t="s">
        <v>173</v>
      </c>
      <c r="I10" s="2" t="str">
        <f t="shared" si="6"/>
        <v>&lt;1950</v>
      </c>
      <c r="J10" s="2">
        <v>12</v>
      </c>
      <c r="K10" s="2">
        <f t="shared" si="0"/>
        <v>10</v>
      </c>
      <c r="L10" s="2">
        <v>55</v>
      </c>
      <c r="M10" s="2">
        <v>43</v>
      </c>
      <c r="N10" s="2">
        <v>3</v>
      </c>
      <c r="O10" s="2">
        <v>0</v>
      </c>
      <c r="P10" s="2">
        <v>2</v>
      </c>
      <c r="Q10" s="2">
        <v>1</v>
      </c>
      <c r="R10" s="2">
        <v>12.4</v>
      </c>
      <c r="S10" s="2">
        <v>12.5</v>
      </c>
      <c r="T10" s="2">
        <v>13</v>
      </c>
      <c r="U10" s="2">
        <v>25.2</v>
      </c>
      <c r="V10" s="1">
        <v>331</v>
      </c>
      <c r="W10" s="2">
        <v>985.3</v>
      </c>
      <c r="X10" s="2">
        <v>298.8</v>
      </c>
      <c r="Y10" s="1">
        <v>755.2</v>
      </c>
      <c r="Z10" s="2" t="s">
        <v>373</v>
      </c>
      <c r="AA10" s="2">
        <v>4</v>
      </c>
      <c r="AB10" s="2">
        <v>0</v>
      </c>
      <c r="AD10" s="3" t="s">
        <v>64</v>
      </c>
      <c r="AE10" s="3" t="s">
        <v>384</v>
      </c>
      <c r="AF10" s="3" t="s">
        <v>50</v>
      </c>
      <c r="AG10" s="3" t="s">
        <v>51</v>
      </c>
      <c r="AH10" s="3" t="s">
        <v>136</v>
      </c>
      <c r="AI10" s="2">
        <v>0</v>
      </c>
      <c r="AJ10" s="2">
        <v>1</v>
      </c>
      <c r="AK10" s="2">
        <v>0</v>
      </c>
      <c r="AL10" s="2">
        <v>0</v>
      </c>
      <c r="AM10" s="2">
        <v>0</v>
      </c>
      <c r="AN10" s="2">
        <v>1</v>
      </c>
      <c r="AO10" s="2" t="s">
        <v>76</v>
      </c>
      <c r="AP10" s="16">
        <v>461</v>
      </c>
      <c r="AQ10" s="16">
        <v>132</v>
      </c>
      <c r="AR10" s="4">
        <f t="shared" si="1"/>
        <v>0.22259696458684655</v>
      </c>
      <c r="AS10" s="18">
        <f t="shared" si="2"/>
        <v>120.83200000000001</v>
      </c>
      <c r="AT10">
        <f t="shared" si="3"/>
        <v>0.91539393939393943</v>
      </c>
      <c r="AU10">
        <f t="shared" si="4"/>
        <v>97.61</v>
      </c>
      <c r="AV10" s="9">
        <f t="shared" si="5"/>
        <v>0.739469696969697</v>
      </c>
    </row>
    <row r="11" spans="1:49" x14ac:dyDescent="0.3">
      <c r="A11" s="23">
        <v>354</v>
      </c>
      <c r="B11" t="s">
        <v>42</v>
      </c>
      <c r="C11" s="1">
        <v>11222</v>
      </c>
      <c r="D11" t="s">
        <v>43</v>
      </c>
      <c r="E11" t="s">
        <v>44</v>
      </c>
      <c r="F11" t="s">
        <v>82</v>
      </c>
      <c r="G11" s="2">
        <v>1926</v>
      </c>
      <c r="H11" s="2" t="s">
        <v>173</v>
      </c>
      <c r="I11" s="2" t="str">
        <f t="shared" si="6"/>
        <v>&lt;1950</v>
      </c>
      <c r="J11" s="2">
        <v>7</v>
      </c>
      <c r="K11" s="2">
        <f t="shared" si="0"/>
        <v>10</v>
      </c>
      <c r="L11" s="2">
        <v>31</v>
      </c>
      <c r="M11" s="2">
        <v>24</v>
      </c>
      <c r="N11" s="2">
        <v>2</v>
      </c>
      <c r="O11" s="2">
        <v>0</v>
      </c>
      <c r="P11" s="2">
        <v>2</v>
      </c>
      <c r="Q11" s="2">
        <v>1</v>
      </c>
      <c r="R11" s="2">
        <v>8.4</v>
      </c>
      <c r="S11" s="2">
        <v>8.5</v>
      </c>
      <c r="T11" s="2">
        <v>9.1</v>
      </c>
      <c r="U11" s="2">
        <v>24.1</v>
      </c>
      <c r="V11" s="1">
        <v>207</v>
      </c>
      <c r="W11" s="2">
        <v>323.2</v>
      </c>
      <c r="X11" s="2">
        <v>60.8</v>
      </c>
      <c r="Y11" s="1">
        <v>262.39999999999998</v>
      </c>
      <c r="Z11" s="2" t="s">
        <v>373</v>
      </c>
      <c r="AA11" s="2">
        <v>13</v>
      </c>
      <c r="AB11" s="2">
        <v>11</v>
      </c>
      <c r="AC11" s="2">
        <v>0</v>
      </c>
      <c r="AD11" s="3" t="s">
        <v>385</v>
      </c>
      <c r="AE11" s="3" t="s">
        <v>386</v>
      </c>
      <c r="AF11" s="3" t="s">
        <v>387</v>
      </c>
      <c r="AG11" s="3" t="s">
        <v>179</v>
      </c>
      <c r="AH11" s="3" t="s">
        <v>136</v>
      </c>
      <c r="AI11" s="2">
        <v>0</v>
      </c>
      <c r="AJ11" s="2">
        <v>1</v>
      </c>
      <c r="AK11" s="2">
        <v>0</v>
      </c>
      <c r="AL11" s="2">
        <v>0</v>
      </c>
      <c r="AM11" s="2">
        <v>0</v>
      </c>
      <c r="AN11" s="2">
        <v>1</v>
      </c>
      <c r="AO11" s="2" t="s">
        <v>103</v>
      </c>
      <c r="AP11" s="1">
        <v>219.5</v>
      </c>
      <c r="AQ11" s="1">
        <f>14.5+4.2+20+4.9+2.6</f>
        <v>46.2</v>
      </c>
      <c r="AR11" s="4">
        <f t="shared" si="1"/>
        <v>0.17388031614602936</v>
      </c>
      <c r="AS11" s="18">
        <f t="shared" si="2"/>
        <v>41.983999999999995</v>
      </c>
      <c r="AT11">
        <f t="shared" si="3"/>
        <v>0.90874458874458852</v>
      </c>
      <c r="AU11">
        <f t="shared" si="4"/>
        <v>54.480000000000004</v>
      </c>
      <c r="AV11" s="9">
        <f t="shared" si="5"/>
        <v>1.1792207792207792</v>
      </c>
    </row>
    <row r="12" spans="1:49" x14ac:dyDescent="0.3">
      <c r="A12" s="23">
        <v>10</v>
      </c>
      <c r="B12" t="s">
        <v>42</v>
      </c>
      <c r="C12" s="1">
        <v>11222</v>
      </c>
      <c r="D12" t="s">
        <v>43</v>
      </c>
      <c r="E12" t="s">
        <v>44</v>
      </c>
      <c r="F12" t="s">
        <v>266</v>
      </c>
      <c r="G12" s="2">
        <v>1967</v>
      </c>
      <c r="H12" s="2" t="s">
        <v>57</v>
      </c>
      <c r="I12" s="2" t="str">
        <f t="shared" si="6"/>
        <v>1950-1980</v>
      </c>
      <c r="J12" s="2">
        <v>90</v>
      </c>
      <c r="K12" s="2">
        <f t="shared" si="0"/>
        <v>90</v>
      </c>
      <c r="L12" s="2">
        <v>400</v>
      </c>
      <c r="M12" s="2">
        <v>310</v>
      </c>
      <c r="N12" s="2">
        <v>5</v>
      </c>
      <c r="O12" s="2">
        <v>0</v>
      </c>
      <c r="P12" s="2">
        <v>6</v>
      </c>
      <c r="Q12" s="2">
        <v>1</v>
      </c>
      <c r="R12" s="2">
        <v>15.4</v>
      </c>
      <c r="S12" s="2">
        <v>15.5</v>
      </c>
      <c r="V12" s="1">
        <v>1086</v>
      </c>
      <c r="W12" s="2">
        <v>5669</v>
      </c>
      <c r="X12" s="2">
        <v>1317.1999999999998</v>
      </c>
      <c r="Y12" s="1">
        <v>4642</v>
      </c>
      <c r="Z12" s="2" t="s">
        <v>210</v>
      </c>
      <c r="AA12" s="2">
        <v>4</v>
      </c>
      <c r="AB12" s="2">
        <v>0</v>
      </c>
      <c r="AD12" s="3" t="s">
        <v>91</v>
      </c>
      <c r="AE12" s="3" t="s">
        <v>92</v>
      </c>
      <c r="AF12" s="3" t="s">
        <v>139</v>
      </c>
      <c r="AG12" s="3" t="s">
        <v>74</v>
      </c>
      <c r="AH12" s="3" t="s">
        <v>75</v>
      </c>
      <c r="AI12" s="2">
        <v>1</v>
      </c>
      <c r="AJ12" s="2">
        <v>0</v>
      </c>
      <c r="AK12" s="2">
        <v>0</v>
      </c>
      <c r="AL12" s="2">
        <v>0</v>
      </c>
      <c r="AM12" s="2">
        <v>1</v>
      </c>
      <c r="AN12" s="2">
        <v>1</v>
      </c>
      <c r="AO12" s="2" t="s">
        <v>84</v>
      </c>
      <c r="AP12" s="1">
        <f>2120+660</f>
        <v>2780</v>
      </c>
      <c r="AQ12" s="1">
        <f>18+364*2+18</f>
        <v>764</v>
      </c>
      <c r="AR12" s="4">
        <f t="shared" si="1"/>
        <v>0.21557562076749437</v>
      </c>
      <c r="AS12" s="18">
        <f t="shared" si="2"/>
        <v>742.72</v>
      </c>
      <c r="AT12">
        <f t="shared" si="3"/>
        <v>0.9721465968586388</v>
      </c>
      <c r="AU12">
        <f t="shared" si="4"/>
        <v>703.7</v>
      </c>
      <c r="AV12" s="9">
        <f t="shared" si="5"/>
        <v>0.9210732984293194</v>
      </c>
    </row>
    <row r="13" spans="1:49" x14ac:dyDescent="0.3">
      <c r="A13" s="23">
        <v>14</v>
      </c>
      <c r="B13" t="s">
        <v>42</v>
      </c>
      <c r="C13" s="1">
        <v>11222</v>
      </c>
      <c r="D13" t="s">
        <v>43</v>
      </c>
      <c r="E13" t="s">
        <v>68</v>
      </c>
      <c r="F13" t="s">
        <v>68</v>
      </c>
      <c r="G13" s="2">
        <v>1988</v>
      </c>
      <c r="H13" s="2" t="s">
        <v>131</v>
      </c>
      <c r="I13" s="2" t="str">
        <f t="shared" si="6"/>
        <v>&gt;1980</v>
      </c>
      <c r="J13" s="2">
        <v>60</v>
      </c>
      <c r="K13" s="2">
        <f t="shared" si="0"/>
        <v>60</v>
      </c>
      <c r="L13" s="2">
        <v>240</v>
      </c>
      <c r="M13" s="2">
        <v>180</v>
      </c>
      <c r="N13" s="2">
        <v>5</v>
      </c>
      <c r="O13" s="2">
        <v>0</v>
      </c>
      <c r="P13" s="2">
        <v>4</v>
      </c>
      <c r="Q13" s="2">
        <v>1</v>
      </c>
      <c r="R13" s="2">
        <v>16.2</v>
      </c>
      <c r="S13" s="2">
        <v>16</v>
      </c>
      <c r="T13" s="2">
        <v>13.3</v>
      </c>
      <c r="U13" s="2">
        <v>62</v>
      </c>
      <c r="V13" s="1">
        <v>868</v>
      </c>
      <c r="W13" s="2">
        <v>3956</v>
      </c>
      <c r="X13" s="2">
        <v>910.8</v>
      </c>
      <c r="Y13" s="1">
        <v>3045.2</v>
      </c>
      <c r="Z13" s="2" t="s">
        <v>210</v>
      </c>
      <c r="AA13" s="2">
        <v>4</v>
      </c>
      <c r="AB13" s="2">
        <v>0</v>
      </c>
      <c r="AD13" s="3" t="s">
        <v>91</v>
      </c>
      <c r="AE13" s="3" t="s">
        <v>92</v>
      </c>
      <c r="AF13" s="3" t="s">
        <v>83</v>
      </c>
      <c r="AG13" s="3" t="s">
        <v>74</v>
      </c>
      <c r="AH13" s="3" t="s">
        <v>75</v>
      </c>
      <c r="AI13" s="2">
        <v>1</v>
      </c>
      <c r="AJ13" s="2">
        <v>0</v>
      </c>
      <c r="AK13" s="2">
        <v>0</v>
      </c>
      <c r="AL13" s="2">
        <v>1</v>
      </c>
      <c r="AM13" s="2">
        <v>0</v>
      </c>
      <c r="AN13" s="2">
        <v>0</v>
      </c>
      <c r="AO13" s="2" t="s">
        <v>76</v>
      </c>
      <c r="AP13" s="16">
        <v>1541</v>
      </c>
      <c r="AQ13" s="16">
        <v>522.20000000000005</v>
      </c>
      <c r="AR13" s="4">
        <f t="shared" si="1"/>
        <v>0.2531019775106631</v>
      </c>
      <c r="AS13" s="18">
        <f t="shared" si="2"/>
        <v>487.23199999999997</v>
      </c>
      <c r="AT13">
        <f t="shared" si="3"/>
        <v>0.93303715051704317</v>
      </c>
      <c r="AU13">
        <f t="shared" si="4"/>
        <v>408.6</v>
      </c>
      <c r="AV13" s="9">
        <f t="shared" si="5"/>
        <v>0.78245882803523548</v>
      </c>
    </row>
    <row r="14" spans="1:49" x14ac:dyDescent="0.3">
      <c r="A14" s="23">
        <v>19</v>
      </c>
      <c r="B14" t="s">
        <v>42</v>
      </c>
      <c r="C14" s="1">
        <v>11222</v>
      </c>
      <c r="D14" t="s">
        <v>43</v>
      </c>
      <c r="E14" t="s">
        <v>44</v>
      </c>
      <c r="F14" t="s">
        <v>274</v>
      </c>
      <c r="G14" s="2">
        <v>1975</v>
      </c>
      <c r="H14" s="2" t="s">
        <v>69</v>
      </c>
      <c r="I14" s="2" t="str">
        <f t="shared" si="6"/>
        <v>1950-1980</v>
      </c>
      <c r="J14" s="2">
        <v>30</v>
      </c>
      <c r="K14" s="2">
        <f t="shared" si="0"/>
        <v>30</v>
      </c>
      <c r="L14" s="2">
        <v>120</v>
      </c>
      <c r="M14" s="2">
        <v>90</v>
      </c>
      <c r="N14" s="2">
        <v>5</v>
      </c>
      <c r="O14" s="2">
        <v>0</v>
      </c>
      <c r="P14" s="2">
        <v>2</v>
      </c>
      <c r="Q14" s="2">
        <v>1</v>
      </c>
      <c r="R14" s="2">
        <v>15.6</v>
      </c>
      <c r="S14" s="2">
        <v>15.5</v>
      </c>
      <c r="T14" s="2">
        <v>12.8</v>
      </c>
      <c r="U14" s="2">
        <v>31.1</v>
      </c>
      <c r="V14" s="1">
        <v>382</v>
      </c>
      <c r="W14" s="2">
        <v>1969</v>
      </c>
      <c r="X14" s="2">
        <v>453.5</v>
      </c>
      <c r="Y14" s="1">
        <v>1661</v>
      </c>
      <c r="Z14" s="2" t="s">
        <v>210</v>
      </c>
      <c r="AA14" s="2">
        <v>4</v>
      </c>
      <c r="AB14" s="2">
        <v>0</v>
      </c>
      <c r="AD14" s="3" t="s">
        <v>91</v>
      </c>
      <c r="AE14" s="3" t="s">
        <v>92</v>
      </c>
      <c r="AF14" s="3" t="s">
        <v>139</v>
      </c>
      <c r="AG14" s="3" t="s">
        <v>275</v>
      </c>
      <c r="AH14" s="3" t="s">
        <v>75</v>
      </c>
      <c r="AI14" s="2">
        <v>1</v>
      </c>
      <c r="AJ14" s="2">
        <v>0</v>
      </c>
      <c r="AK14" s="2">
        <v>0</v>
      </c>
      <c r="AL14" s="2">
        <v>1</v>
      </c>
      <c r="AM14" s="2">
        <v>1</v>
      </c>
      <c r="AN14" s="2">
        <v>0</v>
      </c>
      <c r="AO14" s="2" t="s">
        <v>76</v>
      </c>
      <c r="AP14" s="1">
        <f>656+172</f>
        <v>828</v>
      </c>
      <c r="AQ14" s="1">
        <f>110+120</f>
        <v>230</v>
      </c>
      <c r="AR14" s="4">
        <f t="shared" si="1"/>
        <v>0.21739130434782608</v>
      </c>
      <c r="AS14" s="18">
        <f t="shared" si="2"/>
        <v>265.76</v>
      </c>
      <c r="AT14">
        <f t="shared" si="3"/>
        <v>1.1554782608695653</v>
      </c>
      <c r="AU14">
        <f t="shared" si="4"/>
        <v>204.3</v>
      </c>
      <c r="AV14" s="9">
        <f t="shared" si="5"/>
        <v>0.88826086956521744</v>
      </c>
    </row>
    <row r="15" spans="1:49" x14ac:dyDescent="0.3">
      <c r="A15" s="23">
        <v>50</v>
      </c>
      <c r="B15" t="s">
        <v>42</v>
      </c>
      <c r="C15" s="1">
        <v>11222</v>
      </c>
      <c r="D15" t="s">
        <v>54</v>
      </c>
      <c r="E15" t="s">
        <v>110</v>
      </c>
      <c r="F15" t="s">
        <v>110</v>
      </c>
      <c r="G15" s="2">
        <v>1973</v>
      </c>
      <c r="H15" s="2" t="s">
        <v>69</v>
      </c>
      <c r="I15" s="2" t="str">
        <f t="shared" si="6"/>
        <v>1950-1980</v>
      </c>
      <c r="J15" s="2">
        <v>60</v>
      </c>
      <c r="K15" s="2">
        <f t="shared" si="0"/>
        <v>60</v>
      </c>
      <c r="L15" s="2">
        <v>240</v>
      </c>
      <c r="M15" s="2">
        <v>180</v>
      </c>
      <c r="N15" s="2">
        <v>5</v>
      </c>
      <c r="O15" s="2">
        <v>0</v>
      </c>
      <c r="P15" s="2">
        <v>4</v>
      </c>
      <c r="Q15" s="2">
        <v>1</v>
      </c>
      <c r="R15" s="2">
        <v>15.8</v>
      </c>
      <c r="S15" s="2">
        <v>16</v>
      </c>
      <c r="T15" s="2">
        <v>12.1</v>
      </c>
      <c r="U15" s="2">
        <v>57.4</v>
      </c>
      <c r="V15" s="1">
        <v>707.2</v>
      </c>
      <c r="W15" s="2">
        <v>3341.7</v>
      </c>
      <c r="X15" s="2">
        <v>635.6</v>
      </c>
      <c r="Y15" s="1">
        <v>2974</v>
      </c>
      <c r="Z15" s="2" t="s">
        <v>210</v>
      </c>
      <c r="AA15" s="2">
        <v>4</v>
      </c>
      <c r="AB15" s="2">
        <v>0</v>
      </c>
      <c r="AD15" s="3" t="s">
        <v>91</v>
      </c>
      <c r="AE15" s="3" t="s">
        <v>92</v>
      </c>
      <c r="AF15" s="3" t="s">
        <v>150</v>
      </c>
      <c r="AG15" s="3" t="s">
        <v>74</v>
      </c>
      <c r="AH15" s="3" t="s">
        <v>75</v>
      </c>
      <c r="AI15" s="2">
        <v>1</v>
      </c>
      <c r="AJ15" s="2">
        <v>0</v>
      </c>
      <c r="AK15" s="2">
        <v>0</v>
      </c>
      <c r="AL15" s="2">
        <v>0</v>
      </c>
      <c r="AM15" s="2">
        <v>1</v>
      </c>
      <c r="AN15" s="2">
        <v>1</v>
      </c>
      <c r="AO15" s="2" t="s">
        <v>123</v>
      </c>
      <c r="AP15" s="1">
        <v>3638</v>
      </c>
      <c r="AQ15" s="1">
        <f>406+362.7</f>
        <v>768.7</v>
      </c>
      <c r="AR15" s="4">
        <f t="shared" si="1"/>
        <v>0.17443892254975379</v>
      </c>
      <c r="AS15" s="18">
        <f t="shared" si="2"/>
        <v>475.84</v>
      </c>
      <c r="AT15">
        <f t="shared" si="3"/>
        <v>0.61901912319500452</v>
      </c>
      <c r="AU15">
        <f t="shared" si="4"/>
        <v>408.6</v>
      </c>
      <c r="AV15" s="9">
        <f t="shared" si="5"/>
        <v>0.53154676726941585</v>
      </c>
    </row>
    <row r="16" spans="1:49" x14ac:dyDescent="0.3">
      <c r="A16" s="23">
        <v>54</v>
      </c>
      <c r="B16" t="s">
        <v>42</v>
      </c>
      <c r="C16" s="1">
        <v>11222</v>
      </c>
      <c r="D16" t="s">
        <v>43</v>
      </c>
      <c r="E16" t="s">
        <v>44</v>
      </c>
      <c r="F16" t="s">
        <v>266</v>
      </c>
      <c r="G16" s="2">
        <v>1968</v>
      </c>
      <c r="H16" s="2" t="s">
        <v>57</v>
      </c>
      <c r="I16" s="2" t="str">
        <f t="shared" si="6"/>
        <v>1950-1980</v>
      </c>
      <c r="J16" s="2">
        <v>89</v>
      </c>
      <c r="K16" s="2">
        <f t="shared" si="0"/>
        <v>90</v>
      </c>
      <c r="L16" s="2">
        <v>396</v>
      </c>
      <c r="M16" s="2">
        <v>307</v>
      </c>
      <c r="N16" s="2">
        <v>5</v>
      </c>
      <c r="O16" s="2">
        <v>0</v>
      </c>
      <c r="P16" s="2">
        <v>6</v>
      </c>
      <c r="Q16" s="2">
        <v>1</v>
      </c>
      <c r="R16" s="2">
        <v>14.8</v>
      </c>
      <c r="S16" s="2">
        <v>15</v>
      </c>
      <c r="T16" s="2">
        <v>12.2</v>
      </c>
      <c r="U16" s="2">
        <v>92.1</v>
      </c>
      <c r="V16" s="1">
        <v>1153.3</v>
      </c>
      <c r="W16" s="2">
        <v>5690.6</v>
      </c>
      <c r="X16" s="2">
        <v>1286.0999999999999</v>
      </c>
      <c r="Y16" s="1">
        <v>4666.6000000000004</v>
      </c>
      <c r="Z16" s="2" t="s">
        <v>210</v>
      </c>
      <c r="AA16" s="2">
        <v>4</v>
      </c>
      <c r="AB16" s="2">
        <v>0</v>
      </c>
      <c r="AD16" s="3" t="s">
        <v>91</v>
      </c>
      <c r="AE16" s="3" t="s">
        <v>92</v>
      </c>
      <c r="AF16" s="3" t="s">
        <v>50</v>
      </c>
      <c r="AG16" s="3" t="s">
        <v>74</v>
      </c>
      <c r="AH16" s="3" t="s">
        <v>75</v>
      </c>
      <c r="AI16" s="2">
        <v>1</v>
      </c>
      <c r="AJ16" s="2">
        <v>0</v>
      </c>
      <c r="AK16" s="2">
        <v>0</v>
      </c>
      <c r="AL16" s="2">
        <v>0</v>
      </c>
      <c r="AM16" s="2">
        <v>1</v>
      </c>
      <c r="AN16" s="2">
        <v>1</v>
      </c>
      <c r="AO16" s="2" t="s">
        <v>76</v>
      </c>
      <c r="AP16" s="1">
        <f>1745.6+130.4+90.4</f>
        <v>1966.4</v>
      </c>
      <c r="AQ16" s="1">
        <f>347+16.3*2+319.6</f>
        <v>699.2</v>
      </c>
      <c r="AR16" s="4">
        <f t="shared" si="1"/>
        <v>0.26230492196878752</v>
      </c>
      <c r="AS16" s="18">
        <f t="shared" si="2"/>
        <v>746.65600000000006</v>
      </c>
      <c r="AT16">
        <f t="shared" si="3"/>
        <v>1.0678718535469107</v>
      </c>
      <c r="AU16">
        <f t="shared" si="4"/>
        <v>696.89</v>
      </c>
      <c r="AV16" s="9">
        <f t="shared" si="5"/>
        <v>0.99669622425629278</v>
      </c>
    </row>
    <row r="17" spans="1:56" x14ac:dyDescent="0.3">
      <c r="A17" s="23">
        <v>56</v>
      </c>
      <c r="B17" t="s">
        <v>42</v>
      </c>
      <c r="C17" s="1">
        <v>11222</v>
      </c>
      <c r="D17" t="s">
        <v>85</v>
      </c>
      <c r="E17" t="s">
        <v>118</v>
      </c>
      <c r="F17" t="s">
        <v>119</v>
      </c>
      <c r="G17" s="2">
        <v>1987</v>
      </c>
      <c r="H17" s="2" t="s">
        <v>131</v>
      </c>
      <c r="I17" s="2" t="str">
        <f t="shared" si="6"/>
        <v>&gt;1980</v>
      </c>
      <c r="J17" s="2">
        <v>46</v>
      </c>
      <c r="K17" s="2">
        <f t="shared" si="0"/>
        <v>50</v>
      </c>
      <c r="L17" s="2">
        <v>216</v>
      </c>
      <c r="M17" s="2">
        <v>170</v>
      </c>
      <c r="N17" s="2">
        <v>5</v>
      </c>
      <c r="O17" s="2">
        <v>0</v>
      </c>
      <c r="P17" s="2">
        <v>8</v>
      </c>
      <c r="Q17" s="2">
        <v>1</v>
      </c>
      <c r="R17" s="2">
        <v>16.100000000000001</v>
      </c>
      <c r="S17" s="2">
        <v>16</v>
      </c>
      <c r="T17" s="2">
        <v>50</v>
      </c>
      <c r="U17" s="2">
        <v>122</v>
      </c>
      <c r="V17" s="1">
        <v>1837</v>
      </c>
      <c r="W17" s="2">
        <v>7962.6</v>
      </c>
      <c r="X17" s="2">
        <v>2131.5</v>
      </c>
      <c r="Y17" s="1">
        <v>5830.7</v>
      </c>
      <c r="Z17" s="2" t="s">
        <v>210</v>
      </c>
      <c r="AA17" s="2">
        <v>6</v>
      </c>
      <c r="AB17" s="2">
        <v>2</v>
      </c>
      <c r="AD17" s="3" t="s">
        <v>91</v>
      </c>
      <c r="AE17" s="3" t="s">
        <v>92</v>
      </c>
      <c r="AF17" s="3" t="s">
        <v>50</v>
      </c>
      <c r="AG17" s="3" t="s">
        <v>74</v>
      </c>
      <c r="AH17" s="3" t="s">
        <v>75</v>
      </c>
      <c r="AI17" s="2">
        <v>1</v>
      </c>
      <c r="AJ17" s="2">
        <v>0</v>
      </c>
      <c r="AK17" s="2">
        <v>0</v>
      </c>
      <c r="AL17" s="2">
        <v>1</v>
      </c>
      <c r="AM17" s="2">
        <v>0</v>
      </c>
      <c r="AN17" s="2">
        <v>0</v>
      </c>
      <c r="AO17" s="2" t="s">
        <v>84</v>
      </c>
      <c r="AP17" s="1">
        <f>3648.8+662.8</f>
        <v>4311.6000000000004</v>
      </c>
      <c r="AQ17" s="1">
        <f>188.9+308+378.2+196.8</f>
        <v>1071.8999999999999</v>
      </c>
      <c r="AR17" s="4">
        <f t="shared" si="1"/>
        <v>0.1991083867372527</v>
      </c>
      <c r="AS17" s="18">
        <f t="shared" si="2"/>
        <v>932.91199999999992</v>
      </c>
      <c r="AT17">
        <f t="shared" si="3"/>
        <v>0.87033491930217377</v>
      </c>
      <c r="AU17">
        <f t="shared" si="4"/>
        <v>385.9</v>
      </c>
      <c r="AV17" s="9">
        <f t="shared" si="5"/>
        <v>0.36001492676555652</v>
      </c>
    </row>
    <row r="18" spans="1:56" x14ac:dyDescent="0.3">
      <c r="A18" s="23">
        <v>62</v>
      </c>
      <c r="B18" t="s">
        <v>42</v>
      </c>
      <c r="C18" s="1">
        <v>11222</v>
      </c>
      <c r="D18" t="s">
        <v>43</v>
      </c>
      <c r="E18" t="s">
        <v>148</v>
      </c>
      <c r="F18" t="s">
        <v>281</v>
      </c>
      <c r="G18" s="2">
        <v>1974</v>
      </c>
      <c r="H18" s="2" t="s">
        <v>69</v>
      </c>
      <c r="I18" s="2" t="str">
        <f t="shared" si="6"/>
        <v>1950-1980</v>
      </c>
      <c r="J18" s="2">
        <v>60</v>
      </c>
      <c r="K18" s="2">
        <f t="shared" si="0"/>
        <v>60</v>
      </c>
      <c r="L18" s="2">
        <v>240</v>
      </c>
      <c r="M18" s="2">
        <v>180</v>
      </c>
      <c r="N18" s="2">
        <v>5</v>
      </c>
      <c r="O18" s="2">
        <v>0</v>
      </c>
      <c r="P18" s="2">
        <v>4</v>
      </c>
      <c r="Q18" s="2">
        <v>1</v>
      </c>
      <c r="R18" s="2">
        <v>15.8</v>
      </c>
      <c r="S18" s="2">
        <v>16</v>
      </c>
      <c r="T18" s="2">
        <v>13.2</v>
      </c>
      <c r="U18" s="2">
        <v>62.6</v>
      </c>
      <c r="V18" s="1">
        <v>846</v>
      </c>
      <c r="W18" s="2">
        <v>3934.3</v>
      </c>
      <c r="X18" s="2">
        <v>899</v>
      </c>
      <c r="Y18" s="1">
        <v>3278</v>
      </c>
      <c r="Z18" s="2" t="s">
        <v>210</v>
      </c>
      <c r="AA18" s="2">
        <v>4</v>
      </c>
      <c r="AB18" s="2">
        <v>0</v>
      </c>
      <c r="AD18" s="3" t="s">
        <v>91</v>
      </c>
      <c r="AE18" s="3" t="s">
        <v>92</v>
      </c>
      <c r="AF18" s="3" t="s">
        <v>50</v>
      </c>
      <c r="AG18" s="3" t="s">
        <v>74</v>
      </c>
      <c r="AH18" s="3" t="s">
        <v>75</v>
      </c>
      <c r="AI18" s="2">
        <v>1</v>
      </c>
      <c r="AJ18" s="2">
        <v>0</v>
      </c>
      <c r="AK18" s="2">
        <v>0</v>
      </c>
      <c r="AL18" s="2">
        <v>1</v>
      </c>
      <c r="AM18" s="2">
        <v>1</v>
      </c>
      <c r="AN18" s="2">
        <v>0</v>
      </c>
      <c r="AO18" s="2" t="s">
        <v>84</v>
      </c>
      <c r="AP18" s="1">
        <f>854.1+1019</f>
        <v>1873.1</v>
      </c>
      <c r="AQ18" s="1">
        <f>463.1+160</f>
        <v>623.1</v>
      </c>
      <c r="AR18" s="4">
        <f t="shared" si="1"/>
        <v>0.24961942152071151</v>
      </c>
      <c r="AS18" s="18">
        <f t="shared" si="2"/>
        <v>524.48</v>
      </c>
      <c r="AT18">
        <f t="shared" si="3"/>
        <v>0.84172684962285349</v>
      </c>
      <c r="AU18">
        <f t="shared" si="4"/>
        <v>408.6</v>
      </c>
      <c r="AV18" s="9">
        <f t="shared" si="5"/>
        <v>0.65575349061145882</v>
      </c>
    </row>
    <row r="19" spans="1:56" x14ac:dyDescent="0.3">
      <c r="A19" s="23">
        <v>85</v>
      </c>
      <c r="B19" t="s">
        <v>42</v>
      </c>
      <c r="C19" s="1">
        <v>11222</v>
      </c>
      <c r="D19" t="s">
        <v>43</v>
      </c>
      <c r="E19" t="s">
        <v>146</v>
      </c>
      <c r="F19" t="s">
        <v>291</v>
      </c>
      <c r="G19" s="2">
        <v>1977</v>
      </c>
      <c r="H19" s="2" t="s">
        <v>69</v>
      </c>
      <c r="I19" s="2" t="str">
        <f t="shared" si="6"/>
        <v>1950-1980</v>
      </c>
      <c r="J19" s="2">
        <v>60</v>
      </c>
      <c r="K19" s="2">
        <f t="shared" si="0"/>
        <v>60</v>
      </c>
      <c r="L19" s="2">
        <v>240</v>
      </c>
      <c r="M19" s="2">
        <v>180</v>
      </c>
      <c r="N19" s="2">
        <v>5</v>
      </c>
      <c r="O19" s="2">
        <v>0</v>
      </c>
      <c r="P19" s="2">
        <v>4</v>
      </c>
      <c r="Q19" s="2">
        <v>1</v>
      </c>
      <c r="R19" s="2">
        <v>15.7</v>
      </c>
      <c r="S19" s="2">
        <v>15.5</v>
      </c>
      <c r="V19" s="1">
        <v>761</v>
      </c>
      <c r="W19" s="2">
        <v>3944.6</v>
      </c>
      <c r="X19" s="2">
        <v>903.8</v>
      </c>
      <c r="Y19" s="1">
        <v>3320</v>
      </c>
      <c r="Z19" s="2" t="s">
        <v>210</v>
      </c>
      <c r="AA19" s="2">
        <v>4</v>
      </c>
      <c r="AB19" s="2">
        <v>0</v>
      </c>
      <c r="AD19" s="3" t="s">
        <v>91</v>
      </c>
      <c r="AE19" s="3" t="s">
        <v>92</v>
      </c>
      <c r="AF19" s="3" t="s">
        <v>50</v>
      </c>
      <c r="AG19" s="3" t="s">
        <v>74</v>
      </c>
      <c r="AH19" s="3" t="s">
        <v>75</v>
      </c>
      <c r="AI19" s="2">
        <v>1</v>
      </c>
      <c r="AJ19" s="2">
        <v>0</v>
      </c>
      <c r="AK19" s="2">
        <v>0</v>
      </c>
      <c r="AL19" s="2">
        <v>1</v>
      </c>
      <c r="AM19" s="2">
        <v>1</v>
      </c>
      <c r="AN19" s="2">
        <v>0</v>
      </c>
      <c r="AO19" s="2" t="s">
        <v>84</v>
      </c>
      <c r="AP19" s="1">
        <f>310+833+307</f>
        <v>1450</v>
      </c>
      <c r="AQ19" s="1">
        <f>368+123</f>
        <v>491</v>
      </c>
      <c r="AR19" s="4">
        <f t="shared" si="1"/>
        <v>0.25296239052035036</v>
      </c>
      <c r="AS19" s="18">
        <f t="shared" si="2"/>
        <v>531.20000000000005</v>
      </c>
      <c r="AT19">
        <f t="shared" si="3"/>
        <v>1.0818737270875765</v>
      </c>
      <c r="AU19">
        <f t="shared" si="4"/>
        <v>408.6</v>
      </c>
      <c r="AV19" s="9">
        <f t="shared" si="5"/>
        <v>0.83217922606924644</v>
      </c>
    </row>
    <row r="20" spans="1:56" x14ac:dyDescent="0.3">
      <c r="A20" s="23">
        <v>91</v>
      </c>
      <c r="B20" t="s">
        <v>42</v>
      </c>
      <c r="C20" s="1">
        <v>11222</v>
      </c>
      <c r="D20" t="s">
        <v>77</v>
      </c>
      <c r="E20" t="s">
        <v>78</v>
      </c>
      <c r="F20" t="s">
        <v>79</v>
      </c>
      <c r="G20" s="2">
        <v>1972</v>
      </c>
      <c r="H20" s="2" t="s">
        <v>69</v>
      </c>
      <c r="I20" s="2" t="str">
        <f t="shared" si="6"/>
        <v>1950-1980</v>
      </c>
      <c r="J20" s="2">
        <v>32</v>
      </c>
      <c r="K20" s="2">
        <f t="shared" si="0"/>
        <v>30</v>
      </c>
      <c r="L20" s="2">
        <v>156</v>
      </c>
      <c r="M20" s="2">
        <v>124</v>
      </c>
      <c r="N20" s="2">
        <v>4</v>
      </c>
      <c r="O20" s="2">
        <v>0</v>
      </c>
      <c r="P20" s="2">
        <v>4</v>
      </c>
      <c r="Q20" s="2">
        <v>1</v>
      </c>
      <c r="R20" s="2">
        <v>12</v>
      </c>
      <c r="S20" s="2">
        <v>12</v>
      </c>
      <c r="V20" s="1">
        <v>781</v>
      </c>
      <c r="W20" s="2">
        <v>2955.7</v>
      </c>
      <c r="X20" s="2">
        <v>823.2</v>
      </c>
      <c r="Y20" s="1">
        <v>2405</v>
      </c>
      <c r="Z20" s="2" t="s">
        <v>70</v>
      </c>
      <c r="AA20" s="2">
        <v>4</v>
      </c>
      <c r="AB20" s="2">
        <v>0</v>
      </c>
      <c r="AD20" s="3" t="s">
        <v>91</v>
      </c>
      <c r="AE20" s="3" t="s">
        <v>92</v>
      </c>
      <c r="AF20" s="3" t="s">
        <v>50</v>
      </c>
      <c r="AG20" s="3" t="s">
        <v>74</v>
      </c>
      <c r="AH20" s="3" t="s">
        <v>75</v>
      </c>
      <c r="AI20" s="2">
        <v>1</v>
      </c>
      <c r="AJ20" s="2">
        <v>0</v>
      </c>
      <c r="AK20" s="2">
        <v>0</v>
      </c>
      <c r="AL20" s="2">
        <v>1</v>
      </c>
      <c r="AM20" s="2">
        <v>0</v>
      </c>
      <c r="AN20" s="2">
        <v>0</v>
      </c>
      <c r="AO20" s="2" t="s">
        <v>123</v>
      </c>
      <c r="AP20" s="1">
        <f>1206+212</f>
        <v>1418</v>
      </c>
      <c r="AQ20" s="1">
        <f>0.7+174+164+0.7</f>
        <v>339.4</v>
      </c>
      <c r="AR20" s="4">
        <f t="shared" si="1"/>
        <v>0.19312620917264137</v>
      </c>
      <c r="AS20" s="18">
        <f t="shared" si="2"/>
        <v>384.8</v>
      </c>
      <c r="AT20">
        <f t="shared" si="3"/>
        <v>1.1337654684737775</v>
      </c>
      <c r="AU20">
        <f t="shared" si="4"/>
        <v>281.48</v>
      </c>
      <c r="AV20" s="9">
        <f t="shared" si="5"/>
        <v>0.82934590453741908</v>
      </c>
    </row>
    <row r="21" spans="1:56" x14ac:dyDescent="0.3">
      <c r="A21" s="23">
        <v>92</v>
      </c>
      <c r="B21" t="s">
        <v>42</v>
      </c>
      <c r="C21" s="1">
        <v>11222</v>
      </c>
      <c r="D21" t="s">
        <v>43</v>
      </c>
      <c r="E21" t="s">
        <v>44</v>
      </c>
      <c r="F21" t="s">
        <v>266</v>
      </c>
      <c r="G21" s="2">
        <v>1972</v>
      </c>
      <c r="H21" s="2" t="s">
        <v>69</v>
      </c>
      <c r="I21" s="2" t="str">
        <f t="shared" si="6"/>
        <v>1950-1980</v>
      </c>
      <c r="J21" s="2">
        <v>72</v>
      </c>
      <c r="K21" s="2">
        <f t="shared" si="0"/>
        <v>70</v>
      </c>
      <c r="L21" s="2">
        <v>323</v>
      </c>
      <c r="M21" s="2">
        <v>251</v>
      </c>
      <c r="N21" s="2">
        <v>9</v>
      </c>
      <c r="O21" s="2">
        <v>2</v>
      </c>
      <c r="P21" s="2">
        <v>2</v>
      </c>
      <c r="Q21" s="2">
        <v>1</v>
      </c>
      <c r="R21" s="2">
        <v>26</v>
      </c>
      <c r="S21" s="2">
        <v>26</v>
      </c>
      <c r="V21" s="1">
        <v>593</v>
      </c>
      <c r="W21" s="2">
        <v>5026.8</v>
      </c>
      <c r="X21" s="2">
        <v>1092.8</v>
      </c>
      <c r="Y21" s="1">
        <v>4364</v>
      </c>
      <c r="Z21" s="2" t="s">
        <v>210</v>
      </c>
      <c r="AA21" s="2">
        <v>4</v>
      </c>
      <c r="AB21" s="2">
        <v>0</v>
      </c>
      <c r="AD21" s="3" t="s">
        <v>91</v>
      </c>
      <c r="AE21" s="3" t="s">
        <v>92</v>
      </c>
      <c r="AF21" s="3" t="s">
        <v>139</v>
      </c>
      <c r="AG21" s="3" t="s">
        <v>74</v>
      </c>
      <c r="AH21" s="3" t="s">
        <v>75</v>
      </c>
      <c r="AI21" s="2">
        <v>1</v>
      </c>
      <c r="AJ21" s="2">
        <v>0</v>
      </c>
      <c r="AK21" s="2">
        <v>0</v>
      </c>
      <c r="AL21" s="2">
        <v>1</v>
      </c>
      <c r="AM21" s="2">
        <v>1</v>
      </c>
      <c r="AN21" s="2">
        <v>1</v>
      </c>
      <c r="AO21" s="2" t="s">
        <v>76</v>
      </c>
      <c r="AP21" s="1">
        <f>524+1240+377</f>
        <v>2141</v>
      </c>
      <c r="AQ21" s="1">
        <f>153+91+150.8+358.4</f>
        <v>753.2</v>
      </c>
      <c r="AR21" s="4">
        <f t="shared" si="1"/>
        <v>0.26024462718540531</v>
      </c>
      <c r="AS21" s="18">
        <f t="shared" si="2"/>
        <v>698.24</v>
      </c>
      <c r="AT21">
        <f t="shared" si="3"/>
        <v>0.9270313329792883</v>
      </c>
      <c r="AU21">
        <f t="shared" si="4"/>
        <v>569.77</v>
      </c>
      <c r="AV21" s="9">
        <f t="shared" si="5"/>
        <v>0.75646574614976092</v>
      </c>
    </row>
    <row r="22" spans="1:56" x14ac:dyDescent="0.3">
      <c r="A22" s="23">
        <v>96</v>
      </c>
      <c r="B22" t="s">
        <v>42</v>
      </c>
      <c r="C22" s="1">
        <v>11222</v>
      </c>
      <c r="D22" t="s">
        <v>132</v>
      </c>
      <c r="E22" t="s">
        <v>133</v>
      </c>
      <c r="F22" t="s">
        <v>166</v>
      </c>
      <c r="G22" s="2">
        <v>1982</v>
      </c>
      <c r="H22" s="2" t="s">
        <v>131</v>
      </c>
      <c r="I22" s="2" t="str">
        <f t="shared" si="6"/>
        <v>&gt;1980</v>
      </c>
      <c r="J22" s="2">
        <v>45</v>
      </c>
      <c r="K22" s="2">
        <f t="shared" si="0"/>
        <v>50</v>
      </c>
      <c r="L22" s="2">
        <v>180</v>
      </c>
      <c r="M22" s="2">
        <v>135</v>
      </c>
      <c r="N22" s="2">
        <v>5</v>
      </c>
      <c r="O22" s="2">
        <v>0</v>
      </c>
      <c r="P22" s="2">
        <v>3</v>
      </c>
      <c r="Q22" s="2">
        <v>1</v>
      </c>
      <c r="R22" s="2">
        <v>14.3</v>
      </c>
      <c r="S22" s="2">
        <v>14.5</v>
      </c>
      <c r="T22" s="2">
        <v>14</v>
      </c>
      <c r="U22" s="2">
        <v>46.9</v>
      </c>
      <c r="V22" s="1">
        <v>586</v>
      </c>
      <c r="W22" s="2">
        <v>2819.9</v>
      </c>
      <c r="X22" s="2">
        <v>533.4</v>
      </c>
      <c r="Y22" s="1">
        <v>2485.5</v>
      </c>
      <c r="Z22" s="2" t="s">
        <v>210</v>
      </c>
      <c r="AA22" s="2">
        <v>10</v>
      </c>
      <c r="AB22" s="2">
        <v>6</v>
      </c>
      <c r="AD22" s="3" t="s">
        <v>321</v>
      </c>
      <c r="AE22" s="3" t="s">
        <v>92</v>
      </c>
      <c r="AF22" s="3" t="s">
        <v>50</v>
      </c>
      <c r="AG22" s="3" t="s">
        <v>74</v>
      </c>
      <c r="AH22" s="3" t="s">
        <v>75</v>
      </c>
      <c r="AI22" s="2">
        <v>1</v>
      </c>
      <c r="AJ22" s="2">
        <v>0</v>
      </c>
      <c r="AK22" s="2">
        <v>0</v>
      </c>
      <c r="AL22" s="2">
        <v>1</v>
      </c>
      <c r="AM22" s="2">
        <v>0</v>
      </c>
      <c r="AN22" s="2">
        <v>0</v>
      </c>
      <c r="AP22" s="1">
        <f>1010+356.7</f>
        <v>1366.7</v>
      </c>
      <c r="AQ22" s="1">
        <f>216.3+178.3</f>
        <v>394.6</v>
      </c>
      <c r="AR22" s="4">
        <f t="shared" si="1"/>
        <v>0.22403906205643559</v>
      </c>
      <c r="AS22" s="18">
        <f t="shared" si="2"/>
        <v>397.68</v>
      </c>
      <c r="AT22">
        <f t="shared" si="3"/>
        <v>1.0078053725291434</v>
      </c>
      <c r="AU22">
        <f t="shared" si="4"/>
        <v>306.45</v>
      </c>
      <c r="AV22" s="9">
        <f t="shared" si="5"/>
        <v>0.77660922453117076</v>
      </c>
    </row>
    <row r="23" spans="1:56" x14ac:dyDescent="0.3">
      <c r="A23" s="23">
        <v>113</v>
      </c>
      <c r="B23" t="s">
        <v>42</v>
      </c>
      <c r="C23" s="1">
        <v>11222</v>
      </c>
      <c r="D23" t="s">
        <v>43</v>
      </c>
      <c r="E23" t="s">
        <v>44</v>
      </c>
      <c r="F23" t="s">
        <v>266</v>
      </c>
      <c r="G23" s="2">
        <v>1966</v>
      </c>
      <c r="H23" s="2" t="s">
        <v>57</v>
      </c>
      <c r="I23" s="2" t="str">
        <f t="shared" si="6"/>
        <v>1950-1980</v>
      </c>
      <c r="J23" s="2">
        <v>90</v>
      </c>
      <c r="K23" s="2">
        <f t="shared" si="0"/>
        <v>90</v>
      </c>
      <c r="L23" s="2">
        <v>398</v>
      </c>
      <c r="M23" s="2">
        <v>308</v>
      </c>
      <c r="N23" s="2">
        <v>5</v>
      </c>
      <c r="O23" s="2">
        <v>0</v>
      </c>
      <c r="P23" s="2">
        <v>6</v>
      </c>
      <c r="Q23" s="2">
        <v>1</v>
      </c>
      <c r="R23" s="2">
        <v>15.5</v>
      </c>
      <c r="S23" s="2">
        <v>15.5</v>
      </c>
      <c r="T23" s="2">
        <v>12.2</v>
      </c>
      <c r="U23" s="2">
        <v>92.3</v>
      </c>
      <c r="V23" s="1">
        <v>1145</v>
      </c>
      <c r="W23" s="2">
        <v>5660</v>
      </c>
      <c r="X23" s="2">
        <v>1312.1</v>
      </c>
      <c r="Y23" s="1">
        <v>4658</v>
      </c>
      <c r="Z23" s="2" t="s">
        <v>210</v>
      </c>
      <c r="AA23" s="2">
        <v>4</v>
      </c>
      <c r="AB23" s="2">
        <v>0</v>
      </c>
      <c r="AD23" s="3" t="s">
        <v>91</v>
      </c>
      <c r="AE23" s="3" t="s">
        <v>92</v>
      </c>
      <c r="AF23" s="3" t="s">
        <v>145</v>
      </c>
      <c r="AG23" s="3" t="s">
        <v>74</v>
      </c>
      <c r="AH23" s="3" t="s">
        <v>177</v>
      </c>
      <c r="AI23" s="2">
        <v>1</v>
      </c>
      <c r="AJ23" s="2">
        <v>0</v>
      </c>
      <c r="AK23" s="2">
        <v>0</v>
      </c>
      <c r="AL23" s="2">
        <v>0</v>
      </c>
      <c r="AM23" s="2">
        <v>1</v>
      </c>
      <c r="AN23" s="2">
        <v>1</v>
      </c>
      <c r="AO23" s="2" t="s">
        <v>76</v>
      </c>
      <c r="AP23" s="1">
        <f>249+1463</f>
        <v>1712</v>
      </c>
      <c r="AQ23" s="1">
        <f>386.4+19.5*2+388.2</f>
        <v>813.59999999999991</v>
      </c>
      <c r="AR23" s="4">
        <f t="shared" si="1"/>
        <v>0.32214127336078552</v>
      </c>
      <c r="AS23" s="18">
        <f t="shared" si="2"/>
        <v>745.28</v>
      </c>
      <c r="AT23">
        <f t="shared" si="3"/>
        <v>0.91602753195673559</v>
      </c>
      <c r="AU23">
        <f t="shared" si="4"/>
        <v>699.16</v>
      </c>
      <c r="AV23" s="9">
        <f t="shared" si="5"/>
        <v>0.85934119960668642</v>
      </c>
    </row>
    <row r="24" spans="1:56" x14ac:dyDescent="0.3">
      <c r="A24" s="23">
        <v>114</v>
      </c>
      <c r="B24" t="s">
        <v>42</v>
      </c>
      <c r="C24" s="1">
        <v>11222</v>
      </c>
      <c r="D24" t="s">
        <v>43</v>
      </c>
      <c r="E24" t="s">
        <v>44</v>
      </c>
      <c r="F24" t="s">
        <v>266</v>
      </c>
      <c r="G24" s="2">
        <v>1968</v>
      </c>
      <c r="H24" s="2" t="s">
        <v>57</v>
      </c>
      <c r="I24" s="2" t="str">
        <f t="shared" si="6"/>
        <v>1950-1980</v>
      </c>
      <c r="J24" s="2">
        <v>59</v>
      </c>
      <c r="K24" s="2">
        <f t="shared" si="0"/>
        <v>60</v>
      </c>
      <c r="L24" s="2">
        <v>238</v>
      </c>
      <c r="M24" s="2">
        <v>179</v>
      </c>
      <c r="N24" s="2">
        <v>5</v>
      </c>
      <c r="O24" s="2">
        <v>0</v>
      </c>
      <c r="P24" s="2">
        <v>4</v>
      </c>
      <c r="Q24" s="2">
        <v>1</v>
      </c>
      <c r="R24" s="2">
        <v>15.6</v>
      </c>
      <c r="S24" s="2">
        <v>15.5</v>
      </c>
      <c r="V24" s="1">
        <v>677</v>
      </c>
      <c r="W24" s="2">
        <v>3515.9</v>
      </c>
      <c r="X24" s="2">
        <v>838.4</v>
      </c>
      <c r="Y24" s="1">
        <v>2884.6</v>
      </c>
      <c r="Z24" s="2" t="s">
        <v>210</v>
      </c>
      <c r="AA24" s="2">
        <v>4</v>
      </c>
      <c r="AB24" s="2">
        <v>0</v>
      </c>
      <c r="AD24" s="3" t="s">
        <v>91</v>
      </c>
      <c r="AE24" s="3" t="s">
        <v>92</v>
      </c>
      <c r="AF24" s="3" t="s">
        <v>139</v>
      </c>
      <c r="AG24" s="3" t="s">
        <v>74</v>
      </c>
      <c r="AH24" s="3" t="s">
        <v>75</v>
      </c>
      <c r="AI24" s="2">
        <v>0</v>
      </c>
      <c r="AJ24" s="2">
        <v>1</v>
      </c>
      <c r="AK24" s="2">
        <v>0</v>
      </c>
      <c r="AL24" s="2">
        <v>0</v>
      </c>
      <c r="AM24" s="2">
        <v>1</v>
      </c>
      <c r="AN24" s="2">
        <v>1</v>
      </c>
      <c r="AO24" s="2" t="s">
        <v>123</v>
      </c>
      <c r="AP24" s="1">
        <f>964.6</f>
        <v>964.6</v>
      </c>
      <c r="AQ24" s="1">
        <f>149.5+147.8+16.8+16.8</f>
        <v>330.90000000000003</v>
      </c>
      <c r="AR24" s="4">
        <f t="shared" si="1"/>
        <v>0.25542261675028949</v>
      </c>
      <c r="AS24" s="18">
        <f t="shared" si="2"/>
        <v>461.536</v>
      </c>
      <c r="AT24">
        <f t="shared" si="3"/>
        <v>1.3947899667573282</v>
      </c>
      <c r="AU24">
        <f t="shared" si="4"/>
        <v>406.33</v>
      </c>
      <c r="AV24" s="9">
        <f t="shared" si="5"/>
        <v>1.2279540646721061</v>
      </c>
    </row>
    <row r="25" spans="1:56" x14ac:dyDescent="0.3">
      <c r="A25" s="23">
        <v>115</v>
      </c>
      <c r="B25" t="s">
        <v>42</v>
      </c>
      <c r="C25" s="1">
        <v>11222</v>
      </c>
      <c r="D25" t="s">
        <v>43</v>
      </c>
      <c r="E25" t="s">
        <v>44</v>
      </c>
      <c r="F25" t="s">
        <v>266</v>
      </c>
      <c r="G25" s="2">
        <v>1968</v>
      </c>
      <c r="H25" s="2" t="s">
        <v>57</v>
      </c>
      <c r="I25" s="2" t="str">
        <f t="shared" si="6"/>
        <v>1950-1980</v>
      </c>
      <c r="J25" s="2">
        <v>60</v>
      </c>
      <c r="K25" s="2">
        <f t="shared" si="0"/>
        <v>60</v>
      </c>
      <c r="L25" s="2">
        <v>240</v>
      </c>
      <c r="M25" s="2">
        <v>180</v>
      </c>
      <c r="N25" s="2">
        <v>5</v>
      </c>
      <c r="O25" s="2">
        <v>0</v>
      </c>
      <c r="P25" s="2">
        <v>4</v>
      </c>
      <c r="Q25" s="2">
        <v>1</v>
      </c>
      <c r="R25" s="2">
        <v>15.6</v>
      </c>
      <c r="S25" s="2">
        <v>15.5</v>
      </c>
      <c r="V25" s="1">
        <v>676</v>
      </c>
      <c r="W25" s="2">
        <v>3534.7</v>
      </c>
      <c r="X25" s="2">
        <v>844.5</v>
      </c>
      <c r="Y25" s="1">
        <v>2992.6</v>
      </c>
      <c r="Z25" s="2" t="s">
        <v>210</v>
      </c>
      <c r="AA25" s="2">
        <v>4</v>
      </c>
      <c r="AB25" s="2">
        <v>0</v>
      </c>
      <c r="AD25" s="3" t="s">
        <v>91</v>
      </c>
      <c r="AE25" s="3" t="s">
        <v>92</v>
      </c>
      <c r="AF25" s="3" t="s">
        <v>139</v>
      </c>
      <c r="AG25" s="3" t="s">
        <v>74</v>
      </c>
      <c r="AH25" s="3" t="s">
        <v>75</v>
      </c>
      <c r="AI25" s="2">
        <v>0</v>
      </c>
      <c r="AJ25" s="2">
        <v>1</v>
      </c>
      <c r="AK25" s="2">
        <v>0</v>
      </c>
      <c r="AL25" s="2">
        <v>0</v>
      </c>
      <c r="AM25" s="2">
        <v>1</v>
      </c>
      <c r="AN25" s="2">
        <v>1</v>
      </c>
      <c r="AO25" s="2" t="s">
        <v>76</v>
      </c>
      <c r="AR25" s="4"/>
      <c r="AS25" s="18" t="str">
        <f t="shared" si="2"/>
        <v/>
      </c>
      <c r="AT25" t="str">
        <f t="shared" si="3"/>
        <v/>
      </c>
      <c r="AU25" t="str">
        <f>IF(AQ25&lt;&gt;"",2.3*M25,"")</f>
        <v/>
      </c>
      <c r="AV25" s="9" t="str">
        <f t="shared" si="5"/>
        <v/>
      </c>
    </row>
    <row r="26" spans="1:56" x14ac:dyDescent="0.3">
      <c r="A26" s="23">
        <v>120</v>
      </c>
      <c r="B26" t="s">
        <v>42</v>
      </c>
      <c r="C26" s="1">
        <v>11222</v>
      </c>
      <c r="D26" t="s">
        <v>54</v>
      </c>
      <c r="E26" t="s">
        <v>110</v>
      </c>
      <c r="F26" t="s">
        <v>110</v>
      </c>
      <c r="G26" s="2">
        <v>1973</v>
      </c>
      <c r="H26" s="2" t="s">
        <v>69</v>
      </c>
      <c r="I26" s="2" t="str">
        <f t="shared" si="6"/>
        <v>1950-1980</v>
      </c>
      <c r="J26" s="2">
        <v>30</v>
      </c>
      <c r="K26" s="2">
        <f t="shared" si="0"/>
        <v>30</v>
      </c>
      <c r="L26" s="2">
        <v>120</v>
      </c>
      <c r="M26" s="2">
        <v>90</v>
      </c>
      <c r="N26" s="2">
        <v>5</v>
      </c>
      <c r="O26" s="2">
        <v>0</v>
      </c>
      <c r="P26" s="2">
        <v>4</v>
      </c>
      <c r="Q26" s="2">
        <v>1</v>
      </c>
      <c r="R26" s="2">
        <v>15.7</v>
      </c>
      <c r="S26" s="2">
        <v>15.5</v>
      </c>
      <c r="T26" s="2">
        <v>23.7</v>
      </c>
      <c r="U26" s="2">
        <v>58</v>
      </c>
      <c r="V26" s="1">
        <v>760.3</v>
      </c>
      <c r="W26" s="2">
        <v>3338.1</v>
      </c>
      <c r="X26" s="2">
        <v>403.7</v>
      </c>
      <c r="Y26" s="1">
        <v>2770.5</v>
      </c>
      <c r="Z26" s="2" t="s">
        <v>210</v>
      </c>
      <c r="AA26" s="2">
        <v>4</v>
      </c>
      <c r="AB26" s="2">
        <v>0</v>
      </c>
      <c r="AD26" s="3" t="s">
        <v>91</v>
      </c>
      <c r="AE26" s="3" t="s">
        <v>92</v>
      </c>
      <c r="AF26" s="3" t="s">
        <v>139</v>
      </c>
      <c r="AG26" s="3" t="s">
        <v>74</v>
      </c>
      <c r="AH26" s="3" t="s">
        <v>75</v>
      </c>
      <c r="AI26" s="2">
        <v>1</v>
      </c>
      <c r="AJ26" s="2">
        <v>0</v>
      </c>
      <c r="AK26" s="2">
        <v>0</v>
      </c>
      <c r="AL26" s="2">
        <v>0</v>
      </c>
      <c r="AM26" s="2">
        <v>1</v>
      </c>
      <c r="AN26" s="2">
        <v>1</v>
      </c>
      <c r="AO26" s="2" t="s">
        <v>76</v>
      </c>
      <c r="AR26" s="4"/>
      <c r="AS26" s="18" t="str">
        <f t="shared" si="2"/>
        <v/>
      </c>
      <c r="AT26" t="str">
        <f t="shared" si="3"/>
        <v/>
      </c>
      <c r="AU26" t="str">
        <f>IF(AQ26&lt;&gt;"",2.3*M26,"")</f>
        <v/>
      </c>
      <c r="AV26" s="9" t="str">
        <f t="shared" si="5"/>
        <v/>
      </c>
      <c r="BB26" s="21"/>
      <c r="BD26" s="9"/>
    </row>
    <row r="27" spans="1:56" x14ac:dyDescent="0.3">
      <c r="A27" s="23">
        <v>120</v>
      </c>
      <c r="B27" t="s">
        <v>42</v>
      </c>
      <c r="C27" s="1">
        <v>11222</v>
      </c>
      <c r="D27" t="s">
        <v>54</v>
      </c>
      <c r="E27" t="s">
        <v>110</v>
      </c>
      <c r="F27" t="s">
        <v>110</v>
      </c>
      <c r="G27" s="2">
        <v>1973</v>
      </c>
      <c r="H27" s="2" t="s">
        <v>69</v>
      </c>
      <c r="I27" s="2" t="str">
        <f t="shared" si="6"/>
        <v>1950-1980</v>
      </c>
      <c r="J27" s="2">
        <v>30</v>
      </c>
      <c r="K27" s="2">
        <f t="shared" si="0"/>
        <v>30</v>
      </c>
      <c r="L27" s="2">
        <v>120</v>
      </c>
      <c r="M27" s="2">
        <v>90</v>
      </c>
      <c r="N27" s="2">
        <v>5</v>
      </c>
      <c r="O27" s="2">
        <v>0</v>
      </c>
      <c r="P27" s="2">
        <v>4</v>
      </c>
      <c r="Q27" s="2">
        <v>1</v>
      </c>
      <c r="R27" s="2">
        <v>15.7</v>
      </c>
      <c r="S27" s="2">
        <v>15.5</v>
      </c>
      <c r="T27" s="2">
        <v>23.7</v>
      </c>
      <c r="U27" s="2">
        <v>58</v>
      </c>
      <c r="V27" s="1">
        <v>760.3</v>
      </c>
      <c r="W27" s="2">
        <v>3338.1</v>
      </c>
      <c r="X27" s="2">
        <v>403.7</v>
      </c>
      <c r="Y27" s="1">
        <v>2770.5</v>
      </c>
      <c r="Z27" s="2" t="s">
        <v>210</v>
      </c>
      <c r="AA27" s="2">
        <v>4</v>
      </c>
      <c r="AB27" s="2">
        <v>0</v>
      </c>
      <c r="AD27" s="3" t="s">
        <v>91</v>
      </c>
      <c r="AE27" s="3" t="s">
        <v>92</v>
      </c>
      <c r="AF27" s="3" t="s">
        <v>139</v>
      </c>
      <c r="AG27" s="3" t="s">
        <v>74</v>
      </c>
      <c r="AH27" s="3" t="s">
        <v>75</v>
      </c>
      <c r="AI27" s="2">
        <v>1</v>
      </c>
      <c r="AJ27" s="2">
        <v>0</v>
      </c>
      <c r="AK27" s="2">
        <v>0</v>
      </c>
      <c r="AL27" s="2">
        <v>0</v>
      </c>
      <c r="AM27" s="2">
        <v>1</v>
      </c>
      <c r="AN27" s="2">
        <v>1</v>
      </c>
      <c r="AO27" s="2" t="s">
        <v>76</v>
      </c>
      <c r="AR27" s="4"/>
      <c r="AS27" s="18" t="str">
        <f t="shared" si="2"/>
        <v/>
      </c>
      <c r="AT27" t="str">
        <f t="shared" si="3"/>
        <v/>
      </c>
      <c r="AU27" t="str">
        <f>IF(AQ27&lt;&gt;"",2.3*M27,"")</f>
        <v/>
      </c>
      <c r="AV27" s="9" t="str">
        <f t="shared" si="5"/>
        <v/>
      </c>
      <c r="BB27" s="21"/>
    </row>
    <row r="28" spans="1:56" x14ac:dyDescent="0.3">
      <c r="A28" s="23">
        <v>148</v>
      </c>
      <c r="B28" t="s">
        <v>42</v>
      </c>
      <c r="C28" s="1">
        <v>11222</v>
      </c>
      <c r="D28" t="s">
        <v>85</v>
      </c>
      <c r="E28" t="s">
        <v>86</v>
      </c>
      <c r="F28" t="s">
        <v>86</v>
      </c>
      <c r="G28" s="2">
        <v>1972</v>
      </c>
      <c r="H28" s="2" t="s">
        <v>69</v>
      </c>
      <c r="I28" s="2" t="str">
        <f t="shared" si="6"/>
        <v>1950-1980</v>
      </c>
      <c r="J28" s="2">
        <v>144</v>
      </c>
      <c r="K28" s="2">
        <f t="shared" si="0"/>
        <v>140</v>
      </c>
      <c r="L28" s="2">
        <v>649</v>
      </c>
      <c r="M28" s="2">
        <v>505</v>
      </c>
      <c r="N28" s="2">
        <v>9</v>
      </c>
      <c r="O28" s="2">
        <v>4</v>
      </c>
      <c r="P28" s="2">
        <v>4</v>
      </c>
      <c r="Q28" s="2">
        <v>1</v>
      </c>
      <c r="R28" s="2">
        <v>26.8</v>
      </c>
      <c r="S28" s="2">
        <v>27</v>
      </c>
      <c r="V28" s="1">
        <v>1139</v>
      </c>
      <c r="W28" s="2">
        <v>9633.2999999999993</v>
      </c>
      <c r="X28" s="2">
        <v>1186.7</v>
      </c>
      <c r="Y28" s="1">
        <v>8024</v>
      </c>
      <c r="Z28" s="2" t="s">
        <v>210</v>
      </c>
      <c r="AA28" s="2">
        <v>4</v>
      </c>
      <c r="AB28" s="2">
        <v>0</v>
      </c>
      <c r="AD28" s="3" t="s">
        <v>91</v>
      </c>
      <c r="AE28" s="3" t="s">
        <v>92</v>
      </c>
      <c r="AF28" s="3" t="s">
        <v>139</v>
      </c>
      <c r="AG28" s="3" t="s">
        <v>74</v>
      </c>
      <c r="AH28" s="3" t="s">
        <v>75</v>
      </c>
      <c r="AI28" s="2">
        <v>1</v>
      </c>
      <c r="AJ28" s="2">
        <v>0</v>
      </c>
      <c r="AK28" s="2">
        <v>0</v>
      </c>
      <c r="AL28" s="2">
        <v>1</v>
      </c>
      <c r="AM28" s="2">
        <v>1</v>
      </c>
      <c r="AN28" s="2">
        <v>1</v>
      </c>
      <c r="AO28" s="2" t="s">
        <v>76</v>
      </c>
      <c r="AR28" s="4"/>
      <c r="AS28" s="18" t="str">
        <f t="shared" si="2"/>
        <v/>
      </c>
      <c r="AT28" t="str">
        <f t="shared" si="3"/>
        <v/>
      </c>
      <c r="AU28" t="str">
        <f>IF(AQ28&lt;&gt;"",2.3*M28,"")</f>
        <v/>
      </c>
      <c r="AV28" s="9" t="str">
        <f t="shared" si="5"/>
        <v/>
      </c>
    </row>
    <row r="29" spans="1:56" x14ac:dyDescent="0.3">
      <c r="A29" s="23">
        <v>154</v>
      </c>
      <c r="B29" t="s">
        <v>42</v>
      </c>
      <c r="C29" s="1">
        <v>11222</v>
      </c>
      <c r="D29" t="s">
        <v>43</v>
      </c>
      <c r="E29" t="s">
        <v>146</v>
      </c>
      <c r="F29" t="s">
        <v>291</v>
      </c>
      <c r="G29" s="2">
        <v>1972</v>
      </c>
      <c r="H29" s="2" t="s">
        <v>69</v>
      </c>
      <c r="I29" s="2" t="str">
        <f t="shared" si="6"/>
        <v>1950-1980</v>
      </c>
      <c r="J29" s="2">
        <v>36</v>
      </c>
      <c r="K29" s="2">
        <f t="shared" si="0"/>
        <v>40</v>
      </c>
      <c r="L29" s="2">
        <v>144</v>
      </c>
      <c r="M29" s="2">
        <v>108</v>
      </c>
      <c r="N29" s="2">
        <v>3</v>
      </c>
      <c r="O29" s="2">
        <v>0</v>
      </c>
      <c r="P29" s="2">
        <v>4</v>
      </c>
      <c r="Q29" s="2">
        <v>1</v>
      </c>
      <c r="R29" s="2">
        <v>10.3</v>
      </c>
      <c r="S29" s="2">
        <v>10.5</v>
      </c>
      <c r="V29" s="1">
        <v>676</v>
      </c>
      <c r="W29" s="2">
        <v>2340.3000000000002</v>
      </c>
      <c r="X29" s="2">
        <v>725.2</v>
      </c>
      <c r="Y29" s="1">
        <v>1784</v>
      </c>
      <c r="Z29" s="2" t="s">
        <v>210</v>
      </c>
      <c r="AA29" s="2">
        <v>4</v>
      </c>
      <c r="AB29" s="2">
        <v>0</v>
      </c>
      <c r="AD29" s="3" t="s">
        <v>91</v>
      </c>
      <c r="AE29" s="3" t="s">
        <v>92</v>
      </c>
      <c r="AF29" s="3" t="s">
        <v>139</v>
      </c>
      <c r="AG29" s="3" t="s">
        <v>74</v>
      </c>
      <c r="AH29" s="3" t="s">
        <v>75</v>
      </c>
      <c r="AI29" s="2">
        <v>1</v>
      </c>
      <c r="AJ29" s="2">
        <v>0</v>
      </c>
      <c r="AK29" s="2">
        <v>0</v>
      </c>
      <c r="AL29" s="2">
        <v>0</v>
      </c>
      <c r="AM29" s="2">
        <v>1</v>
      </c>
      <c r="AN29" s="2">
        <v>1</v>
      </c>
      <c r="AO29" s="2" t="s">
        <v>76</v>
      </c>
      <c r="AP29" s="1">
        <f>612.2</f>
        <v>612.20000000000005</v>
      </c>
      <c r="AQ29" s="1">
        <f>260.1</f>
        <v>260.10000000000002</v>
      </c>
      <c r="AR29" s="4">
        <f>AQ29/(AP29+AQ29)</f>
        <v>0.29817723260346213</v>
      </c>
      <c r="AS29" s="18">
        <f t="shared" si="2"/>
        <v>285.44</v>
      </c>
      <c r="AT29">
        <f t="shared" si="3"/>
        <v>1.0974240676662821</v>
      </c>
      <c r="AU29">
        <f>IF(AQ29&lt;&gt;"",2.27*M29,"")</f>
        <v>245.16</v>
      </c>
      <c r="AV29" s="9">
        <f t="shared" si="5"/>
        <v>0.94256055363321789</v>
      </c>
    </row>
    <row r="30" spans="1:56" x14ac:dyDescent="0.3">
      <c r="A30" s="23">
        <v>158</v>
      </c>
      <c r="B30" t="s">
        <v>42</v>
      </c>
      <c r="C30" s="1">
        <v>11222</v>
      </c>
      <c r="D30" t="s">
        <v>132</v>
      </c>
      <c r="E30" t="s">
        <v>344</v>
      </c>
      <c r="F30" t="s">
        <v>345</v>
      </c>
      <c r="G30" s="2">
        <v>1990</v>
      </c>
      <c r="H30" s="2" t="s">
        <v>131</v>
      </c>
      <c r="I30" s="2" t="str">
        <f t="shared" si="6"/>
        <v>&gt;1980</v>
      </c>
      <c r="J30" s="2">
        <v>60</v>
      </c>
      <c r="K30" s="2">
        <f t="shared" si="0"/>
        <v>60</v>
      </c>
      <c r="L30" s="2">
        <v>240</v>
      </c>
      <c r="M30" s="2">
        <v>180</v>
      </c>
      <c r="N30" s="2">
        <v>5</v>
      </c>
      <c r="O30" s="2">
        <v>0</v>
      </c>
      <c r="P30" s="2">
        <v>5</v>
      </c>
      <c r="Q30" s="2">
        <v>1</v>
      </c>
      <c r="R30" s="2">
        <v>15.5</v>
      </c>
      <c r="S30" s="2">
        <v>15.5</v>
      </c>
      <c r="V30" s="1">
        <v>777</v>
      </c>
      <c r="W30" s="2">
        <v>3773.2</v>
      </c>
      <c r="X30" s="2">
        <v>730.6</v>
      </c>
      <c r="Y30" s="1">
        <v>3254</v>
      </c>
      <c r="Z30" s="2" t="s">
        <v>210</v>
      </c>
      <c r="AA30" s="2">
        <v>4</v>
      </c>
      <c r="AB30" s="2">
        <v>0</v>
      </c>
      <c r="AD30" s="3" t="s">
        <v>91</v>
      </c>
      <c r="AE30" s="3" t="s">
        <v>92</v>
      </c>
      <c r="AF30" s="3" t="s">
        <v>50</v>
      </c>
      <c r="AG30" s="3" t="s">
        <v>74</v>
      </c>
      <c r="AH30" s="3" t="s">
        <v>75</v>
      </c>
      <c r="AI30" s="2">
        <v>1</v>
      </c>
      <c r="AJ30" s="2">
        <v>0</v>
      </c>
      <c r="AK30" s="2">
        <v>0</v>
      </c>
      <c r="AL30" s="2">
        <v>1</v>
      </c>
      <c r="AM30" s="2">
        <v>0</v>
      </c>
      <c r="AN30" s="2">
        <v>0</v>
      </c>
      <c r="AO30" s="2" t="s">
        <v>61</v>
      </c>
      <c r="AP30" s="1">
        <v>3769.6</v>
      </c>
      <c r="AQ30" s="1">
        <f>254.8+314.8</f>
        <v>569.6</v>
      </c>
      <c r="AR30" s="4">
        <f>AQ30/(AP30+AQ30)</f>
        <v>0.13126843657817111</v>
      </c>
      <c r="AS30" s="18">
        <f t="shared" si="2"/>
        <v>520.64</v>
      </c>
      <c r="AT30">
        <f t="shared" si="3"/>
        <v>0.91404494382022461</v>
      </c>
      <c r="AU30">
        <f>IF(AQ30&lt;&gt;"",2.27*M30,"")</f>
        <v>408.6</v>
      </c>
      <c r="AV30" s="9">
        <f t="shared" si="5"/>
        <v>0.7173455056179775</v>
      </c>
    </row>
    <row r="31" spans="1:56" x14ac:dyDescent="0.3">
      <c r="A31" s="23">
        <v>176</v>
      </c>
      <c r="B31" t="s">
        <v>42</v>
      </c>
      <c r="C31" s="1">
        <v>11222</v>
      </c>
      <c r="D31" t="s">
        <v>43</v>
      </c>
      <c r="E31" t="s">
        <v>44</v>
      </c>
      <c r="F31" t="s">
        <v>266</v>
      </c>
      <c r="G31" s="2">
        <v>1970</v>
      </c>
      <c r="H31" s="2" t="s">
        <v>57</v>
      </c>
      <c r="I31" s="2" t="str">
        <f t="shared" si="6"/>
        <v>1950-1980</v>
      </c>
      <c r="J31" s="2">
        <v>89</v>
      </c>
      <c r="K31" s="2">
        <f t="shared" si="0"/>
        <v>90</v>
      </c>
      <c r="L31" s="2">
        <v>377</v>
      </c>
      <c r="M31" s="2">
        <v>288</v>
      </c>
      <c r="N31" s="2">
        <v>5</v>
      </c>
      <c r="O31" s="2">
        <v>0</v>
      </c>
      <c r="P31" s="2">
        <v>6</v>
      </c>
      <c r="Q31" s="2">
        <v>1</v>
      </c>
      <c r="R31" s="2">
        <v>18</v>
      </c>
      <c r="S31" s="2">
        <v>18</v>
      </c>
      <c r="T31" s="2">
        <v>12.2</v>
      </c>
      <c r="U31" s="2">
        <v>92.3</v>
      </c>
      <c r="V31" s="1">
        <v>1121.8</v>
      </c>
      <c r="W31" s="2">
        <v>5662.1</v>
      </c>
      <c r="X31" s="2">
        <v>1259.8</v>
      </c>
      <c r="Y31" s="1">
        <v>4632</v>
      </c>
      <c r="Z31" s="2" t="s">
        <v>210</v>
      </c>
      <c r="AA31" s="2">
        <v>4</v>
      </c>
      <c r="AB31" s="2">
        <v>0</v>
      </c>
      <c r="AD31" s="3" t="s">
        <v>91</v>
      </c>
      <c r="AE31" s="3" t="s">
        <v>92</v>
      </c>
      <c r="AF31" s="3" t="s">
        <v>50</v>
      </c>
      <c r="AG31" s="3" t="s">
        <v>51</v>
      </c>
      <c r="AH31" s="3" t="s">
        <v>100</v>
      </c>
      <c r="AI31" s="2">
        <v>0</v>
      </c>
      <c r="AJ31" s="2">
        <v>1</v>
      </c>
      <c r="AK31" s="2">
        <v>0</v>
      </c>
      <c r="AL31" s="2">
        <v>0</v>
      </c>
      <c r="AM31" s="2">
        <v>1</v>
      </c>
      <c r="AN31" s="2">
        <v>1</v>
      </c>
      <c r="AO31" s="2" t="s">
        <v>76</v>
      </c>
      <c r="AP31" s="1">
        <f>2113+258</f>
        <v>2371</v>
      </c>
      <c r="AQ31" s="1">
        <f>111.6+612.4</f>
        <v>724</v>
      </c>
      <c r="AR31" s="4">
        <f>AQ31/(AP31+AQ31)</f>
        <v>0.23392568659127624</v>
      </c>
      <c r="AS31" s="18">
        <f t="shared" si="2"/>
        <v>741.12</v>
      </c>
      <c r="AT31">
        <f t="shared" si="3"/>
        <v>1.023646408839779</v>
      </c>
      <c r="AU31">
        <f>IF(AQ31&lt;&gt;"",2.27*M31,"")</f>
        <v>653.76</v>
      </c>
      <c r="AV31" s="9">
        <f t="shared" si="5"/>
        <v>0.9029834254143646</v>
      </c>
    </row>
    <row r="32" spans="1:56" x14ac:dyDescent="0.3">
      <c r="A32" s="23">
        <v>194</v>
      </c>
      <c r="B32" t="s">
        <v>42</v>
      </c>
      <c r="C32" s="1">
        <v>11222</v>
      </c>
      <c r="D32" t="s">
        <v>43</v>
      </c>
      <c r="E32" t="s">
        <v>44</v>
      </c>
      <c r="F32" t="s">
        <v>274</v>
      </c>
      <c r="G32" s="2">
        <v>1975</v>
      </c>
      <c r="H32" s="2" t="s">
        <v>69</v>
      </c>
      <c r="I32" s="2" t="str">
        <f t="shared" si="6"/>
        <v>1950-1980</v>
      </c>
      <c r="J32" s="2">
        <v>144</v>
      </c>
      <c r="K32" s="2">
        <f t="shared" si="0"/>
        <v>140</v>
      </c>
      <c r="L32" s="2">
        <v>612</v>
      </c>
      <c r="M32" s="2">
        <v>468</v>
      </c>
      <c r="N32" s="2">
        <v>9</v>
      </c>
      <c r="O32" s="2">
        <v>4</v>
      </c>
      <c r="P32" s="2">
        <v>4</v>
      </c>
      <c r="Q32" s="2">
        <v>1</v>
      </c>
      <c r="R32" s="2">
        <v>29.4</v>
      </c>
      <c r="S32" s="2">
        <v>29.5</v>
      </c>
      <c r="V32" s="1">
        <v>1187</v>
      </c>
      <c r="W32" s="2">
        <v>9540.4</v>
      </c>
      <c r="X32" s="2">
        <v>1858.8</v>
      </c>
      <c r="Y32" s="1">
        <v>8680</v>
      </c>
      <c r="Z32" s="2" t="s">
        <v>210</v>
      </c>
      <c r="AA32" s="2">
        <v>4</v>
      </c>
      <c r="AB32" s="2">
        <v>0</v>
      </c>
      <c r="AD32" s="3" t="s">
        <v>91</v>
      </c>
      <c r="AE32" s="3" t="s">
        <v>92</v>
      </c>
      <c r="AF32" s="3" t="s">
        <v>139</v>
      </c>
      <c r="AG32" s="3" t="s">
        <v>74</v>
      </c>
      <c r="AH32" s="3" t="s">
        <v>75</v>
      </c>
      <c r="AI32" s="2">
        <v>1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 t="s">
        <v>61</v>
      </c>
      <c r="AR32" s="4"/>
      <c r="AS32" s="18" t="str">
        <f t="shared" si="2"/>
        <v/>
      </c>
      <c r="AT32" t="str">
        <f t="shared" si="3"/>
        <v/>
      </c>
      <c r="AU32" t="str">
        <f>IF(AQ32&lt;&gt;"",2.3*M32,"")</f>
        <v/>
      </c>
      <c r="AV32" s="9" t="str">
        <f t="shared" si="5"/>
        <v/>
      </c>
    </row>
    <row r="33" spans="1:55" x14ac:dyDescent="0.3">
      <c r="A33" s="23">
        <v>197</v>
      </c>
      <c r="B33" t="s">
        <v>42</v>
      </c>
      <c r="C33" s="1">
        <v>11222</v>
      </c>
      <c r="D33" t="s">
        <v>43</v>
      </c>
      <c r="E33" t="s">
        <v>44</v>
      </c>
      <c r="F33" t="s">
        <v>266</v>
      </c>
      <c r="G33" s="2">
        <v>1970</v>
      </c>
      <c r="H33" s="2" t="s">
        <v>57</v>
      </c>
      <c r="I33" s="2" t="str">
        <f t="shared" si="6"/>
        <v>1950-1980</v>
      </c>
      <c r="J33" s="2">
        <v>89</v>
      </c>
      <c r="K33" s="2">
        <f t="shared" si="0"/>
        <v>90</v>
      </c>
      <c r="L33" s="2">
        <v>378</v>
      </c>
      <c r="M33" s="2">
        <v>289</v>
      </c>
      <c r="N33" s="2">
        <v>5</v>
      </c>
      <c r="O33" s="2">
        <v>0</v>
      </c>
      <c r="P33" s="2">
        <v>6</v>
      </c>
      <c r="Q33" s="2">
        <v>1</v>
      </c>
      <c r="R33" s="2">
        <v>17.600000000000001</v>
      </c>
      <c r="S33" s="2">
        <v>17.5</v>
      </c>
      <c r="T33" s="2">
        <v>14.2</v>
      </c>
      <c r="U33" s="2">
        <v>92</v>
      </c>
      <c r="V33" s="1">
        <v>1093</v>
      </c>
      <c r="W33" s="2">
        <v>5674.4</v>
      </c>
      <c r="X33" s="2">
        <v>1325.7</v>
      </c>
      <c r="Y33" s="1">
        <v>4761</v>
      </c>
      <c r="Z33" s="2" t="s">
        <v>210</v>
      </c>
      <c r="AA33" s="2">
        <v>4</v>
      </c>
      <c r="AB33" s="2">
        <v>0</v>
      </c>
      <c r="AD33" s="3" t="s">
        <v>91</v>
      </c>
      <c r="AE33" s="3" t="s">
        <v>92</v>
      </c>
      <c r="AF33" s="3" t="s">
        <v>139</v>
      </c>
      <c r="AG33" s="3" t="s">
        <v>174</v>
      </c>
      <c r="AH33" s="3" t="s">
        <v>75</v>
      </c>
      <c r="AI33" s="2">
        <v>0</v>
      </c>
      <c r="AJ33" s="2">
        <v>1</v>
      </c>
      <c r="AK33" s="2">
        <v>0</v>
      </c>
      <c r="AL33" s="2">
        <v>0</v>
      </c>
      <c r="AM33" s="2">
        <v>1</v>
      </c>
      <c r="AN33" s="2">
        <v>0</v>
      </c>
      <c r="AO33" s="2" t="s">
        <v>123</v>
      </c>
      <c r="AP33" s="1">
        <f>288+1472</f>
        <v>1760</v>
      </c>
      <c r="AQ33" s="1">
        <f>397+381</f>
        <v>778</v>
      </c>
      <c r="AR33" s="4">
        <f>AQ33/(AP33+AQ33)</f>
        <v>0.30654058313632782</v>
      </c>
      <c r="AS33" s="18">
        <f t="shared" si="2"/>
        <v>761.76</v>
      </c>
      <c r="AT33">
        <f t="shared" si="3"/>
        <v>0.97912596401028273</v>
      </c>
      <c r="AU33">
        <f>IF(AQ33&lt;&gt;"",2.27*M33,"")</f>
        <v>656.03</v>
      </c>
      <c r="AV33" s="9">
        <f t="shared" si="5"/>
        <v>0.84322622107969147</v>
      </c>
      <c r="BA33" s="5"/>
      <c r="BB33" s="18"/>
      <c r="BC33" s="10"/>
    </row>
    <row r="34" spans="1:55" x14ac:dyDescent="0.3">
      <c r="A34" s="23">
        <v>199</v>
      </c>
      <c r="B34" t="s">
        <v>42</v>
      </c>
      <c r="C34" s="1">
        <v>12201</v>
      </c>
      <c r="D34" t="s">
        <v>54</v>
      </c>
      <c r="E34" t="s">
        <v>110</v>
      </c>
      <c r="F34" t="s">
        <v>110</v>
      </c>
      <c r="G34" s="2">
        <v>1971</v>
      </c>
      <c r="H34" s="2" t="s">
        <v>69</v>
      </c>
      <c r="I34" s="2" t="str">
        <f t="shared" si="6"/>
        <v>1950-1980</v>
      </c>
      <c r="J34" s="2">
        <v>61</v>
      </c>
      <c r="K34" s="2">
        <f>MROUND(J34,10)</f>
        <v>60</v>
      </c>
      <c r="L34" s="2">
        <v>239</v>
      </c>
      <c r="M34" s="2">
        <v>178</v>
      </c>
      <c r="N34" s="2">
        <v>5</v>
      </c>
      <c r="O34" s="2">
        <v>0</v>
      </c>
      <c r="P34" s="2">
        <v>4</v>
      </c>
      <c r="Q34" s="2">
        <v>1</v>
      </c>
      <c r="R34" s="2">
        <v>15.6</v>
      </c>
      <c r="S34" s="2">
        <v>15.5</v>
      </c>
      <c r="T34" s="2">
        <v>14.6</v>
      </c>
      <c r="U34" s="2">
        <v>57.7</v>
      </c>
      <c r="V34" s="1">
        <v>635</v>
      </c>
      <c r="W34" s="2">
        <v>3350.9</v>
      </c>
      <c r="X34" s="2">
        <v>638.20000000000005</v>
      </c>
      <c r="Y34" s="1">
        <v>2964</v>
      </c>
      <c r="Z34" s="2" t="s">
        <v>210</v>
      </c>
      <c r="AA34" s="2">
        <v>4</v>
      </c>
      <c r="AB34" s="2">
        <v>0</v>
      </c>
      <c r="AD34" s="3" t="s">
        <v>91</v>
      </c>
      <c r="AE34" s="3" t="s">
        <v>92</v>
      </c>
      <c r="AF34" s="3" t="s">
        <v>341</v>
      </c>
      <c r="AG34" s="3" t="s">
        <v>74</v>
      </c>
      <c r="AH34" s="3" t="s">
        <v>75</v>
      </c>
      <c r="AI34" s="2">
        <v>1</v>
      </c>
      <c r="AJ34" s="2">
        <v>0</v>
      </c>
      <c r="AK34" s="2">
        <v>0</v>
      </c>
      <c r="AL34" s="2">
        <v>0</v>
      </c>
      <c r="AM34" s="2">
        <v>1</v>
      </c>
      <c r="AN34" s="2">
        <v>1</v>
      </c>
      <c r="AO34" s="2" t="s">
        <v>123</v>
      </c>
      <c r="AP34" s="1">
        <f>1266.8</f>
        <v>1266.8</v>
      </c>
      <c r="AQ34" s="1">
        <f>69+476.6</f>
        <v>545.6</v>
      </c>
      <c r="AR34" s="4">
        <f>AQ34/(AP34+AQ34)</f>
        <v>0.30103729860957845</v>
      </c>
      <c r="AS34" s="18">
        <f t="shared" ref="AS34:AS56" si="7">IF(AQ34&lt;&gt;"", Y34/6.25,"")</f>
        <v>474.24</v>
      </c>
      <c r="AT34">
        <f t="shared" ref="AT34:AT65" si="8">IF(AQ34&lt;&gt;"",AS34/AQ34,"")</f>
        <v>0.86920821114369495</v>
      </c>
      <c r="AU34">
        <f>IF(AQ34&lt;&gt;"",2.27*M34,"")</f>
        <v>404.06</v>
      </c>
      <c r="AV34" s="9">
        <f t="shared" si="5"/>
        <v>0.74057917888563052</v>
      </c>
      <c r="BA34" s="5"/>
      <c r="BB34" s="18"/>
      <c r="BC34" s="10"/>
    </row>
    <row r="35" spans="1:55" x14ac:dyDescent="0.3">
      <c r="A35" s="23">
        <v>200</v>
      </c>
      <c r="B35" t="s">
        <v>42</v>
      </c>
      <c r="C35" s="1">
        <v>11222</v>
      </c>
      <c r="D35" t="s">
        <v>43</v>
      </c>
      <c r="E35" t="s">
        <v>44</v>
      </c>
      <c r="F35" t="s">
        <v>62</v>
      </c>
      <c r="G35" s="2">
        <v>1973</v>
      </c>
      <c r="H35" s="2" t="s">
        <v>69</v>
      </c>
      <c r="I35" s="2" t="str">
        <f t="shared" si="6"/>
        <v>1950-1980</v>
      </c>
      <c r="J35" s="2">
        <v>72</v>
      </c>
      <c r="K35" s="2">
        <f t="shared" si="0"/>
        <v>70</v>
      </c>
      <c r="L35" s="2">
        <v>306</v>
      </c>
      <c r="M35" s="2">
        <v>234</v>
      </c>
      <c r="N35" s="2">
        <v>9</v>
      </c>
      <c r="O35" s="2">
        <v>2</v>
      </c>
      <c r="P35" s="2">
        <v>2</v>
      </c>
      <c r="Q35" s="2">
        <v>1</v>
      </c>
      <c r="R35" s="2">
        <v>26.5</v>
      </c>
      <c r="S35" s="2">
        <v>26.5</v>
      </c>
      <c r="V35" s="1">
        <v>572</v>
      </c>
      <c r="W35" s="2">
        <v>4712.6000000000004</v>
      </c>
      <c r="X35" s="2">
        <v>942.8</v>
      </c>
      <c r="Y35" s="1">
        <v>4375</v>
      </c>
      <c r="Z35" s="2" t="s">
        <v>210</v>
      </c>
      <c r="AA35" s="2">
        <v>8</v>
      </c>
      <c r="AB35" s="2">
        <v>4</v>
      </c>
      <c r="AD35" s="3" t="s">
        <v>91</v>
      </c>
      <c r="AE35" s="3" t="s">
        <v>92</v>
      </c>
      <c r="AF35" s="3" t="s">
        <v>139</v>
      </c>
      <c r="AG35" s="3" t="s">
        <v>74</v>
      </c>
      <c r="AH35" s="3" t="s">
        <v>75</v>
      </c>
      <c r="AI35" s="2">
        <v>1</v>
      </c>
      <c r="AJ35" s="2">
        <v>0</v>
      </c>
      <c r="AK35" s="2">
        <v>0</v>
      </c>
      <c r="AL35" s="2">
        <v>1</v>
      </c>
      <c r="AM35" s="2">
        <v>0</v>
      </c>
      <c r="AN35" s="2">
        <v>0</v>
      </c>
      <c r="AO35" s="2" t="s">
        <v>76</v>
      </c>
      <c r="AP35" s="1">
        <f>590+1498+119</f>
        <v>2207</v>
      </c>
      <c r="AQ35" s="1">
        <f>316+329</f>
        <v>645</v>
      </c>
      <c r="AR35" s="4">
        <f>AQ35/(AP35+AQ35)</f>
        <v>0.22615708274894811</v>
      </c>
      <c r="AS35" s="18">
        <f t="shared" si="7"/>
        <v>700</v>
      </c>
      <c r="AT35">
        <f t="shared" si="8"/>
        <v>1.0852713178294573</v>
      </c>
      <c r="AU35">
        <f>IF(AQ35&lt;&gt;"",2.27*M35,"")</f>
        <v>531.17999999999995</v>
      </c>
      <c r="AV35" s="9">
        <f t="shared" si="5"/>
        <v>0.8235348837209302</v>
      </c>
    </row>
    <row r="36" spans="1:55" x14ac:dyDescent="0.3">
      <c r="A36" s="23">
        <v>203</v>
      </c>
      <c r="B36" t="s">
        <v>42</v>
      </c>
      <c r="C36" s="1">
        <v>11222</v>
      </c>
      <c r="D36" t="s">
        <v>43</v>
      </c>
      <c r="E36" t="s">
        <v>44</v>
      </c>
      <c r="F36" t="s">
        <v>274</v>
      </c>
      <c r="G36" s="2">
        <v>1977</v>
      </c>
      <c r="H36" s="2" t="s">
        <v>69</v>
      </c>
      <c r="I36" s="2" t="str">
        <f t="shared" si="6"/>
        <v>1950-1980</v>
      </c>
      <c r="J36" s="2">
        <v>72</v>
      </c>
      <c r="K36" s="2">
        <f t="shared" si="0"/>
        <v>70</v>
      </c>
      <c r="L36" s="2">
        <v>306</v>
      </c>
      <c r="M36" s="2">
        <v>234</v>
      </c>
      <c r="N36" s="2">
        <v>9</v>
      </c>
      <c r="O36" s="2">
        <v>2</v>
      </c>
      <c r="P36" s="2">
        <v>2</v>
      </c>
      <c r="Q36" s="2">
        <v>1</v>
      </c>
      <c r="R36" s="2">
        <v>26.6</v>
      </c>
      <c r="S36" s="2">
        <v>26.5</v>
      </c>
      <c r="V36" s="1">
        <v>595</v>
      </c>
      <c r="W36" s="2">
        <v>4837.2</v>
      </c>
      <c r="X36" s="2">
        <v>990.5</v>
      </c>
      <c r="Y36" s="1">
        <v>4281</v>
      </c>
      <c r="Z36" s="2" t="s">
        <v>210</v>
      </c>
      <c r="AA36" s="2">
        <v>4</v>
      </c>
      <c r="AB36" s="2">
        <v>0</v>
      </c>
      <c r="AD36" s="3" t="s">
        <v>91</v>
      </c>
      <c r="AE36" s="3" t="s">
        <v>92</v>
      </c>
      <c r="AF36" s="3" t="s">
        <v>139</v>
      </c>
      <c r="AG36" s="3" t="s">
        <v>74</v>
      </c>
      <c r="AH36" s="3" t="s">
        <v>75</v>
      </c>
      <c r="AI36" s="2">
        <v>1</v>
      </c>
      <c r="AJ36" s="2">
        <v>0</v>
      </c>
      <c r="AK36" s="2">
        <v>0</v>
      </c>
      <c r="AL36" s="2">
        <v>1</v>
      </c>
      <c r="AM36" s="2">
        <v>1</v>
      </c>
      <c r="AN36" s="2">
        <v>0</v>
      </c>
      <c r="AO36" s="2" t="s">
        <v>76</v>
      </c>
      <c r="AP36" s="1">
        <v>3609</v>
      </c>
      <c r="AQ36" s="1">
        <v>589.79999999999995</v>
      </c>
      <c r="AR36" s="4">
        <f>AQ36/(AP36+AQ36)</f>
        <v>0.1404687053443841</v>
      </c>
      <c r="AS36" s="18">
        <f t="shared" si="7"/>
        <v>684.96</v>
      </c>
      <c r="AT36">
        <f t="shared" si="8"/>
        <v>1.1613428280773146</v>
      </c>
      <c r="AU36">
        <f>IF(AQ36&lt;&gt;"",2.27*M36,"")</f>
        <v>531.17999999999995</v>
      </c>
      <c r="AV36" s="9">
        <f t="shared" si="5"/>
        <v>0.90061037639877928</v>
      </c>
    </row>
    <row r="37" spans="1:55" x14ac:dyDescent="0.3">
      <c r="A37" s="23">
        <v>210</v>
      </c>
      <c r="B37" t="s">
        <v>42</v>
      </c>
      <c r="C37" s="1">
        <v>11222</v>
      </c>
      <c r="D37" t="s">
        <v>43</v>
      </c>
      <c r="E37" t="s">
        <v>68</v>
      </c>
      <c r="F37" t="s">
        <v>68</v>
      </c>
      <c r="G37" s="2">
        <v>1986</v>
      </c>
      <c r="H37" s="2" t="s">
        <v>131</v>
      </c>
      <c r="I37" s="2" t="str">
        <f t="shared" si="6"/>
        <v>&gt;1980</v>
      </c>
      <c r="J37" s="2">
        <v>60</v>
      </c>
      <c r="K37" s="2">
        <f t="shared" si="0"/>
        <v>60</v>
      </c>
      <c r="L37" s="2">
        <v>240</v>
      </c>
      <c r="M37" s="2">
        <v>180</v>
      </c>
      <c r="N37" s="2">
        <v>5</v>
      </c>
      <c r="O37" s="2">
        <v>0</v>
      </c>
      <c r="P37" s="2">
        <v>4</v>
      </c>
      <c r="Q37" s="2">
        <v>1</v>
      </c>
      <c r="R37" s="2">
        <v>15.8</v>
      </c>
      <c r="S37" s="2">
        <v>16</v>
      </c>
      <c r="V37" s="1">
        <v>817.4</v>
      </c>
      <c r="W37" s="2">
        <v>3957.4</v>
      </c>
      <c r="X37" s="2">
        <v>911.6</v>
      </c>
      <c r="Y37" s="1">
        <v>3262</v>
      </c>
      <c r="Z37" s="2" t="s">
        <v>210</v>
      </c>
      <c r="AA37" s="2">
        <v>4</v>
      </c>
      <c r="AB37" s="2">
        <v>0</v>
      </c>
      <c r="AD37" s="3" t="s">
        <v>91</v>
      </c>
      <c r="AE37" s="3" t="s">
        <v>115</v>
      </c>
      <c r="AF37" s="3" t="s">
        <v>83</v>
      </c>
      <c r="AG37" s="3" t="s">
        <v>74</v>
      </c>
      <c r="AH37" s="3" t="s">
        <v>75</v>
      </c>
      <c r="AI37" s="2">
        <v>1</v>
      </c>
      <c r="AJ37" s="2">
        <v>0</v>
      </c>
      <c r="AK37" s="2">
        <v>0</v>
      </c>
      <c r="AL37" s="2">
        <v>1</v>
      </c>
      <c r="AM37" s="2">
        <v>0</v>
      </c>
      <c r="AN37" s="2">
        <v>0</v>
      </c>
      <c r="AO37" s="2" t="s">
        <v>123</v>
      </c>
      <c r="AP37" s="1">
        <f>910+336+392</f>
        <v>1638</v>
      </c>
      <c r="AQ37" s="1">
        <f>231+260</f>
        <v>491</v>
      </c>
      <c r="AR37" s="4">
        <f>AQ37/(AP37+AQ37)</f>
        <v>0.23062470643494598</v>
      </c>
      <c r="AS37" s="18">
        <f t="shared" si="7"/>
        <v>521.91999999999996</v>
      </c>
      <c r="AT37">
        <f t="shared" si="8"/>
        <v>1.0629735234215885</v>
      </c>
      <c r="AU37">
        <f>IF(AQ37&lt;&gt;"",2.27*M37,"")</f>
        <v>408.6</v>
      </c>
      <c r="AV37" s="9">
        <f t="shared" si="5"/>
        <v>0.83217922606924644</v>
      </c>
    </row>
    <row r="38" spans="1:55" x14ac:dyDescent="0.3">
      <c r="A38" s="23">
        <v>223</v>
      </c>
      <c r="B38" t="s">
        <v>42</v>
      </c>
      <c r="C38" s="1">
        <v>11222</v>
      </c>
      <c r="D38" t="s">
        <v>43</v>
      </c>
      <c r="E38" t="s">
        <v>101</v>
      </c>
      <c r="F38" t="s">
        <v>261</v>
      </c>
      <c r="G38" s="2">
        <v>1979</v>
      </c>
      <c r="H38" s="2" t="s">
        <v>69</v>
      </c>
      <c r="I38" s="2" t="str">
        <f t="shared" si="6"/>
        <v>1950-1980</v>
      </c>
      <c r="J38" s="2">
        <v>60</v>
      </c>
      <c r="K38" s="2">
        <f t="shared" si="0"/>
        <v>60</v>
      </c>
      <c r="L38" s="2">
        <v>240</v>
      </c>
      <c r="M38" s="2">
        <v>180</v>
      </c>
      <c r="N38" s="2">
        <v>5</v>
      </c>
      <c r="O38" s="2">
        <v>0</v>
      </c>
      <c r="P38" s="2">
        <v>4</v>
      </c>
      <c r="Q38" s="2">
        <v>1</v>
      </c>
      <c r="R38" s="2">
        <v>16.2</v>
      </c>
      <c r="S38" s="2">
        <v>16</v>
      </c>
      <c r="T38" s="2">
        <v>13.2</v>
      </c>
      <c r="U38" s="2">
        <v>62.1</v>
      </c>
      <c r="V38" s="1">
        <v>867</v>
      </c>
      <c r="W38" s="2">
        <v>4077.1</v>
      </c>
      <c r="X38" s="2">
        <v>1042.4000000000001</v>
      </c>
      <c r="Y38" s="1">
        <v>3304.7</v>
      </c>
      <c r="Z38" s="2" t="s">
        <v>210</v>
      </c>
      <c r="AA38" s="2">
        <v>4</v>
      </c>
      <c r="AB38" s="2">
        <v>0</v>
      </c>
      <c r="AD38" s="3" t="s">
        <v>91</v>
      </c>
      <c r="AE38" s="3" t="s">
        <v>92</v>
      </c>
      <c r="AF38" s="3" t="s">
        <v>50</v>
      </c>
      <c r="AG38" s="3" t="s">
        <v>74</v>
      </c>
      <c r="AH38" s="3" t="s">
        <v>177</v>
      </c>
      <c r="AI38" s="2">
        <v>1</v>
      </c>
      <c r="AJ38" s="2">
        <v>0</v>
      </c>
      <c r="AK38" s="2">
        <v>0</v>
      </c>
      <c r="AL38" s="2">
        <v>1</v>
      </c>
      <c r="AM38" s="2">
        <v>0</v>
      </c>
      <c r="AN38" s="2">
        <v>0</v>
      </c>
      <c r="AO38" s="2" t="s">
        <v>76</v>
      </c>
      <c r="AR38" s="4"/>
      <c r="AS38" s="18" t="str">
        <f t="shared" si="7"/>
        <v/>
      </c>
      <c r="AT38" t="str">
        <f t="shared" si="8"/>
        <v/>
      </c>
      <c r="AU38" t="str">
        <f>IF(AQ38&lt;&gt;"",2.3*M38,"")</f>
        <v/>
      </c>
      <c r="AV38" s="9" t="str">
        <f t="shared" si="5"/>
        <v/>
      </c>
    </row>
    <row r="39" spans="1:55" x14ac:dyDescent="0.3">
      <c r="A39" s="23">
        <v>232</v>
      </c>
      <c r="B39" t="s">
        <v>42</v>
      </c>
      <c r="C39" s="1">
        <v>11222</v>
      </c>
      <c r="D39" t="s">
        <v>54</v>
      </c>
      <c r="E39" t="s">
        <v>110</v>
      </c>
      <c r="F39" t="s">
        <v>110</v>
      </c>
      <c r="G39" s="2">
        <v>1975</v>
      </c>
      <c r="H39" s="2" t="s">
        <v>69</v>
      </c>
      <c r="I39" s="2" t="str">
        <f t="shared" si="6"/>
        <v>1950-1980</v>
      </c>
      <c r="J39" s="2">
        <v>30</v>
      </c>
      <c r="K39" s="2">
        <f t="shared" si="0"/>
        <v>30</v>
      </c>
      <c r="L39" s="2">
        <v>120</v>
      </c>
      <c r="M39" s="2">
        <v>90</v>
      </c>
      <c r="N39" s="2">
        <v>5</v>
      </c>
      <c r="O39" s="2">
        <v>0</v>
      </c>
      <c r="P39" s="2">
        <v>2</v>
      </c>
      <c r="Q39" s="2">
        <v>1</v>
      </c>
      <c r="R39" s="2">
        <v>14.4</v>
      </c>
      <c r="S39" s="2">
        <v>14.5</v>
      </c>
      <c r="T39" s="2">
        <v>25.6</v>
      </c>
      <c r="U39" s="2">
        <v>62.9</v>
      </c>
      <c r="V39" s="1">
        <v>788.9</v>
      </c>
      <c r="W39" s="2">
        <v>3773.8</v>
      </c>
      <c r="X39" s="2">
        <v>576.6</v>
      </c>
      <c r="Y39" s="1">
        <v>3331.2</v>
      </c>
      <c r="Z39" s="2" t="s">
        <v>210</v>
      </c>
      <c r="AA39" s="2">
        <v>4</v>
      </c>
      <c r="AB39" s="2">
        <v>0</v>
      </c>
      <c r="AD39" s="3" t="s">
        <v>91</v>
      </c>
      <c r="AE39" s="3" t="s">
        <v>92</v>
      </c>
      <c r="AF39" s="3" t="s">
        <v>145</v>
      </c>
      <c r="AG39" s="3" t="s">
        <v>74</v>
      </c>
      <c r="AH39" s="3" t="s">
        <v>75</v>
      </c>
      <c r="AI39" s="2">
        <v>1</v>
      </c>
      <c r="AJ39" s="2">
        <v>0</v>
      </c>
      <c r="AK39" s="2">
        <v>0</v>
      </c>
      <c r="AL39" s="2">
        <v>0</v>
      </c>
      <c r="AM39" s="2">
        <v>1</v>
      </c>
      <c r="AN39" s="2">
        <v>0</v>
      </c>
      <c r="AO39" s="2" t="s">
        <v>88</v>
      </c>
      <c r="AP39" s="1">
        <f>1199</f>
        <v>1199</v>
      </c>
      <c r="AQ39" s="1">
        <f>282+269</f>
        <v>551</v>
      </c>
      <c r="AR39" s="4">
        <f t="shared" ref="AR39:AR70" si="9">AQ39/(AP39+AQ39)</f>
        <v>0.31485714285714284</v>
      </c>
      <c r="AS39" s="18">
        <f t="shared" si="7"/>
        <v>532.99199999999996</v>
      </c>
      <c r="AT39">
        <f t="shared" si="8"/>
        <v>0.96731760435571679</v>
      </c>
      <c r="AU39">
        <f t="shared" ref="AU39:AU56" si="10">IF(AQ39&lt;&gt;"",2.27*M39,"")</f>
        <v>204.3</v>
      </c>
      <c r="AV39" s="9">
        <f t="shared" si="5"/>
        <v>0.37078039927404721</v>
      </c>
    </row>
    <row r="40" spans="1:55" x14ac:dyDescent="0.3">
      <c r="A40" s="23">
        <v>236</v>
      </c>
      <c r="B40" t="s">
        <v>42</v>
      </c>
      <c r="C40" s="1">
        <v>11222</v>
      </c>
      <c r="D40" t="s">
        <v>43</v>
      </c>
      <c r="E40" t="s">
        <v>44</v>
      </c>
      <c r="F40" t="s">
        <v>82</v>
      </c>
      <c r="G40" s="2">
        <v>1973</v>
      </c>
      <c r="H40" s="2" t="s">
        <v>69</v>
      </c>
      <c r="I40" s="2" t="str">
        <f t="shared" si="6"/>
        <v>1950-1980</v>
      </c>
      <c r="J40" s="2">
        <v>18</v>
      </c>
      <c r="K40" s="2">
        <f t="shared" si="0"/>
        <v>20</v>
      </c>
      <c r="L40" s="2">
        <v>85</v>
      </c>
      <c r="M40" s="2">
        <v>67</v>
      </c>
      <c r="N40" s="2">
        <v>3</v>
      </c>
      <c r="O40" s="2">
        <v>0</v>
      </c>
      <c r="P40" s="2">
        <v>3</v>
      </c>
      <c r="Q40" s="2">
        <v>1</v>
      </c>
      <c r="R40" s="2">
        <v>11.4</v>
      </c>
      <c r="S40" s="2">
        <v>11.5</v>
      </c>
      <c r="V40" s="1">
        <v>448</v>
      </c>
      <c r="W40" s="2">
        <v>1320.4</v>
      </c>
      <c r="X40" s="2">
        <v>422.3</v>
      </c>
      <c r="Y40" s="1">
        <v>1012.8</v>
      </c>
      <c r="Z40" s="2" t="s">
        <v>210</v>
      </c>
      <c r="AA40" s="2">
        <v>4</v>
      </c>
      <c r="AB40" s="2">
        <v>0</v>
      </c>
      <c r="AC40" s="2">
        <v>0</v>
      </c>
      <c r="AD40" s="3" t="s">
        <v>58</v>
      </c>
      <c r="AE40" s="3" t="s">
        <v>66</v>
      </c>
      <c r="AF40" s="3" t="s">
        <v>50</v>
      </c>
      <c r="AG40" s="3" t="s">
        <v>74</v>
      </c>
      <c r="AH40" s="3" t="s">
        <v>75</v>
      </c>
      <c r="AI40" s="2">
        <v>1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 t="s">
        <v>61</v>
      </c>
      <c r="AP40" s="1">
        <f>141+601</f>
        <v>742</v>
      </c>
      <c r="AQ40" s="1">
        <f>96+88</f>
        <v>184</v>
      </c>
      <c r="AR40" s="4">
        <f t="shared" si="9"/>
        <v>0.19870410367170627</v>
      </c>
      <c r="AS40" s="18">
        <f t="shared" si="7"/>
        <v>162.048</v>
      </c>
      <c r="AT40">
        <f t="shared" si="8"/>
        <v>0.8806956521739131</v>
      </c>
      <c r="AU40">
        <f t="shared" si="10"/>
        <v>152.09</v>
      </c>
      <c r="AV40" s="9">
        <f t="shared" si="5"/>
        <v>0.82657608695652174</v>
      </c>
    </row>
    <row r="41" spans="1:55" x14ac:dyDescent="0.3">
      <c r="A41" s="23">
        <v>247</v>
      </c>
      <c r="B41" t="s">
        <v>42</v>
      </c>
      <c r="C41" s="1">
        <v>11222</v>
      </c>
      <c r="D41" t="s">
        <v>43</v>
      </c>
      <c r="E41" t="s">
        <v>44</v>
      </c>
      <c r="F41" t="s">
        <v>266</v>
      </c>
      <c r="G41" s="2">
        <v>1971</v>
      </c>
      <c r="H41" s="2" t="s">
        <v>69</v>
      </c>
      <c r="I41" s="2" t="str">
        <f t="shared" si="6"/>
        <v>1950-1980</v>
      </c>
      <c r="J41" s="2">
        <v>60</v>
      </c>
      <c r="K41" s="2">
        <f t="shared" si="0"/>
        <v>60</v>
      </c>
      <c r="L41" s="2">
        <v>240</v>
      </c>
      <c r="M41" s="2">
        <v>180</v>
      </c>
      <c r="N41" s="2">
        <v>5</v>
      </c>
      <c r="O41" s="2">
        <v>0</v>
      </c>
      <c r="P41" s="2">
        <v>4</v>
      </c>
      <c r="Q41" s="2">
        <v>1</v>
      </c>
      <c r="R41" s="2">
        <v>15.7</v>
      </c>
      <c r="S41" s="2">
        <v>15.5</v>
      </c>
      <c r="V41" s="1">
        <v>675</v>
      </c>
      <c r="W41" s="2">
        <v>3516.3</v>
      </c>
      <c r="X41" s="2">
        <v>828.9</v>
      </c>
      <c r="Y41" s="1">
        <v>2961</v>
      </c>
      <c r="Z41" s="2" t="s">
        <v>210</v>
      </c>
      <c r="AA41" s="2">
        <v>4</v>
      </c>
      <c r="AB41" s="2">
        <v>0</v>
      </c>
      <c r="AD41" s="3" t="s">
        <v>91</v>
      </c>
      <c r="AE41" s="3" t="s">
        <v>92</v>
      </c>
      <c r="AF41" s="3" t="s">
        <v>50</v>
      </c>
      <c r="AG41" s="3" t="s">
        <v>74</v>
      </c>
      <c r="AH41" s="3" t="s">
        <v>75</v>
      </c>
      <c r="AI41" s="2">
        <v>1</v>
      </c>
      <c r="AJ41" s="2">
        <v>0</v>
      </c>
      <c r="AK41" s="2">
        <v>0</v>
      </c>
      <c r="AL41" s="2">
        <v>0</v>
      </c>
      <c r="AM41" s="2">
        <v>1</v>
      </c>
      <c r="AN41" s="2">
        <v>1</v>
      </c>
      <c r="AO41" s="2" t="s">
        <v>76</v>
      </c>
      <c r="AP41" s="1">
        <v>1320.1</v>
      </c>
      <c r="AQ41" s="1">
        <f>61.6+41+7.8+15.6+212.7+186.8+7.8</f>
        <v>533.29999999999995</v>
      </c>
      <c r="AR41" s="4">
        <f t="shared" si="9"/>
        <v>0.28774144814934716</v>
      </c>
      <c r="AS41" s="18">
        <f t="shared" si="7"/>
        <v>473.76</v>
      </c>
      <c r="AT41">
        <f t="shared" si="8"/>
        <v>0.8883555222201388</v>
      </c>
      <c r="AU41">
        <f t="shared" si="10"/>
        <v>408.6</v>
      </c>
      <c r="AV41" s="9">
        <f t="shared" si="5"/>
        <v>0.76617288580536291</v>
      </c>
    </row>
    <row r="42" spans="1:55" x14ac:dyDescent="0.3">
      <c r="A42" s="23">
        <v>264</v>
      </c>
      <c r="B42" t="s">
        <v>42</v>
      </c>
      <c r="C42" s="1">
        <v>11222</v>
      </c>
      <c r="D42" t="s">
        <v>54</v>
      </c>
      <c r="E42" t="s">
        <v>89</v>
      </c>
      <c r="F42" t="s">
        <v>176</v>
      </c>
      <c r="G42" s="2">
        <v>1969</v>
      </c>
      <c r="H42" s="2" t="s">
        <v>57</v>
      </c>
      <c r="I42" s="2" t="str">
        <f t="shared" si="6"/>
        <v>1950-1980</v>
      </c>
      <c r="J42" s="2">
        <v>60</v>
      </c>
      <c r="K42" s="2">
        <f t="shared" si="0"/>
        <v>60</v>
      </c>
      <c r="L42" s="2">
        <v>240</v>
      </c>
      <c r="M42" s="2">
        <v>180</v>
      </c>
      <c r="N42" s="2">
        <v>5</v>
      </c>
      <c r="O42" s="2">
        <v>0</v>
      </c>
      <c r="P42" s="2">
        <v>4</v>
      </c>
      <c r="Q42" s="2">
        <v>1</v>
      </c>
      <c r="R42" s="2">
        <v>15</v>
      </c>
      <c r="S42" s="2">
        <v>15</v>
      </c>
      <c r="V42" s="1">
        <v>676</v>
      </c>
      <c r="W42" s="2">
        <v>3365.3</v>
      </c>
      <c r="X42" s="2">
        <v>648.9</v>
      </c>
      <c r="Y42" s="1">
        <v>2567</v>
      </c>
      <c r="Z42" s="2" t="s">
        <v>210</v>
      </c>
      <c r="AA42" s="2">
        <v>4</v>
      </c>
      <c r="AB42" s="2">
        <v>0</v>
      </c>
      <c r="AD42" s="3" t="s">
        <v>91</v>
      </c>
      <c r="AE42" s="3" t="s">
        <v>92</v>
      </c>
      <c r="AF42" s="3" t="s">
        <v>50</v>
      </c>
      <c r="AG42" s="3" t="s">
        <v>74</v>
      </c>
      <c r="AH42" s="3" t="s">
        <v>75</v>
      </c>
      <c r="AI42" s="2">
        <v>0</v>
      </c>
      <c r="AJ42" s="2">
        <v>1</v>
      </c>
      <c r="AK42" s="2">
        <v>0</v>
      </c>
      <c r="AL42" s="2">
        <v>0</v>
      </c>
      <c r="AM42" s="2">
        <v>1</v>
      </c>
      <c r="AN42" s="2">
        <v>1</v>
      </c>
      <c r="AO42" s="2" t="s">
        <v>76</v>
      </c>
      <c r="AP42" s="1">
        <f>1204.7+211.6</f>
        <v>1416.3</v>
      </c>
      <c r="AQ42" s="1">
        <f>256.5+19.5*2+236.7</f>
        <v>532.20000000000005</v>
      </c>
      <c r="AR42" s="4">
        <f t="shared" si="9"/>
        <v>0.2731331793687452</v>
      </c>
      <c r="AS42" s="18">
        <f t="shared" si="7"/>
        <v>410.72</v>
      </c>
      <c r="AT42">
        <f t="shared" si="8"/>
        <v>0.77173994738819995</v>
      </c>
      <c r="AU42">
        <f t="shared" si="10"/>
        <v>408.6</v>
      </c>
      <c r="AV42" s="9">
        <f t="shared" si="5"/>
        <v>0.76775648252536643</v>
      </c>
    </row>
    <row r="43" spans="1:55" x14ac:dyDescent="0.3">
      <c r="A43" s="23">
        <v>270</v>
      </c>
      <c r="B43" t="s">
        <v>42</v>
      </c>
      <c r="C43" s="1">
        <v>11222</v>
      </c>
      <c r="D43" t="s">
        <v>43</v>
      </c>
      <c r="E43" t="s">
        <v>44</v>
      </c>
      <c r="F43" t="s">
        <v>98</v>
      </c>
      <c r="G43" s="2">
        <v>1974</v>
      </c>
      <c r="H43" s="2" t="s">
        <v>69</v>
      </c>
      <c r="I43" s="2" t="str">
        <f t="shared" si="6"/>
        <v>1950-1980</v>
      </c>
      <c r="J43" s="2">
        <v>72</v>
      </c>
      <c r="K43" s="2">
        <f t="shared" si="0"/>
        <v>70</v>
      </c>
      <c r="L43" s="2">
        <v>306</v>
      </c>
      <c r="M43" s="2">
        <v>234</v>
      </c>
      <c r="N43" s="2">
        <v>9</v>
      </c>
      <c r="O43" s="2">
        <v>2</v>
      </c>
      <c r="P43" s="2">
        <v>2</v>
      </c>
      <c r="Q43" s="2">
        <v>1</v>
      </c>
      <c r="R43" s="2">
        <v>28.7</v>
      </c>
      <c r="S43" s="2">
        <v>28.5</v>
      </c>
      <c r="V43" s="1">
        <v>580</v>
      </c>
      <c r="W43" s="2">
        <v>4653.7</v>
      </c>
      <c r="X43" s="2">
        <v>984.5</v>
      </c>
      <c r="Y43" s="1">
        <v>3864.4</v>
      </c>
      <c r="Z43" s="2" t="s">
        <v>210</v>
      </c>
      <c r="AA43" s="2">
        <v>8</v>
      </c>
      <c r="AB43" s="2">
        <v>4</v>
      </c>
      <c r="AD43" s="3" t="s">
        <v>91</v>
      </c>
      <c r="AE43" s="3" t="s">
        <v>92</v>
      </c>
      <c r="AF43" s="3" t="s">
        <v>145</v>
      </c>
      <c r="AG43" s="3" t="s">
        <v>74</v>
      </c>
      <c r="AH43" s="3" t="s">
        <v>75</v>
      </c>
      <c r="AI43" s="2">
        <v>1</v>
      </c>
      <c r="AJ43" s="2">
        <v>0</v>
      </c>
      <c r="AK43" s="2">
        <v>0</v>
      </c>
      <c r="AL43" s="2">
        <v>1</v>
      </c>
      <c r="AM43" s="2">
        <v>0</v>
      </c>
      <c r="AN43" s="2">
        <v>0</v>
      </c>
      <c r="AO43" s="2" t="s">
        <v>76</v>
      </c>
      <c r="AP43" s="1">
        <v>2086.4</v>
      </c>
      <c r="AQ43" s="1">
        <v>771.6</v>
      </c>
      <c r="AR43" s="4">
        <f t="shared" si="9"/>
        <v>0.26997900629811056</v>
      </c>
      <c r="AS43" s="18">
        <f t="shared" si="7"/>
        <v>618.30399999999997</v>
      </c>
      <c r="AT43">
        <f t="shared" si="8"/>
        <v>0.80132711249351996</v>
      </c>
      <c r="AU43">
        <f t="shared" si="10"/>
        <v>531.17999999999995</v>
      </c>
      <c r="AV43" s="9">
        <f t="shared" si="5"/>
        <v>0.68841368584758933</v>
      </c>
    </row>
    <row r="44" spans="1:55" x14ac:dyDescent="0.3">
      <c r="A44" s="23">
        <v>271</v>
      </c>
      <c r="B44" t="s">
        <v>42</v>
      </c>
      <c r="C44" s="1">
        <v>11222</v>
      </c>
      <c r="D44" t="s">
        <v>43</v>
      </c>
      <c r="E44" t="s">
        <v>44</v>
      </c>
      <c r="F44" t="s">
        <v>98</v>
      </c>
      <c r="G44" s="2">
        <v>1974</v>
      </c>
      <c r="H44" s="2" t="s">
        <v>69</v>
      </c>
      <c r="I44" s="2" t="str">
        <f t="shared" si="6"/>
        <v>1950-1980</v>
      </c>
      <c r="J44" s="2">
        <v>143</v>
      </c>
      <c r="K44" s="2">
        <f t="shared" si="0"/>
        <v>140</v>
      </c>
      <c r="L44" s="2">
        <v>609</v>
      </c>
      <c r="M44" s="2">
        <v>466</v>
      </c>
      <c r="N44" s="2">
        <v>9</v>
      </c>
      <c r="O44" s="2">
        <v>4</v>
      </c>
      <c r="P44" s="2">
        <v>4</v>
      </c>
      <c r="Q44" s="2">
        <v>1</v>
      </c>
      <c r="R44" s="2">
        <v>29.4</v>
      </c>
      <c r="S44" s="2">
        <v>29.5</v>
      </c>
      <c r="V44" s="1">
        <v>1178</v>
      </c>
      <c r="W44" s="2">
        <v>9354.9</v>
      </c>
      <c r="X44" s="2">
        <v>1871.6</v>
      </c>
      <c r="Y44" s="1">
        <v>8193.6</v>
      </c>
      <c r="Z44" s="2" t="s">
        <v>210</v>
      </c>
      <c r="AA44" s="2">
        <v>12</v>
      </c>
      <c r="AB44" s="2">
        <v>8</v>
      </c>
      <c r="AD44" s="3" t="s">
        <v>91</v>
      </c>
      <c r="AE44" s="3" t="s">
        <v>92</v>
      </c>
      <c r="AF44" s="3" t="s">
        <v>139</v>
      </c>
      <c r="AG44" s="3" t="s">
        <v>74</v>
      </c>
      <c r="AH44" s="3" t="s">
        <v>75</v>
      </c>
      <c r="AI44" s="2">
        <v>1</v>
      </c>
      <c r="AJ44" s="2">
        <v>0</v>
      </c>
      <c r="AK44" s="2">
        <v>0</v>
      </c>
      <c r="AL44" s="2">
        <v>1</v>
      </c>
      <c r="AM44" s="2">
        <v>0</v>
      </c>
      <c r="AN44" s="2">
        <v>0</v>
      </c>
      <c r="AO44" s="2" t="s">
        <v>76</v>
      </c>
      <c r="AP44" s="1">
        <v>4023.7</v>
      </c>
      <c r="AQ44" s="1">
        <v>1477.3</v>
      </c>
      <c r="AR44" s="4">
        <f t="shared" si="9"/>
        <v>0.26855117251408833</v>
      </c>
      <c r="AS44" s="18">
        <f t="shared" si="7"/>
        <v>1310.9760000000001</v>
      </c>
      <c r="AT44">
        <f t="shared" si="8"/>
        <v>0.88741352467339074</v>
      </c>
      <c r="AU44">
        <f t="shared" si="10"/>
        <v>1057.82</v>
      </c>
      <c r="AV44" s="9">
        <f t="shared" si="5"/>
        <v>0.71604954985446423</v>
      </c>
    </row>
    <row r="45" spans="1:55" x14ac:dyDescent="0.3">
      <c r="A45" s="23">
        <v>281</v>
      </c>
      <c r="B45" t="s">
        <v>42</v>
      </c>
      <c r="C45" s="1">
        <v>11222</v>
      </c>
      <c r="D45" t="s">
        <v>43</v>
      </c>
      <c r="E45" t="s">
        <v>44</v>
      </c>
      <c r="F45" t="s">
        <v>62</v>
      </c>
      <c r="G45" s="2">
        <v>1972</v>
      </c>
      <c r="H45" s="2" t="s">
        <v>69</v>
      </c>
      <c r="I45" s="2" t="str">
        <f t="shared" si="6"/>
        <v>1950-1980</v>
      </c>
      <c r="J45" s="2">
        <v>264</v>
      </c>
      <c r="K45" s="2">
        <f t="shared" si="0"/>
        <v>260</v>
      </c>
      <c r="L45" s="2">
        <v>282</v>
      </c>
      <c r="M45" s="2">
        <v>18</v>
      </c>
      <c r="N45" s="2">
        <v>7</v>
      </c>
      <c r="O45" s="2">
        <v>2</v>
      </c>
      <c r="P45" s="2">
        <v>2</v>
      </c>
      <c r="Q45" s="2">
        <v>1</v>
      </c>
      <c r="R45" s="2">
        <v>24.9</v>
      </c>
      <c r="S45" s="2">
        <v>25</v>
      </c>
      <c r="V45" s="1">
        <v>1399.2</v>
      </c>
      <c r="W45" s="2">
        <v>8853.6</v>
      </c>
      <c r="X45" s="2">
        <v>2351.8000000000002</v>
      </c>
      <c r="Y45" s="1">
        <v>8779.2999999999993</v>
      </c>
      <c r="Z45" s="2" t="s">
        <v>210</v>
      </c>
      <c r="AA45" s="2">
        <v>32</v>
      </c>
      <c r="AB45" s="2">
        <v>28</v>
      </c>
      <c r="AD45" s="3" t="s">
        <v>91</v>
      </c>
      <c r="AE45" s="3" t="s">
        <v>92</v>
      </c>
      <c r="AF45" s="3" t="s">
        <v>273</v>
      </c>
      <c r="AG45" s="3" t="s">
        <v>74</v>
      </c>
      <c r="AH45" s="3" t="s">
        <v>81</v>
      </c>
      <c r="AI45" s="2">
        <v>1</v>
      </c>
      <c r="AJ45" s="2">
        <v>0</v>
      </c>
      <c r="AK45" s="2">
        <v>0</v>
      </c>
      <c r="AL45" s="2">
        <v>1</v>
      </c>
      <c r="AM45" s="2">
        <v>0</v>
      </c>
      <c r="AN45" s="2">
        <v>1</v>
      </c>
      <c r="AO45" s="2" t="s">
        <v>84</v>
      </c>
      <c r="AP45" s="1">
        <f>3635</f>
        <v>3635</v>
      </c>
      <c r="AQ45" s="1">
        <f>420+20.3+412+20.3</f>
        <v>872.59999999999991</v>
      </c>
      <c r="AR45" s="4">
        <f t="shared" si="9"/>
        <v>0.19358416895909128</v>
      </c>
      <c r="AS45" s="18">
        <f t="shared" si="7"/>
        <v>1404.6879999999999</v>
      </c>
      <c r="AT45">
        <f t="shared" si="8"/>
        <v>1.6097730919092368</v>
      </c>
      <c r="AU45">
        <f t="shared" si="10"/>
        <v>40.86</v>
      </c>
      <c r="AV45" s="9">
        <f t="shared" si="5"/>
        <v>4.6825578730231493E-2</v>
      </c>
    </row>
    <row r="46" spans="1:55" x14ac:dyDescent="0.3">
      <c r="A46" s="23">
        <v>285</v>
      </c>
      <c r="B46" t="s">
        <v>42</v>
      </c>
      <c r="C46" s="1">
        <v>11222</v>
      </c>
      <c r="D46" t="s">
        <v>43</v>
      </c>
      <c r="E46" t="s">
        <v>44</v>
      </c>
      <c r="F46" t="s">
        <v>266</v>
      </c>
      <c r="G46" s="2">
        <v>1965</v>
      </c>
      <c r="H46" s="2" t="s">
        <v>57</v>
      </c>
      <c r="I46" s="2" t="str">
        <f t="shared" si="6"/>
        <v>1950-1980</v>
      </c>
      <c r="J46" s="2">
        <v>90</v>
      </c>
      <c r="K46" s="2">
        <f t="shared" si="0"/>
        <v>90</v>
      </c>
      <c r="L46" s="2">
        <v>401</v>
      </c>
      <c r="M46" s="2">
        <v>311</v>
      </c>
      <c r="N46" s="2">
        <v>5</v>
      </c>
      <c r="O46" s="2">
        <v>0</v>
      </c>
      <c r="P46" s="2">
        <v>6</v>
      </c>
      <c r="Q46" s="2">
        <v>1</v>
      </c>
      <c r="R46" s="2">
        <v>15.6</v>
      </c>
      <c r="S46" s="2">
        <v>15.5</v>
      </c>
      <c r="V46" s="1">
        <v>1085</v>
      </c>
      <c r="W46" s="2">
        <v>5673.8</v>
      </c>
      <c r="X46" s="2">
        <v>1301.4000000000001</v>
      </c>
      <c r="Y46" s="1">
        <v>4793</v>
      </c>
      <c r="Z46" s="2" t="s">
        <v>210</v>
      </c>
      <c r="AA46" s="2">
        <v>4</v>
      </c>
      <c r="AB46" s="2">
        <v>0</v>
      </c>
      <c r="AD46" s="3" t="s">
        <v>91</v>
      </c>
      <c r="AE46" s="3" t="s">
        <v>92</v>
      </c>
      <c r="AF46" s="3" t="s">
        <v>139</v>
      </c>
      <c r="AG46" s="3" t="s">
        <v>74</v>
      </c>
      <c r="AH46" s="3" t="s">
        <v>75</v>
      </c>
      <c r="AI46" s="2">
        <v>1</v>
      </c>
      <c r="AJ46" s="2">
        <v>0</v>
      </c>
      <c r="AK46" s="2">
        <v>0</v>
      </c>
      <c r="AL46" s="2">
        <v>0</v>
      </c>
      <c r="AM46" s="2">
        <v>0</v>
      </c>
      <c r="AN46" s="2">
        <v>1</v>
      </c>
      <c r="AO46" s="2" t="s">
        <v>76</v>
      </c>
      <c r="AP46" s="1">
        <f>249+2150</f>
        <v>2399</v>
      </c>
      <c r="AQ46" s="1">
        <f>661.2+127.3</f>
        <v>788.5</v>
      </c>
      <c r="AR46" s="4">
        <f t="shared" si="9"/>
        <v>0.24737254901960784</v>
      </c>
      <c r="AS46" s="18">
        <f t="shared" si="7"/>
        <v>766.88</v>
      </c>
      <c r="AT46">
        <f t="shared" si="8"/>
        <v>0.97258084971464809</v>
      </c>
      <c r="AU46">
        <f t="shared" si="10"/>
        <v>705.97</v>
      </c>
      <c r="AV46" s="9">
        <f t="shared" si="5"/>
        <v>0.89533291058972742</v>
      </c>
    </row>
    <row r="47" spans="1:55" x14ac:dyDescent="0.3">
      <c r="A47" s="23">
        <v>288</v>
      </c>
      <c r="B47" t="s">
        <v>42</v>
      </c>
      <c r="C47" s="1">
        <v>12339</v>
      </c>
      <c r="D47" t="s">
        <v>54</v>
      </c>
      <c r="E47" t="s">
        <v>110</v>
      </c>
      <c r="F47" t="s">
        <v>110</v>
      </c>
      <c r="G47" s="2">
        <v>1966</v>
      </c>
      <c r="H47" s="2" t="s">
        <v>57</v>
      </c>
      <c r="I47" s="2" t="str">
        <f t="shared" si="6"/>
        <v>1950-1980</v>
      </c>
      <c r="J47" s="2">
        <v>60</v>
      </c>
      <c r="K47" s="2">
        <f>MROUND(J47,10)</f>
        <v>60</v>
      </c>
      <c r="L47" s="2">
        <v>240</v>
      </c>
      <c r="M47" s="2">
        <v>180</v>
      </c>
      <c r="N47" s="2">
        <v>5</v>
      </c>
      <c r="O47" s="2">
        <v>0</v>
      </c>
      <c r="P47" s="2">
        <v>4</v>
      </c>
      <c r="Q47" s="2">
        <v>1</v>
      </c>
      <c r="R47" s="2">
        <v>15.8</v>
      </c>
      <c r="S47" s="2">
        <v>16</v>
      </c>
      <c r="T47" s="2">
        <v>12.1</v>
      </c>
      <c r="U47" s="2">
        <v>52.5</v>
      </c>
      <c r="V47" s="1">
        <v>748</v>
      </c>
      <c r="W47" s="2">
        <v>3329.5</v>
      </c>
      <c r="X47" s="2">
        <v>630.9</v>
      </c>
      <c r="Y47" s="1">
        <v>2780.3</v>
      </c>
      <c r="Z47" s="2" t="s">
        <v>210</v>
      </c>
      <c r="AA47" s="2">
        <v>4</v>
      </c>
      <c r="AB47" s="2">
        <v>0</v>
      </c>
      <c r="AD47" s="3" t="s">
        <v>91</v>
      </c>
      <c r="AE47" s="3" t="s">
        <v>92</v>
      </c>
      <c r="AF47" s="3" t="s">
        <v>50</v>
      </c>
      <c r="AG47" s="3" t="s">
        <v>74</v>
      </c>
      <c r="AH47" s="3" t="s">
        <v>75</v>
      </c>
      <c r="AI47" s="2">
        <v>1</v>
      </c>
      <c r="AJ47" s="2">
        <v>0</v>
      </c>
      <c r="AK47" s="2">
        <v>0</v>
      </c>
      <c r="AL47" s="2">
        <v>0</v>
      </c>
      <c r="AM47" s="2">
        <v>1</v>
      </c>
      <c r="AN47" s="2">
        <v>1</v>
      </c>
      <c r="AO47" s="2" t="s">
        <v>76</v>
      </c>
      <c r="AP47" s="1">
        <f>1156</f>
        <v>1156</v>
      </c>
      <c r="AQ47" s="1">
        <f>251.72+21*2+228.92</f>
        <v>522.64</v>
      </c>
      <c r="AR47" s="4">
        <f t="shared" si="9"/>
        <v>0.31134728113234522</v>
      </c>
      <c r="AS47" s="18">
        <f t="shared" si="7"/>
        <v>444.84800000000001</v>
      </c>
      <c r="AT47">
        <f t="shared" si="8"/>
        <v>0.85115567120771474</v>
      </c>
      <c r="AU47">
        <f t="shared" si="10"/>
        <v>408.6</v>
      </c>
      <c r="AV47" s="9">
        <f t="shared" si="5"/>
        <v>0.78180009184142052</v>
      </c>
    </row>
    <row r="48" spans="1:55" x14ac:dyDescent="0.3">
      <c r="A48" s="23">
        <v>292</v>
      </c>
      <c r="B48" t="s">
        <v>42</v>
      </c>
      <c r="C48" s="1">
        <v>11222</v>
      </c>
      <c r="D48" t="s">
        <v>132</v>
      </c>
      <c r="E48" t="s">
        <v>133</v>
      </c>
      <c r="F48" t="s">
        <v>166</v>
      </c>
      <c r="G48" s="2">
        <v>1972</v>
      </c>
      <c r="H48" s="2" t="s">
        <v>69</v>
      </c>
      <c r="I48" s="2" t="str">
        <f t="shared" si="6"/>
        <v>1950-1980</v>
      </c>
      <c r="J48" s="2">
        <v>60</v>
      </c>
      <c r="K48" s="2">
        <f t="shared" si="0"/>
        <v>60</v>
      </c>
      <c r="L48" s="2">
        <v>241</v>
      </c>
      <c r="M48" s="2">
        <v>181</v>
      </c>
      <c r="N48" s="2">
        <v>5</v>
      </c>
      <c r="O48" s="2">
        <v>0</v>
      </c>
      <c r="P48" s="2">
        <v>4</v>
      </c>
      <c r="Q48" s="2">
        <v>1</v>
      </c>
      <c r="R48" s="2">
        <v>15.6</v>
      </c>
      <c r="S48" s="2">
        <v>15.5</v>
      </c>
      <c r="T48" s="2">
        <v>12.2</v>
      </c>
      <c r="U48" s="2">
        <v>57.7</v>
      </c>
      <c r="V48" s="1">
        <v>695</v>
      </c>
      <c r="W48" s="2">
        <v>3339</v>
      </c>
      <c r="X48" s="2">
        <v>637.79999999999995</v>
      </c>
      <c r="Y48" s="1">
        <v>2961</v>
      </c>
      <c r="Z48" s="2" t="s">
        <v>210</v>
      </c>
      <c r="AA48" s="2">
        <v>4</v>
      </c>
      <c r="AB48" s="2">
        <v>1</v>
      </c>
      <c r="AD48" s="3" t="s">
        <v>91</v>
      </c>
      <c r="AE48" s="3" t="s">
        <v>92</v>
      </c>
      <c r="AF48" s="3" t="s">
        <v>340</v>
      </c>
      <c r="AG48" s="3" t="s">
        <v>74</v>
      </c>
      <c r="AH48" s="3" t="s">
        <v>177</v>
      </c>
      <c r="AI48" s="2">
        <v>1</v>
      </c>
      <c r="AJ48" s="2">
        <v>0</v>
      </c>
      <c r="AK48" s="2">
        <v>0</v>
      </c>
      <c r="AL48" s="2">
        <v>0</v>
      </c>
      <c r="AM48" s="2">
        <v>1</v>
      </c>
      <c r="AN48" s="2">
        <v>1</v>
      </c>
      <c r="AO48" s="2" t="s">
        <v>76</v>
      </c>
      <c r="AP48" s="1">
        <f>854.1+1019</f>
        <v>1873.1</v>
      </c>
      <c r="AQ48" s="1">
        <f>463.1+160</f>
        <v>623.1</v>
      </c>
      <c r="AR48" s="4">
        <f t="shared" si="9"/>
        <v>0.24961942152071151</v>
      </c>
      <c r="AS48" s="18">
        <f t="shared" si="7"/>
        <v>473.76</v>
      </c>
      <c r="AT48">
        <f t="shared" si="8"/>
        <v>0.76032739528165616</v>
      </c>
      <c r="AU48">
        <f t="shared" si="10"/>
        <v>410.87</v>
      </c>
      <c r="AV48" s="9">
        <f t="shared" si="5"/>
        <v>0.65939656555930026</v>
      </c>
    </row>
    <row r="49" spans="1:48" x14ac:dyDescent="0.3">
      <c r="A49" s="23">
        <v>299</v>
      </c>
      <c r="B49" t="s">
        <v>42</v>
      </c>
      <c r="C49" s="1">
        <v>11222</v>
      </c>
      <c r="D49" t="s">
        <v>43</v>
      </c>
      <c r="E49" t="s">
        <v>44</v>
      </c>
      <c r="F49" t="s">
        <v>266</v>
      </c>
      <c r="G49" s="2">
        <v>1971</v>
      </c>
      <c r="H49" s="2" t="s">
        <v>69</v>
      </c>
      <c r="I49" s="2" t="str">
        <f t="shared" si="6"/>
        <v>1950-1980</v>
      </c>
      <c r="J49" s="2">
        <v>60</v>
      </c>
      <c r="K49" s="2">
        <f t="shared" si="0"/>
        <v>60</v>
      </c>
      <c r="L49" s="2">
        <v>238</v>
      </c>
      <c r="M49" s="2">
        <v>178</v>
      </c>
      <c r="N49" s="2">
        <v>5</v>
      </c>
      <c r="O49" s="2">
        <v>0</v>
      </c>
      <c r="P49" s="2">
        <v>4</v>
      </c>
      <c r="Q49" s="2">
        <v>1</v>
      </c>
      <c r="R49" s="2">
        <v>15.7</v>
      </c>
      <c r="S49" s="2">
        <v>15.5</v>
      </c>
      <c r="V49" s="1">
        <v>675</v>
      </c>
      <c r="W49" s="2">
        <v>3517</v>
      </c>
      <c r="X49" s="2">
        <v>830</v>
      </c>
      <c r="Y49" s="1">
        <v>2961</v>
      </c>
      <c r="Z49" s="2" t="s">
        <v>210</v>
      </c>
      <c r="AA49" s="2">
        <v>4</v>
      </c>
      <c r="AB49" s="2">
        <v>0</v>
      </c>
      <c r="AD49" s="3" t="s">
        <v>91</v>
      </c>
      <c r="AE49" s="3" t="s">
        <v>92</v>
      </c>
      <c r="AF49" s="3" t="s">
        <v>50</v>
      </c>
      <c r="AG49" s="3" t="s">
        <v>74</v>
      </c>
      <c r="AH49" s="3" t="s">
        <v>75</v>
      </c>
      <c r="AI49" s="2">
        <v>1</v>
      </c>
      <c r="AJ49" s="2">
        <v>0</v>
      </c>
      <c r="AK49" s="2">
        <v>0</v>
      </c>
      <c r="AL49" s="2">
        <v>0</v>
      </c>
      <c r="AM49" s="2">
        <v>1</v>
      </c>
      <c r="AN49" s="2">
        <v>1</v>
      </c>
      <c r="AO49" s="2" t="s">
        <v>84</v>
      </c>
      <c r="AP49" s="1">
        <f>1392</f>
        <v>1392</v>
      </c>
      <c r="AQ49" s="1">
        <f>210+219+21+21</f>
        <v>471</v>
      </c>
      <c r="AR49" s="4">
        <f t="shared" si="9"/>
        <v>0.25281803542673109</v>
      </c>
      <c r="AS49" s="18">
        <f t="shared" si="7"/>
        <v>473.76</v>
      </c>
      <c r="AT49">
        <f t="shared" si="8"/>
        <v>1.0058598726114649</v>
      </c>
      <c r="AU49">
        <f t="shared" si="10"/>
        <v>404.06</v>
      </c>
      <c r="AV49" s="9">
        <f t="shared" si="5"/>
        <v>0.8578768577494692</v>
      </c>
    </row>
    <row r="50" spans="1:48" x14ac:dyDescent="0.3">
      <c r="A50" s="23">
        <v>302</v>
      </c>
      <c r="B50" t="s">
        <v>42</v>
      </c>
      <c r="C50" s="1">
        <v>11222</v>
      </c>
      <c r="D50" t="s">
        <v>43</v>
      </c>
      <c r="E50" t="s">
        <v>101</v>
      </c>
      <c r="F50" t="s">
        <v>261</v>
      </c>
      <c r="G50" s="2">
        <v>1992</v>
      </c>
      <c r="H50" s="2" t="s">
        <v>167</v>
      </c>
      <c r="I50" s="2" t="str">
        <f t="shared" si="6"/>
        <v>&gt;1980</v>
      </c>
      <c r="J50" s="2">
        <v>18</v>
      </c>
      <c r="K50" s="2">
        <f t="shared" si="0"/>
        <v>20</v>
      </c>
      <c r="L50" s="2">
        <v>99</v>
      </c>
      <c r="M50" s="2">
        <v>81</v>
      </c>
      <c r="N50" s="2">
        <v>3</v>
      </c>
      <c r="O50" s="2">
        <v>0</v>
      </c>
      <c r="P50" s="2">
        <v>3</v>
      </c>
      <c r="Q50" s="2">
        <v>1</v>
      </c>
      <c r="R50" s="2">
        <v>14.4</v>
      </c>
      <c r="S50" s="2">
        <v>14.5</v>
      </c>
      <c r="V50" s="1">
        <v>578</v>
      </c>
      <c r="W50" s="2">
        <v>2029.8</v>
      </c>
      <c r="X50" s="2">
        <v>640.20000000000005</v>
      </c>
      <c r="Y50" s="1">
        <v>1479.6</v>
      </c>
      <c r="Z50" s="2" t="s">
        <v>210</v>
      </c>
      <c r="AA50" s="2">
        <v>4</v>
      </c>
      <c r="AB50" s="2">
        <v>0</v>
      </c>
      <c r="AD50" s="3" t="s">
        <v>91</v>
      </c>
      <c r="AE50" s="3" t="s">
        <v>92</v>
      </c>
      <c r="AF50" s="3" t="s">
        <v>139</v>
      </c>
      <c r="AG50" s="3" t="s">
        <v>51</v>
      </c>
      <c r="AH50" s="3" t="s">
        <v>75</v>
      </c>
      <c r="AI50" s="2">
        <v>0</v>
      </c>
      <c r="AJ50" s="2">
        <v>1</v>
      </c>
      <c r="AK50" s="2">
        <v>0</v>
      </c>
      <c r="AL50" s="2">
        <v>1</v>
      </c>
      <c r="AM50" s="2">
        <v>0</v>
      </c>
      <c r="AN50" s="2" t="s">
        <v>152</v>
      </c>
      <c r="AO50" s="2" t="s">
        <v>84</v>
      </c>
      <c r="AP50" s="1">
        <f>465.4+233.4</f>
        <v>698.8</v>
      </c>
      <c r="AQ50" s="1">
        <f>30+21.3+95+83</f>
        <v>229.3</v>
      </c>
      <c r="AR50" s="4">
        <f t="shared" si="9"/>
        <v>0.24706389397694217</v>
      </c>
      <c r="AS50" s="18">
        <f t="shared" si="7"/>
        <v>236.73599999999999</v>
      </c>
      <c r="AT50">
        <f t="shared" si="8"/>
        <v>1.0324291321412995</v>
      </c>
      <c r="AU50">
        <f t="shared" si="10"/>
        <v>183.87</v>
      </c>
      <c r="AV50" s="9">
        <f t="shared" si="5"/>
        <v>0.80187527256868729</v>
      </c>
    </row>
    <row r="51" spans="1:48" x14ac:dyDescent="0.3">
      <c r="A51" s="23">
        <v>309</v>
      </c>
      <c r="B51" t="s">
        <v>42</v>
      </c>
      <c r="C51" s="1">
        <v>11222</v>
      </c>
      <c r="D51" t="s">
        <v>43</v>
      </c>
      <c r="E51" t="s">
        <v>148</v>
      </c>
      <c r="F51" t="s">
        <v>281</v>
      </c>
      <c r="G51" s="2">
        <v>1973</v>
      </c>
      <c r="H51" s="2" t="s">
        <v>69</v>
      </c>
      <c r="I51" s="2" t="str">
        <f t="shared" si="6"/>
        <v>1950-1980</v>
      </c>
      <c r="J51" s="2">
        <v>32</v>
      </c>
      <c r="K51" s="2">
        <f t="shared" si="0"/>
        <v>30</v>
      </c>
      <c r="L51" s="2">
        <v>140</v>
      </c>
      <c r="M51" s="2">
        <v>108</v>
      </c>
      <c r="N51" s="2">
        <v>3</v>
      </c>
      <c r="O51" s="2">
        <v>0</v>
      </c>
      <c r="P51" s="2">
        <v>5</v>
      </c>
      <c r="Q51" s="2">
        <v>1</v>
      </c>
      <c r="R51" s="2">
        <v>10.199999999999999</v>
      </c>
      <c r="S51" s="2">
        <v>10</v>
      </c>
      <c r="T51" s="2">
        <v>12.2</v>
      </c>
      <c r="U51" s="2">
        <v>57.6</v>
      </c>
      <c r="V51" s="1">
        <v>755</v>
      </c>
      <c r="W51" s="2">
        <v>2390.4</v>
      </c>
      <c r="X51" s="2">
        <v>764.2</v>
      </c>
      <c r="Y51" s="1">
        <v>1717.4</v>
      </c>
      <c r="Z51" s="2" t="s">
        <v>210</v>
      </c>
      <c r="AA51" s="2">
        <v>4</v>
      </c>
      <c r="AB51" s="2">
        <v>0</v>
      </c>
      <c r="AD51" s="3" t="s">
        <v>91</v>
      </c>
      <c r="AE51" s="3" t="s">
        <v>92</v>
      </c>
      <c r="AF51" s="3" t="s">
        <v>50</v>
      </c>
      <c r="AG51" s="3" t="s">
        <v>74</v>
      </c>
      <c r="AH51" s="3" t="s">
        <v>75</v>
      </c>
      <c r="AI51" s="2">
        <v>1</v>
      </c>
      <c r="AJ51" s="2">
        <v>0</v>
      </c>
      <c r="AK51" s="2">
        <v>0</v>
      </c>
      <c r="AL51" s="2">
        <v>0</v>
      </c>
      <c r="AM51" s="2">
        <v>1</v>
      </c>
      <c r="AN51" s="2">
        <v>1</v>
      </c>
      <c r="AO51" s="2" t="s">
        <v>84</v>
      </c>
      <c r="AP51" s="1">
        <f>1136.5</f>
        <v>1136.5</v>
      </c>
      <c r="AQ51" s="1">
        <f>22.4+170.1+22.4+150.4</f>
        <v>365.3</v>
      </c>
      <c r="AR51" s="4">
        <f t="shared" si="9"/>
        <v>0.24324144360101213</v>
      </c>
      <c r="AS51" s="18">
        <f t="shared" si="7"/>
        <v>274.78399999999999</v>
      </c>
      <c r="AT51">
        <f t="shared" si="8"/>
        <v>0.75221461812209134</v>
      </c>
      <c r="AU51">
        <f t="shared" si="10"/>
        <v>245.16</v>
      </c>
      <c r="AV51" s="9">
        <f t="shared" si="5"/>
        <v>0.67111962770325762</v>
      </c>
    </row>
    <row r="52" spans="1:48" x14ac:dyDescent="0.3">
      <c r="A52" s="23">
        <v>315</v>
      </c>
      <c r="B52" t="s">
        <v>42</v>
      </c>
      <c r="C52" s="1">
        <v>11222</v>
      </c>
      <c r="D52" t="s">
        <v>43</v>
      </c>
      <c r="E52" t="s">
        <v>146</v>
      </c>
      <c r="F52" t="s">
        <v>147</v>
      </c>
      <c r="G52" s="2">
        <v>1969</v>
      </c>
      <c r="H52" s="2" t="s">
        <v>57</v>
      </c>
      <c r="I52" s="2" t="str">
        <f t="shared" si="6"/>
        <v>1950-1980</v>
      </c>
      <c r="J52" s="2">
        <v>60</v>
      </c>
      <c r="K52" s="2">
        <f t="shared" si="0"/>
        <v>60</v>
      </c>
      <c r="L52" s="2">
        <v>238</v>
      </c>
      <c r="M52" s="2">
        <v>178</v>
      </c>
      <c r="N52" s="2">
        <v>5</v>
      </c>
      <c r="O52" s="2">
        <v>0</v>
      </c>
      <c r="P52" s="2">
        <v>4</v>
      </c>
      <c r="Q52" s="2">
        <v>1</v>
      </c>
      <c r="R52" s="2">
        <v>15</v>
      </c>
      <c r="S52" s="2">
        <v>15</v>
      </c>
      <c r="V52" s="1">
        <v>676</v>
      </c>
      <c r="W52" s="2">
        <v>3513.8</v>
      </c>
      <c r="X52" s="2">
        <v>820.5</v>
      </c>
      <c r="Y52" s="1">
        <v>2968</v>
      </c>
      <c r="Z52" s="2" t="s">
        <v>210</v>
      </c>
      <c r="AA52" s="2">
        <v>4</v>
      </c>
      <c r="AB52" s="2">
        <v>0</v>
      </c>
      <c r="AD52" s="3" t="s">
        <v>91</v>
      </c>
      <c r="AE52" s="3" t="s">
        <v>92</v>
      </c>
      <c r="AF52" s="3" t="s">
        <v>50</v>
      </c>
      <c r="AG52" s="3" t="s">
        <v>74</v>
      </c>
      <c r="AH52" s="3" t="s">
        <v>177</v>
      </c>
      <c r="AI52" s="2">
        <v>1</v>
      </c>
      <c r="AJ52" s="2">
        <v>0</v>
      </c>
      <c r="AK52" s="2">
        <v>0</v>
      </c>
      <c r="AL52" s="2">
        <v>0</v>
      </c>
      <c r="AM52" s="2">
        <v>1</v>
      </c>
      <c r="AN52" s="2">
        <v>1</v>
      </c>
      <c r="AO52" s="2" t="s">
        <v>123</v>
      </c>
      <c r="AP52" s="1">
        <f>854.1+1019</f>
        <v>1873.1</v>
      </c>
      <c r="AQ52" s="1">
        <f>463.1+160</f>
        <v>623.1</v>
      </c>
      <c r="AR52" s="4">
        <f t="shared" si="9"/>
        <v>0.24961942152071151</v>
      </c>
      <c r="AS52" s="18">
        <f t="shared" si="7"/>
        <v>474.88</v>
      </c>
      <c r="AT52">
        <f t="shared" si="8"/>
        <v>0.76212485957310216</v>
      </c>
      <c r="AU52">
        <f t="shared" si="10"/>
        <v>404.06</v>
      </c>
      <c r="AV52" s="9">
        <f t="shared" si="5"/>
        <v>0.64846734071577594</v>
      </c>
    </row>
    <row r="53" spans="1:48" x14ac:dyDescent="0.3">
      <c r="A53" s="23">
        <v>321</v>
      </c>
      <c r="B53" t="s">
        <v>42</v>
      </c>
      <c r="C53" s="1">
        <v>11222</v>
      </c>
      <c r="D53" t="s">
        <v>132</v>
      </c>
      <c r="E53" t="s">
        <v>133</v>
      </c>
      <c r="F53" t="s">
        <v>166</v>
      </c>
      <c r="G53" s="2">
        <v>1988</v>
      </c>
      <c r="H53" s="2" t="s">
        <v>131</v>
      </c>
      <c r="I53" s="2" t="str">
        <f t="shared" si="6"/>
        <v>&gt;1980</v>
      </c>
      <c r="J53" s="2">
        <v>60</v>
      </c>
      <c r="K53" s="2">
        <f t="shared" si="0"/>
        <v>60</v>
      </c>
      <c r="L53" s="2">
        <v>240</v>
      </c>
      <c r="M53" s="2">
        <v>180</v>
      </c>
      <c r="N53" s="2">
        <v>5</v>
      </c>
      <c r="O53" s="2">
        <v>0</v>
      </c>
      <c r="P53" s="2">
        <v>4</v>
      </c>
      <c r="Q53" s="2">
        <v>1</v>
      </c>
      <c r="R53" s="2">
        <v>15.9</v>
      </c>
      <c r="S53" s="2">
        <v>16</v>
      </c>
      <c r="T53" s="2">
        <v>13.4</v>
      </c>
      <c r="U53" s="2">
        <v>62.5</v>
      </c>
      <c r="V53" s="1">
        <v>772</v>
      </c>
      <c r="W53" s="2">
        <v>3743.8</v>
      </c>
      <c r="X53" s="2">
        <v>734.7</v>
      </c>
      <c r="Y53" s="1">
        <v>3297.4</v>
      </c>
      <c r="Z53" s="2" t="s">
        <v>210</v>
      </c>
      <c r="AA53" s="2">
        <v>12</v>
      </c>
      <c r="AB53" s="2">
        <v>8</v>
      </c>
      <c r="AD53" s="3" t="s">
        <v>126</v>
      </c>
      <c r="AE53" s="3" t="s">
        <v>115</v>
      </c>
      <c r="AF53" s="3" t="s">
        <v>50</v>
      </c>
      <c r="AG53" s="3" t="s">
        <v>74</v>
      </c>
      <c r="AH53" s="3" t="s">
        <v>75</v>
      </c>
      <c r="AI53" s="2">
        <v>1</v>
      </c>
      <c r="AJ53" s="2">
        <v>0</v>
      </c>
      <c r="AK53" s="2">
        <v>0</v>
      </c>
      <c r="AL53" s="2">
        <v>1</v>
      </c>
      <c r="AM53" s="2">
        <v>0</v>
      </c>
      <c r="AN53" s="2">
        <v>0</v>
      </c>
      <c r="AO53" s="2" t="s">
        <v>76</v>
      </c>
      <c r="AP53" s="1">
        <f>1415.3+476.2</f>
        <v>1891.5</v>
      </c>
      <c r="AQ53" s="1">
        <f>283.7+238.6</f>
        <v>522.29999999999995</v>
      </c>
      <c r="AR53" s="4">
        <f t="shared" si="9"/>
        <v>0.21638081034054185</v>
      </c>
      <c r="AS53" s="18">
        <f t="shared" si="7"/>
        <v>527.58400000000006</v>
      </c>
      <c r="AT53">
        <f t="shared" si="8"/>
        <v>1.010116791116217</v>
      </c>
      <c r="AU53">
        <f t="shared" si="10"/>
        <v>408.6</v>
      </c>
      <c r="AV53" s="9">
        <f t="shared" si="5"/>
        <v>0.78230901780585882</v>
      </c>
    </row>
    <row r="54" spans="1:48" x14ac:dyDescent="0.3">
      <c r="A54" s="23">
        <v>333</v>
      </c>
      <c r="B54" t="s">
        <v>42</v>
      </c>
      <c r="C54" s="1">
        <v>11222</v>
      </c>
      <c r="D54" t="s">
        <v>43</v>
      </c>
      <c r="E54" t="s">
        <v>101</v>
      </c>
      <c r="F54" t="s">
        <v>122</v>
      </c>
      <c r="G54" s="2">
        <v>1972</v>
      </c>
      <c r="H54" s="2" t="s">
        <v>69</v>
      </c>
      <c r="I54" s="2" t="str">
        <f t="shared" si="6"/>
        <v>1950-1980</v>
      </c>
      <c r="J54" s="2">
        <v>29</v>
      </c>
      <c r="K54" s="2">
        <f t="shared" si="0"/>
        <v>30</v>
      </c>
      <c r="L54" s="2">
        <v>138</v>
      </c>
      <c r="M54" s="2">
        <v>109</v>
      </c>
      <c r="N54" s="2">
        <v>5</v>
      </c>
      <c r="O54" s="2">
        <v>0</v>
      </c>
      <c r="P54" s="2">
        <v>2</v>
      </c>
      <c r="Q54" s="2">
        <v>1</v>
      </c>
      <c r="R54" s="2">
        <v>15.1</v>
      </c>
      <c r="S54" s="2">
        <v>15</v>
      </c>
      <c r="V54" s="1">
        <v>424</v>
      </c>
      <c r="W54" s="2">
        <v>2135.9</v>
      </c>
      <c r="X54" s="2">
        <v>468.3</v>
      </c>
      <c r="Y54" s="1">
        <v>1808</v>
      </c>
      <c r="Z54" s="2" t="s">
        <v>210</v>
      </c>
      <c r="AA54" s="2">
        <v>4</v>
      </c>
      <c r="AB54" s="2">
        <v>0</v>
      </c>
      <c r="AD54" s="3" t="s">
        <v>91</v>
      </c>
      <c r="AE54" s="3" t="s">
        <v>92</v>
      </c>
      <c r="AF54" s="3" t="s">
        <v>139</v>
      </c>
      <c r="AG54" s="3" t="s">
        <v>74</v>
      </c>
      <c r="AH54" s="3" t="s">
        <v>75</v>
      </c>
      <c r="AI54" s="2">
        <v>1</v>
      </c>
      <c r="AJ54" s="2">
        <v>0</v>
      </c>
      <c r="AK54" s="2">
        <v>0</v>
      </c>
      <c r="AL54" s="2">
        <v>0</v>
      </c>
      <c r="AM54" s="2">
        <v>1</v>
      </c>
      <c r="AN54" s="2">
        <v>0</v>
      </c>
      <c r="AO54" s="2" t="s">
        <v>123</v>
      </c>
      <c r="AP54" s="1">
        <f>457.3</f>
        <v>457.3</v>
      </c>
      <c r="AQ54" s="1">
        <f>86.2+14.9+14.9+88.8</f>
        <v>204.8</v>
      </c>
      <c r="AR54" s="4">
        <f t="shared" si="9"/>
        <v>0.30931883401298899</v>
      </c>
      <c r="AS54" s="18">
        <f t="shared" si="7"/>
        <v>289.27999999999997</v>
      </c>
      <c r="AT54">
        <f t="shared" si="8"/>
        <v>1.4124999999999999</v>
      </c>
      <c r="AU54">
        <f t="shared" si="10"/>
        <v>247.43</v>
      </c>
      <c r="AV54" s="9">
        <f t="shared" si="5"/>
        <v>1.2081542968749999</v>
      </c>
    </row>
    <row r="55" spans="1:48" x14ac:dyDescent="0.3">
      <c r="A55" s="23">
        <v>334</v>
      </c>
      <c r="B55" t="s">
        <v>42</v>
      </c>
      <c r="C55" s="1">
        <v>11222</v>
      </c>
      <c r="D55" t="s">
        <v>43</v>
      </c>
      <c r="E55" t="s">
        <v>101</v>
      </c>
      <c r="F55" t="s">
        <v>122</v>
      </c>
      <c r="G55" s="2">
        <v>1970</v>
      </c>
      <c r="H55" s="2" t="s">
        <v>57</v>
      </c>
      <c r="I55" s="2" t="str">
        <f t="shared" si="6"/>
        <v>1950-1980</v>
      </c>
      <c r="J55" s="2">
        <v>30</v>
      </c>
      <c r="K55" s="2">
        <f t="shared" si="0"/>
        <v>30</v>
      </c>
      <c r="L55" s="2">
        <v>140</v>
      </c>
      <c r="M55" s="2">
        <v>110</v>
      </c>
      <c r="N55" s="2">
        <v>5</v>
      </c>
      <c r="O55" s="2">
        <v>0</v>
      </c>
      <c r="P55" s="2">
        <v>2</v>
      </c>
      <c r="Q55" s="2">
        <v>1</v>
      </c>
      <c r="R55" s="2">
        <v>15.5</v>
      </c>
      <c r="S55" s="2">
        <v>15.5</v>
      </c>
      <c r="V55" s="1">
        <v>416</v>
      </c>
      <c r="W55" s="2">
        <v>2189.8000000000002</v>
      </c>
      <c r="X55" s="2">
        <v>505.4</v>
      </c>
      <c r="Y55" s="1">
        <v>1812</v>
      </c>
      <c r="Z55" s="2" t="s">
        <v>210</v>
      </c>
      <c r="AA55" s="2">
        <v>4</v>
      </c>
      <c r="AB55" s="2">
        <v>0</v>
      </c>
      <c r="AC55" s="2">
        <v>2</v>
      </c>
      <c r="AD55" s="3" t="s">
        <v>91</v>
      </c>
      <c r="AE55" s="3" t="s">
        <v>92</v>
      </c>
      <c r="AF55" s="3" t="s">
        <v>65</v>
      </c>
      <c r="AG55" s="3" t="s">
        <v>74</v>
      </c>
      <c r="AH55" s="3" t="s">
        <v>75</v>
      </c>
      <c r="AI55" s="2">
        <v>1</v>
      </c>
      <c r="AJ55" s="2">
        <v>0</v>
      </c>
      <c r="AK55" s="2">
        <v>0</v>
      </c>
      <c r="AL55" s="2">
        <v>0</v>
      </c>
      <c r="AM55" s="2">
        <v>1</v>
      </c>
      <c r="AN55" s="2">
        <v>0</v>
      </c>
      <c r="AO55" s="2" t="s">
        <v>123</v>
      </c>
      <c r="AP55" s="1">
        <f>288+532</f>
        <v>820</v>
      </c>
      <c r="AQ55" s="1">
        <f>168.4+149.2</f>
        <v>317.60000000000002</v>
      </c>
      <c r="AR55" s="4">
        <f t="shared" si="9"/>
        <v>0.27918424753867799</v>
      </c>
      <c r="AS55" s="18">
        <f t="shared" si="7"/>
        <v>289.92</v>
      </c>
      <c r="AT55">
        <f t="shared" si="8"/>
        <v>0.91284634760705285</v>
      </c>
      <c r="AU55">
        <f t="shared" si="10"/>
        <v>249.7</v>
      </c>
      <c r="AV55" s="9">
        <f t="shared" si="5"/>
        <v>0.78620906801007551</v>
      </c>
    </row>
    <row r="56" spans="1:48" x14ac:dyDescent="0.3">
      <c r="A56" s="23">
        <v>335</v>
      </c>
      <c r="B56" t="s">
        <v>42</v>
      </c>
      <c r="C56" s="1">
        <v>11222</v>
      </c>
      <c r="D56" t="s">
        <v>43</v>
      </c>
      <c r="E56" t="s">
        <v>101</v>
      </c>
      <c r="F56" t="s">
        <v>122</v>
      </c>
      <c r="G56" s="2">
        <v>1970</v>
      </c>
      <c r="H56" s="2" t="s">
        <v>57</v>
      </c>
      <c r="I56" s="2" t="str">
        <f t="shared" si="6"/>
        <v>1950-1980</v>
      </c>
      <c r="J56" s="2">
        <v>30</v>
      </c>
      <c r="K56" s="2">
        <f t="shared" si="0"/>
        <v>30</v>
      </c>
      <c r="L56" s="2">
        <v>140</v>
      </c>
      <c r="M56" s="2">
        <v>110</v>
      </c>
      <c r="N56" s="2">
        <v>5</v>
      </c>
      <c r="O56" s="2">
        <v>0</v>
      </c>
      <c r="P56" s="2">
        <v>2</v>
      </c>
      <c r="Q56" s="2">
        <v>1</v>
      </c>
      <c r="R56" s="2">
        <v>15.5</v>
      </c>
      <c r="S56" s="2">
        <v>15.5</v>
      </c>
      <c r="V56" s="1">
        <v>416</v>
      </c>
      <c r="W56" s="2">
        <v>2181.9</v>
      </c>
      <c r="X56" s="2">
        <v>497.1</v>
      </c>
      <c r="Y56" s="1">
        <v>1812</v>
      </c>
      <c r="Z56" s="2" t="s">
        <v>210</v>
      </c>
      <c r="AA56" s="2">
        <v>4</v>
      </c>
      <c r="AB56" s="2">
        <v>0</v>
      </c>
      <c r="AC56" s="2">
        <v>2</v>
      </c>
      <c r="AD56" s="3" t="s">
        <v>91</v>
      </c>
      <c r="AE56" s="3" t="s">
        <v>92</v>
      </c>
      <c r="AF56" s="3" t="s">
        <v>65</v>
      </c>
      <c r="AG56" s="3" t="s">
        <v>74</v>
      </c>
      <c r="AH56" s="3" t="s">
        <v>75</v>
      </c>
      <c r="AI56" s="2">
        <v>1</v>
      </c>
      <c r="AJ56" s="2">
        <v>0</v>
      </c>
      <c r="AK56" s="2">
        <v>0</v>
      </c>
      <c r="AL56" s="2">
        <v>0</v>
      </c>
      <c r="AM56" s="2">
        <v>1</v>
      </c>
      <c r="AN56" s="2">
        <v>0</v>
      </c>
      <c r="AO56" s="2" t="s">
        <v>123</v>
      </c>
      <c r="AP56" s="1">
        <f>288+532</f>
        <v>820</v>
      </c>
      <c r="AQ56" s="1">
        <f>168.4+149.2</f>
        <v>317.60000000000002</v>
      </c>
      <c r="AR56" s="4">
        <f t="shared" si="9"/>
        <v>0.27918424753867799</v>
      </c>
      <c r="AS56" s="18">
        <f t="shared" si="7"/>
        <v>289.92</v>
      </c>
      <c r="AT56">
        <f t="shared" si="8"/>
        <v>0.91284634760705285</v>
      </c>
      <c r="AU56">
        <f t="shared" si="10"/>
        <v>249.7</v>
      </c>
      <c r="AV56" s="9">
        <f t="shared" si="5"/>
        <v>0.78620906801007551</v>
      </c>
    </row>
    <row r="57" spans="1:48" x14ac:dyDescent="0.3">
      <c r="A57" s="23">
        <v>345</v>
      </c>
      <c r="B57" t="s">
        <v>42</v>
      </c>
      <c r="C57" s="1">
        <v>11222</v>
      </c>
      <c r="D57" t="s">
        <v>43</v>
      </c>
      <c r="E57" t="s">
        <v>148</v>
      </c>
      <c r="F57" t="s">
        <v>281</v>
      </c>
      <c r="G57" s="2">
        <v>1969</v>
      </c>
      <c r="H57" s="2" t="s">
        <v>57</v>
      </c>
      <c r="I57" s="2" t="str">
        <f t="shared" si="6"/>
        <v>1950-1980</v>
      </c>
      <c r="J57" s="2">
        <v>35</v>
      </c>
      <c r="K57" s="2">
        <f t="shared" si="0"/>
        <v>40</v>
      </c>
      <c r="L57" s="2">
        <v>143</v>
      </c>
      <c r="M57" s="2">
        <v>108</v>
      </c>
      <c r="N57" s="2">
        <v>3</v>
      </c>
      <c r="O57" s="2">
        <v>0</v>
      </c>
      <c r="P57" s="2">
        <v>4</v>
      </c>
      <c r="Q57" s="2">
        <v>1</v>
      </c>
      <c r="R57" s="2">
        <v>10.199999999999999</v>
      </c>
      <c r="S57" s="2">
        <v>10</v>
      </c>
      <c r="T57" s="2">
        <v>12.2</v>
      </c>
      <c r="U57" s="2">
        <v>57.6</v>
      </c>
      <c r="V57" s="1">
        <v>769.7</v>
      </c>
      <c r="W57" s="2">
        <v>2385.4</v>
      </c>
      <c r="X57" s="2">
        <v>764.2</v>
      </c>
      <c r="Y57" s="1">
        <v>1712.4</v>
      </c>
      <c r="Z57" s="2" t="s">
        <v>210</v>
      </c>
      <c r="AA57" s="2">
        <v>4</v>
      </c>
      <c r="AB57" s="2">
        <v>0</v>
      </c>
      <c r="AD57" s="3" t="s">
        <v>91</v>
      </c>
      <c r="AE57" s="3" t="s">
        <v>92</v>
      </c>
      <c r="AF57" s="3" t="s">
        <v>50</v>
      </c>
      <c r="AG57" s="3" t="s">
        <v>74</v>
      </c>
      <c r="AH57" s="3" t="s">
        <v>75</v>
      </c>
      <c r="AI57" s="2">
        <v>1</v>
      </c>
      <c r="AJ57" s="2">
        <v>0</v>
      </c>
      <c r="AK57" s="2">
        <v>0</v>
      </c>
      <c r="AL57" s="2">
        <v>0</v>
      </c>
      <c r="AM57" s="2">
        <v>1</v>
      </c>
      <c r="AN57" s="2">
        <v>1</v>
      </c>
      <c r="AO57" s="2" t="s">
        <v>84</v>
      </c>
      <c r="AP57" s="1">
        <v>745.4</v>
      </c>
      <c r="AQ57" s="1">
        <f>11.7+137.4+141.6+11.6</f>
        <v>302.3</v>
      </c>
      <c r="AR57" s="4">
        <f t="shared" si="9"/>
        <v>0.28853679488403167</v>
      </c>
      <c r="AS57" s="18">
        <f t="shared" ref="AS57:AS71" si="11">IF(AQ57&lt;&gt;"", Y57/5.8,"")</f>
        <v>295.24137931034483</v>
      </c>
      <c r="AT57">
        <f t="shared" si="8"/>
        <v>0.97665027889627787</v>
      </c>
      <c r="AU57">
        <f t="shared" ref="AU57:AU71" si="12">IF(AQ57&lt;&gt;"",2.5*M57,"")</f>
        <v>270</v>
      </c>
      <c r="AV57" s="9">
        <f t="shared" si="5"/>
        <v>0.89315249751902082</v>
      </c>
    </row>
    <row r="58" spans="1:48" x14ac:dyDescent="0.3">
      <c r="A58" s="23">
        <v>352</v>
      </c>
      <c r="B58" t="s">
        <v>42</v>
      </c>
      <c r="C58" s="1">
        <v>11222</v>
      </c>
      <c r="D58" t="s">
        <v>85</v>
      </c>
      <c r="E58" t="s">
        <v>276</v>
      </c>
      <c r="F58" t="s">
        <v>365</v>
      </c>
      <c r="G58" s="2">
        <v>1975</v>
      </c>
      <c r="H58" s="2" t="s">
        <v>69</v>
      </c>
      <c r="I58" s="2" t="str">
        <f t="shared" si="6"/>
        <v>1950-1980</v>
      </c>
      <c r="J58" s="2">
        <v>90</v>
      </c>
      <c r="K58" s="2">
        <f t="shared" si="0"/>
        <v>90</v>
      </c>
      <c r="L58" s="2">
        <v>360</v>
      </c>
      <c r="M58" s="2">
        <v>270</v>
      </c>
      <c r="N58" s="2">
        <v>5</v>
      </c>
      <c r="O58" s="2">
        <v>0</v>
      </c>
      <c r="P58" s="2">
        <v>6</v>
      </c>
      <c r="Q58" s="2">
        <v>1</v>
      </c>
      <c r="R58" s="2">
        <v>15.5</v>
      </c>
      <c r="S58" s="2">
        <v>15.5</v>
      </c>
      <c r="V58" s="1">
        <v>1140</v>
      </c>
      <c r="W58" s="2">
        <v>5894.3</v>
      </c>
      <c r="X58" s="2">
        <v>1347.8</v>
      </c>
      <c r="Y58" s="1">
        <v>4754.3</v>
      </c>
      <c r="Z58" s="2" t="s">
        <v>210</v>
      </c>
      <c r="AA58" s="2">
        <v>16</v>
      </c>
      <c r="AB58" s="2">
        <v>12</v>
      </c>
      <c r="AD58" s="3" t="s">
        <v>91</v>
      </c>
      <c r="AE58" s="3" t="s">
        <v>92</v>
      </c>
      <c r="AF58" s="3" t="s">
        <v>139</v>
      </c>
      <c r="AG58" s="3" t="s">
        <v>74</v>
      </c>
      <c r="AH58" s="3" t="s">
        <v>52</v>
      </c>
      <c r="AI58" s="2">
        <v>1</v>
      </c>
      <c r="AJ58" s="2">
        <v>0</v>
      </c>
      <c r="AK58" s="2">
        <v>0</v>
      </c>
      <c r="AL58" s="2">
        <v>1</v>
      </c>
      <c r="AM58" s="2">
        <v>0</v>
      </c>
      <c r="AN58" s="2">
        <v>1</v>
      </c>
      <c r="AO58" s="2" t="s">
        <v>123</v>
      </c>
      <c r="AP58" s="1">
        <v>2408</v>
      </c>
      <c r="AQ58" s="1">
        <v>706</v>
      </c>
      <c r="AR58" s="4">
        <f t="shared" si="9"/>
        <v>0.22671804752729607</v>
      </c>
      <c r="AS58" s="18">
        <f t="shared" si="11"/>
        <v>819.70689655172418</v>
      </c>
      <c r="AT58">
        <f t="shared" si="8"/>
        <v>1.161057927127088</v>
      </c>
      <c r="AU58">
        <f t="shared" si="12"/>
        <v>675</v>
      </c>
      <c r="AV58" s="9">
        <f t="shared" si="5"/>
        <v>0.9560906515580736</v>
      </c>
    </row>
    <row r="59" spans="1:48" x14ac:dyDescent="0.3">
      <c r="A59" s="23">
        <v>355</v>
      </c>
      <c r="B59" t="s">
        <v>42</v>
      </c>
      <c r="C59" s="1">
        <v>11222</v>
      </c>
      <c r="D59" t="s">
        <v>43</v>
      </c>
      <c r="E59" t="s">
        <v>44</v>
      </c>
      <c r="F59" t="s">
        <v>274</v>
      </c>
      <c r="G59" s="2">
        <v>1979</v>
      </c>
      <c r="H59" s="2" t="s">
        <v>69</v>
      </c>
      <c r="I59" s="2" t="str">
        <f t="shared" si="6"/>
        <v>1950-1980</v>
      </c>
      <c r="J59" s="2">
        <v>72</v>
      </c>
      <c r="K59" s="2">
        <f t="shared" si="0"/>
        <v>70</v>
      </c>
      <c r="L59" s="2">
        <v>306</v>
      </c>
      <c r="M59" s="2">
        <v>234</v>
      </c>
      <c r="N59" s="2">
        <v>9</v>
      </c>
      <c r="O59" s="2">
        <v>2</v>
      </c>
      <c r="P59" s="2">
        <v>2</v>
      </c>
      <c r="Q59" s="2">
        <v>1</v>
      </c>
      <c r="R59" s="2">
        <v>26.5</v>
      </c>
      <c r="S59" s="2">
        <v>26.5</v>
      </c>
      <c r="V59" s="1">
        <v>596</v>
      </c>
      <c r="W59" s="2">
        <v>4825.7</v>
      </c>
      <c r="X59" s="2">
        <v>985.7</v>
      </c>
      <c r="Y59" s="1">
        <v>4258</v>
      </c>
      <c r="Z59" s="2" t="s">
        <v>210</v>
      </c>
      <c r="AA59" s="2">
        <v>4</v>
      </c>
      <c r="AB59" s="2">
        <v>0</v>
      </c>
      <c r="AD59" s="3" t="s">
        <v>91</v>
      </c>
      <c r="AE59" s="3" t="s">
        <v>92</v>
      </c>
      <c r="AF59" s="3" t="s">
        <v>139</v>
      </c>
      <c r="AG59" s="3" t="s">
        <v>74</v>
      </c>
      <c r="AH59" s="3" t="s">
        <v>75</v>
      </c>
      <c r="AI59" s="2">
        <v>1</v>
      </c>
      <c r="AJ59" s="2">
        <v>0</v>
      </c>
      <c r="AK59" s="2">
        <v>0</v>
      </c>
      <c r="AL59" s="2">
        <v>1</v>
      </c>
      <c r="AM59" s="2">
        <v>1</v>
      </c>
      <c r="AN59" s="2">
        <v>0</v>
      </c>
      <c r="AO59" s="2" t="s">
        <v>76</v>
      </c>
      <c r="AP59" s="1">
        <f>508+2633</f>
        <v>3141</v>
      </c>
      <c r="AQ59" s="1">
        <f>520.1+143.4</f>
        <v>663.5</v>
      </c>
      <c r="AR59" s="4">
        <f t="shared" si="9"/>
        <v>0.17439873833618083</v>
      </c>
      <c r="AS59" s="18">
        <f t="shared" si="11"/>
        <v>734.13793103448279</v>
      </c>
      <c r="AT59">
        <f t="shared" si="8"/>
        <v>1.1064625938726191</v>
      </c>
      <c r="AU59">
        <f t="shared" si="12"/>
        <v>585</v>
      </c>
      <c r="AV59" s="9">
        <f t="shared" si="5"/>
        <v>0.88168801808590802</v>
      </c>
    </row>
    <row r="60" spans="1:48" x14ac:dyDescent="0.3">
      <c r="A60" s="23">
        <v>358</v>
      </c>
      <c r="B60" t="s">
        <v>42</v>
      </c>
      <c r="C60" s="1">
        <v>11222</v>
      </c>
      <c r="D60" t="s">
        <v>43</v>
      </c>
      <c r="E60" t="s">
        <v>44</v>
      </c>
      <c r="F60" t="s">
        <v>266</v>
      </c>
      <c r="G60" s="2">
        <v>1964</v>
      </c>
      <c r="H60" s="2" t="s">
        <v>57</v>
      </c>
      <c r="I60" s="2" t="str">
        <f t="shared" si="6"/>
        <v>1950-1980</v>
      </c>
      <c r="J60" s="2">
        <v>40</v>
      </c>
      <c r="K60" s="2">
        <f t="shared" si="0"/>
        <v>40</v>
      </c>
      <c r="L60" s="2">
        <v>150</v>
      </c>
      <c r="M60" s="2">
        <v>110</v>
      </c>
      <c r="N60" s="2">
        <v>5</v>
      </c>
      <c r="O60" s="2">
        <v>0</v>
      </c>
      <c r="P60" s="2">
        <v>2</v>
      </c>
      <c r="Q60" s="2">
        <v>1</v>
      </c>
      <c r="R60" s="2">
        <v>15.1</v>
      </c>
      <c r="S60" s="2">
        <v>15</v>
      </c>
      <c r="V60" s="1">
        <v>403</v>
      </c>
      <c r="W60" s="2">
        <v>2088.3000000000002</v>
      </c>
      <c r="X60" s="2">
        <v>468.9</v>
      </c>
      <c r="Y60" s="1">
        <v>1760</v>
      </c>
      <c r="Z60" s="2" t="s">
        <v>210</v>
      </c>
      <c r="AA60" s="2">
        <v>4</v>
      </c>
      <c r="AB60" s="2">
        <v>0</v>
      </c>
      <c r="AC60" s="2">
        <v>2</v>
      </c>
      <c r="AD60" s="3" t="s">
        <v>91</v>
      </c>
      <c r="AE60" s="3" t="s">
        <v>92</v>
      </c>
      <c r="AF60" s="3" t="s">
        <v>139</v>
      </c>
      <c r="AG60" s="3" t="s">
        <v>74</v>
      </c>
      <c r="AH60" s="3" t="s">
        <v>75</v>
      </c>
      <c r="AI60" s="2">
        <v>1</v>
      </c>
      <c r="AJ60" s="2">
        <v>0</v>
      </c>
      <c r="AK60" s="2">
        <v>0</v>
      </c>
      <c r="AL60" s="2">
        <v>0</v>
      </c>
      <c r="AM60" s="2">
        <v>1</v>
      </c>
      <c r="AN60" s="2">
        <v>0</v>
      </c>
      <c r="AO60" s="2" t="s">
        <v>84</v>
      </c>
      <c r="AP60" s="1">
        <v>926</v>
      </c>
      <c r="AQ60" s="1">
        <v>281</v>
      </c>
      <c r="AR60" s="4">
        <f t="shared" si="9"/>
        <v>0.23280861640430819</v>
      </c>
      <c r="AS60" s="18">
        <f t="shared" si="11"/>
        <v>303.44827586206895</v>
      </c>
      <c r="AT60">
        <f t="shared" si="8"/>
        <v>1.0798871027119892</v>
      </c>
      <c r="AU60">
        <f t="shared" si="12"/>
        <v>275</v>
      </c>
      <c r="AV60" s="9">
        <f t="shared" si="5"/>
        <v>0.97864768683274017</v>
      </c>
    </row>
    <row r="61" spans="1:48" x14ac:dyDescent="0.3">
      <c r="A61" s="23">
        <v>367</v>
      </c>
      <c r="B61" t="s">
        <v>42</v>
      </c>
      <c r="C61" s="1">
        <v>11222</v>
      </c>
      <c r="D61" t="s">
        <v>43</v>
      </c>
      <c r="E61" t="s">
        <v>44</v>
      </c>
      <c r="F61" t="s">
        <v>266</v>
      </c>
      <c r="G61" s="2">
        <v>1971</v>
      </c>
      <c r="H61" s="2" t="s">
        <v>69</v>
      </c>
      <c r="I61" s="2" t="str">
        <f t="shared" si="6"/>
        <v>1950-1980</v>
      </c>
      <c r="J61" s="2">
        <v>88</v>
      </c>
      <c r="K61" s="2">
        <f t="shared" si="0"/>
        <v>90</v>
      </c>
      <c r="L61" s="2">
        <v>376</v>
      </c>
      <c r="M61" s="2">
        <v>288</v>
      </c>
      <c r="N61" s="2">
        <v>5</v>
      </c>
      <c r="O61" s="2">
        <v>0</v>
      </c>
      <c r="P61" s="2">
        <v>6</v>
      </c>
      <c r="Q61" s="2">
        <v>1</v>
      </c>
      <c r="R61" s="2">
        <v>15.6</v>
      </c>
      <c r="S61" s="2">
        <v>15.5</v>
      </c>
      <c r="T61" s="2">
        <v>11.7</v>
      </c>
      <c r="U61" s="2">
        <v>92.3</v>
      </c>
      <c r="V61" s="1">
        <v>1102</v>
      </c>
      <c r="W61" s="2">
        <v>5676.4</v>
      </c>
      <c r="X61" s="2">
        <v>1323.8</v>
      </c>
      <c r="Y61" s="1">
        <v>4838.3</v>
      </c>
      <c r="Z61" s="2" t="s">
        <v>210</v>
      </c>
      <c r="AA61" s="2">
        <v>4</v>
      </c>
      <c r="AB61" s="2">
        <v>0</v>
      </c>
      <c r="AD61" s="3" t="s">
        <v>91</v>
      </c>
      <c r="AE61" s="3" t="s">
        <v>92</v>
      </c>
      <c r="AF61" s="3" t="s">
        <v>366</v>
      </c>
      <c r="AG61" s="3" t="s">
        <v>74</v>
      </c>
      <c r="AH61" s="3" t="s">
        <v>75</v>
      </c>
      <c r="AI61" s="2">
        <v>0</v>
      </c>
      <c r="AJ61" s="2">
        <v>1</v>
      </c>
      <c r="AK61" s="2">
        <v>0</v>
      </c>
      <c r="AL61" s="2">
        <v>0</v>
      </c>
      <c r="AM61" s="2">
        <v>1</v>
      </c>
      <c r="AN61" s="2">
        <v>0</v>
      </c>
      <c r="AO61" s="2" t="s">
        <v>76</v>
      </c>
      <c r="AP61" s="1">
        <v>2016.6</v>
      </c>
      <c r="AQ61" s="1">
        <f>390.2+357.7</f>
        <v>747.9</v>
      </c>
      <c r="AR61" s="4">
        <f t="shared" si="9"/>
        <v>0.27053716766142161</v>
      </c>
      <c r="AS61" s="18">
        <f t="shared" si="11"/>
        <v>834.18965517241384</v>
      </c>
      <c r="AT61">
        <f t="shared" si="8"/>
        <v>1.1153759261564566</v>
      </c>
      <c r="AU61">
        <f t="shared" si="12"/>
        <v>720</v>
      </c>
      <c r="AV61" s="9">
        <f t="shared" si="5"/>
        <v>0.96269554753309272</v>
      </c>
    </row>
    <row r="62" spans="1:48" x14ac:dyDescent="0.3">
      <c r="A62" s="23">
        <v>370</v>
      </c>
      <c r="B62" t="s">
        <v>42</v>
      </c>
      <c r="C62" s="1">
        <v>12201</v>
      </c>
      <c r="D62" t="s">
        <v>85</v>
      </c>
      <c r="E62" t="s">
        <v>86</v>
      </c>
      <c r="F62" t="s">
        <v>86</v>
      </c>
      <c r="G62" s="2">
        <v>1971</v>
      </c>
      <c r="H62" s="2" t="s">
        <v>69</v>
      </c>
      <c r="I62" s="2" t="str">
        <f t="shared" si="6"/>
        <v>1950-1980</v>
      </c>
      <c r="J62" s="2">
        <v>119</v>
      </c>
      <c r="K62" s="2">
        <f>MROUND(J62,10)</f>
        <v>120</v>
      </c>
      <c r="L62" s="2">
        <v>510</v>
      </c>
      <c r="M62" s="2">
        <v>391</v>
      </c>
      <c r="N62" s="2">
        <v>5</v>
      </c>
      <c r="O62" s="2">
        <v>0</v>
      </c>
      <c r="P62" s="2">
        <v>8</v>
      </c>
      <c r="Q62" s="2">
        <v>1</v>
      </c>
      <c r="R62" s="2">
        <v>15.6</v>
      </c>
      <c r="S62" s="2">
        <v>15.5</v>
      </c>
      <c r="V62" s="1">
        <v>1421</v>
      </c>
      <c r="W62" s="2">
        <v>7416.9</v>
      </c>
      <c r="X62" s="2">
        <v>1707.1</v>
      </c>
      <c r="Y62" s="1">
        <v>6219</v>
      </c>
      <c r="Z62" s="2" t="s">
        <v>210</v>
      </c>
      <c r="AA62" s="2">
        <v>4</v>
      </c>
      <c r="AB62" s="2">
        <v>0</v>
      </c>
      <c r="AC62" s="2">
        <v>0</v>
      </c>
      <c r="AD62" s="3" t="s">
        <v>91</v>
      </c>
      <c r="AE62" s="3" t="s">
        <v>92</v>
      </c>
      <c r="AF62" s="3" t="s">
        <v>109</v>
      </c>
      <c r="AG62" s="3" t="s">
        <v>74</v>
      </c>
      <c r="AH62" s="3" t="s">
        <v>75</v>
      </c>
      <c r="AI62" s="2">
        <v>1</v>
      </c>
      <c r="AJ62" s="2">
        <v>0</v>
      </c>
      <c r="AK62" s="2">
        <v>0</v>
      </c>
      <c r="AL62" s="2">
        <v>0</v>
      </c>
      <c r="AM62" s="2">
        <v>1</v>
      </c>
      <c r="AN62" s="2">
        <v>0</v>
      </c>
      <c r="AO62" s="2" t="s">
        <v>123</v>
      </c>
      <c r="AP62" s="1">
        <f>2907.5</f>
        <v>2907.5</v>
      </c>
      <c r="AQ62" s="1">
        <f>411.7+17.4*2+456.3</f>
        <v>902.8</v>
      </c>
      <c r="AR62" s="4">
        <f t="shared" si="9"/>
        <v>0.23693672414245595</v>
      </c>
      <c r="AS62" s="18">
        <f t="shared" si="11"/>
        <v>1072.2413793103449</v>
      </c>
      <c r="AT62">
        <f t="shared" si="8"/>
        <v>1.1876842925457964</v>
      </c>
      <c r="AU62">
        <f t="shared" si="12"/>
        <v>977.5</v>
      </c>
      <c r="AV62" s="9">
        <f t="shared" si="5"/>
        <v>1.082742578644218</v>
      </c>
    </row>
    <row r="63" spans="1:48" x14ac:dyDescent="0.3">
      <c r="A63" s="23">
        <v>376</v>
      </c>
      <c r="B63" t="s">
        <v>42</v>
      </c>
      <c r="C63" s="1">
        <v>11222</v>
      </c>
      <c r="D63" t="s">
        <v>43</v>
      </c>
      <c r="E63" t="s">
        <v>44</v>
      </c>
      <c r="F63" t="s">
        <v>266</v>
      </c>
      <c r="G63" s="2">
        <v>1965</v>
      </c>
      <c r="H63" s="2" t="s">
        <v>57</v>
      </c>
      <c r="I63" s="2" t="str">
        <f t="shared" si="6"/>
        <v>1950-1980</v>
      </c>
      <c r="J63" s="2">
        <v>60</v>
      </c>
      <c r="K63" s="2">
        <f t="shared" si="0"/>
        <v>60</v>
      </c>
      <c r="L63" s="2">
        <v>240</v>
      </c>
      <c r="M63" s="2">
        <v>180</v>
      </c>
      <c r="N63" s="2">
        <v>5</v>
      </c>
      <c r="O63" s="2">
        <v>0</v>
      </c>
      <c r="P63" s="2">
        <v>4</v>
      </c>
      <c r="Q63" s="2">
        <v>1</v>
      </c>
      <c r="R63" s="2">
        <v>15</v>
      </c>
      <c r="S63" s="2">
        <v>15</v>
      </c>
      <c r="V63" s="1">
        <v>676</v>
      </c>
      <c r="W63" s="2">
        <v>3534.8</v>
      </c>
      <c r="X63" s="2">
        <v>844.5</v>
      </c>
      <c r="Y63" s="1">
        <v>2982</v>
      </c>
      <c r="Z63" s="2" t="s">
        <v>210</v>
      </c>
      <c r="AA63" s="2">
        <v>4</v>
      </c>
      <c r="AB63" s="2">
        <v>0</v>
      </c>
      <c r="AD63" s="3" t="s">
        <v>91</v>
      </c>
      <c r="AE63" s="3" t="s">
        <v>92</v>
      </c>
      <c r="AF63" s="3" t="s">
        <v>139</v>
      </c>
      <c r="AG63" s="3" t="s">
        <v>74</v>
      </c>
      <c r="AH63" s="3" t="s">
        <v>75</v>
      </c>
      <c r="AI63" s="2">
        <v>1</v>
      </c>
      <c r="AJ63" s="2">
        <v>0</v>
      </c>
      <c r="AK63" s="2">
        <v>0</v>
      </c>
      <c r="AL63" s="2">
        <v>0</v>
      </c>
      <c r="AM63" s="2">
        <v>1</v>
      </c>
      <c r="AN63" s="2">
        <v>1</v>
      </c>
      <c r="AO63" s="2" t="s">
        <v>76</v>
      </c>
      <c r="AP63" s="16">
        <v>1350</v>
      </c>
      <c r="AQ63" s="16">
        <v>576</v>
      </c>
      <c r="AR63" s="4">
        <f t="shared" si="9"/>
        <v>0.29906542056074764</v>
      </c>
      <c r="AS63" s="18">
        <f t="shared" si="11"/>
        <v>514.13793103448279</v>
      </c>
      <c r="AT63">
        <f t="shared" si="8"/>
        <v>0.89260057471264376</v>
      </c>
      <c r="AU63">
        <f t="shared" si="12"/>
        <v>450</v>
      </c>
      <c r="AV63" s="9">
        <f t="shared" si="5"/>
        <v>0.78125</v>
      </c>
    </row>
    <row r="64" spans="1:48" x14ac:dyDescent="0.3">
      <c r="A64" s="23">
        <v>380</v>
      </c>
      <c r="B64" t="s">
        <v>42</v>
      </c>
      <c r="C64" s="1">
        <v>11222</v>
      </c>
      <c r="D64" t="s">
        <v>43</v>
      </c>
      <c r="E64" t="s">
        <v>215</v>
      </c>
      <c r="F64" t="s">
        <v>216</v>
      </c>
      <c r="G64" s="2">
        <v>1977</v>
      </c>
      <c r="H64" s="2" t="s">
        <v>69</v>
      </c>
      <c r="I64" s="2" t="str">
        <f t="shared" si="6"/>
        <v>1950-1980</v>
      </c>
      <c r="J64" s="2">
        <v>60</v>
      </c>
      <c r="K64" s="2">
        <f t="shared" si="0"/>
        <v>60</v>
      </c>
      <c r="L64" s="2">
        <v>240</v>
      </c>
      <c r="M64" s="2">
        <v>180</v>
      </c>
      <c r="N64" s="2">
        <v>5</v>
      </c>
      <c r="O64" s="2">
        <v>0</v>
      </c>
      <c r="P64" s="2">
        <v>4</v>
      </c>
      <c r="Q64" s="2">
        <v>1</v>
      </c>
      <c r="R64" s="2">
        <v>15.9</v>
      </c>
      <c r="S64" s="2">
        <v>16</v>
      </c>
      <c r="T64" s="2">
        <v>13.4</v>
      </c>
      <c r="U64" s="2">
        <v>62.5</v>
      </c>
      <c r="V64" s="1">
        <v>775</v>
      </c>
      <c r="W64" s="2">
        <v>3967.3</v>
      </c>
      <c r="X64" s="2">
        <v>927.8</v>
      </c>
      <c r="Y64" s="1">
        <v>3326</v>
      </c>
      <c r="Z64" s="2" t="s">
        <v>210</v>
      </c>
      <c r="AA64" s="2">
        <v>12</v>
      </c>
      <c r="AB64" s="2">
        <v>8</v>
      </c>
      <c r="AD64" s="3" t="s">
        <v>91</v>
      </c>
      <c r="AE64" s="3" t="s">
        <v>92</v>
      </c>
      <c r="AF64" s="3" t="s">
        <v>150</v>
      </c>
      <c r="AG64" s="3" t="s">
        <v>74</v>
      </c>
      <c r="AH64" s="3" t="s">
        <v>324</v>
      </c>
      <c r="AI64" s="2">
        <v>1</v>
      </c>
      <c r="AJ64" s="2">
        <v>0</v>
      </c>
      <c r="AK64" s="2">
        <v>0</v>
      </c>
      <c r="AL64" s="2">
        <v>1</v>
      </c>
      <c r="AM64" s="2">
        <v>0</v>
      </c>
      <c r="AN64" s="2">
        <v>0</v>
      </c>
      <c r="AO64" s="2" t="s">
        <v>76</v>
      </c>
      <c r="AP64" s="1">
        <f>1346.9+356.7</f>
        <v>1703.6000000000001</v>
      </c>
      <c r="AQ64" s="1">
        <f>288.3+178.3</f>
        <v>466.6</v>
      </c>
      <c r="AR64" s="4">
        <f t="shared" si="9"/>
        <v>0.21500322550916964</v>
      </c>
      <c r="AS64" s="18">
        <f t="shared" si="11"/>
        <v>573.44827586206895</v>
      </c>
      <c r="AT64">
        <f t="shared" si="8"/>
        <v>1.2289933044622137</v>
      </c>
      <c r="AU64">
        <f t="shared" si="12"/>
        <v>450</v>
      </c>
      <c r="AV64" s="9">
        <f t="shared" si="5"/>
        <v>0.96442348906986708</v>
      </c>
    </row>
    <row r="65" spans="1:49" x14ac:dyDescent="0.3">
      <c r="A65" s="23">
        <v>382</v>
      </c>
      <c r="B65" t="s">
        <v>42</v>
      </c>
      <c r="C65" s="1">
        <v>11222</v>
      </c>
      <c r="D65" t="s">
        <v>43</v>
      </c>
      <c r="E65" t="s">
        <v>44</v>
      </c>
      <c r="F65" t="s">
        <v>62</v>
      </c>
      <c r="G65" s="2">
        <v>1966</v>
      </c>
      <c r="H65" s="2" t="s">
        <v>57</v>
      </c>
      <c r="I65" s="2" t="str">
        <f t="shared" si="6"/>
        <v>1950-1980</v>
      </c>
      <c r="J65" s="2">
        <v>90</v>
      </c>
      <c r="K65" s="2">
        <f t="shared" si="0"/>
        <v>90</v>
      </c>
      <c r="L65" s="2">
        <v>398</v>
      </c>
      <c r="M65" s="2">
        <v>308</v>
      </c>
      <c r="N65" s="2">
        <v>5</v>
      </c>
      <c r="O65" s="2">
        <v>0</v>
      </c>
      <c r="P65" s="2">
        <v>6</v>
      </c>
      <c r="Q65" s="2">
        <v>1</v>
      </c>
      <c r="R65" s="2">
        <v>15.6</v>
      </c>
      <c r="S65" s="2">
        <v>15.5</v>
      </c>
      <c r="V65" s="1">
        <v>1083</v>
      </c>
      <c r="W65" s="2">
        <v>5685.5</v>
      </c>
      <c r="X65" s="2">
        <v>1322.9</v>
      </c>
      <c r="Y65" s="1">
        <v>4797</v>
      </c>
      <c r="Z65" s="2" t="s">
        <v>210</v>
      </c>
      <c r="AA65" s="2">
        <v>4</v>
      </c>
      <c r="AB65" s="2">
        <v>0</v>
      </c>
      <c r="AD65" s="3" t="s">
        <v>91</v>
      </c>
      <c r="AE65" s="3" t="s">
        <v>92</v>
      </c>
      <c r="AF65" s="3" t="s">
        <v>139</v>
      </c>
      <c r="AG65" s="3" t="s">
        <v>74</v>
      </c>
      <c r="AH65" s="3" t="s">
        <v>75</v>
      </c>
      <c r="AI65" s="2">
        <v>1</v>
      </c>
      <c r="AJ65" s="2">
        <v>0</v>
      </c>
      <c r="AK65" s="2">
        <v>0</v>
      </c>
      <c r="AL65" s="2">
        <v>0</v>
      </c>
      <c r="AM65" s="2">
        <v>1</v>
      </c>
      <c r="AN65" s="2">
        <v>1</v>
      </c>
      <c r="AO65" s="2" t="s">
        <v>76</v>
      </c>
      <c r="AP65" s="1">
        <f>242+1965</f>
        <v>2207</v>
      </c>
      <c r="AQ65" s="1">
        <f>321+308+21*2</f>
        <v>671</v>
      </c>
      <c r="AR65" s="4">
        <f t="shared" si="9"/>
        <v>0.23314801945795691</v>
      </c>
      <c r="AS65" s="18">
        <f t="shared" si="11"/>
        <v>827.06896551724139</v>
      </c>
      <c r="AT65">
        <f t="shared" si="8"/>
        <v>1.2325916028572896</v>
      </c>
      <c r="AU65">
        <f t="shared" si="12"/>
        <v>770</v>
      </c>
      <c r="AV65" s="9">
        <f t="shared" si="5"/>
        <v>1.1475409836065573</v>
      </c>
    </row>
    <row r="66" spans="1:49" x14ac:dyDescent="0.3">
      <c r="A66" s="23">
        <v>391</v>
      </c>
      <c r="B66" t="s">
        <v>42</v>
      </c>
      <c r="C66" s="1">
        <v>11222</v>
      </c>
      <c r="D66" t="s">
        <v>43</v>
      </c>
      <c r="E66" t="s">
        <v>215</v>
      </c>
      <c r="F66" t="s">
        <v>216</v>
      </c>
      <c r="G66" s="2">
        <v>1981</v>
      </c>
      <c r="H66" s="2" t="s">
        <v>131</v>
      </c>
      <c r="I66" s="2" t="str">
        <f t="shared" si="6"/>
        <v>&gt;1980</v>
      </c>
      <c r="J66" s="2">
        <v>60</v>
      </c>
      <c r="K66" s="2">
        <f t="shared" ref="K66:K129" si="13">MROUND(J66,10)</f>
        <v>60</v>
      </c>
      <c r="L66" s="2">
        <v>240</v>
      </c>
      <c r="M66" s="2">
        <v>180</v>
      </c>
      <c r="N66" s="2">
        <v>5</v>
      </c>
      <c r="O66" s="2">
        <v>0</v>
      </c>
      <c r="P66" s="2">
        <v>4</v>
      </c>
      <c r="Q66" s="2">
        <v>1</v>
      </c>
      <c r="R66" s="2">
        <v>15</v>
      </c>
      <c r="S66" s="2">
        <v>15</v>
      </c>
      <c r="V66" s="1">
        <v>775</v>
      </c>
      <c r="W66" s="2">
        <v>3951.5</v>
      </c>
      <c r="X66" s="2">
        <v>915.7</v>
      </c>
      <c r="Y66" s="1">
        <v>3327</v>
      </c>
      <c r="Z66" s="2" t="s">
        <v>210</v>
      </c>
      <c r="AA66" s="2">
        <v>4</v>
      </c>
      <c r="AB66" s="2">
        <v>0</v>
      </c>
      <c r="AD66" s="3" t="s">
        <v>91</v>
      </c>
      <c r="AE66" s="3" t="s">
        <v>92</v>
      </c>
      <c r="AF66" s="3" t="s">
        <v>139</v>
      </c>
      <c r="AG66" s="3" t="s">
        <v>74</v>
      </c>
      <c r="AH66" s="3" t="s">
        <v>75</v>
      </c>
      <c r="AI66" s="2">
        <v>1</v>
      </c>
      <c r="AJ66" s="2">
        <v>0</v>
      </c>
      <c r="AK66" s="2">
        <v>0</v>
      </c>
      <c r="AL66" s="2">
        <v>1</v>
      </c>
      <c r="AM66" s="2">
        <v>0</v>
      </c>
      <c r="AN66" s="2">
        <v>0</v>
      </c>
      <c r="AO66" s="2" t="s">
        <v>76</v>
      </c>
      <c r="AP66" s="16">
        <v>1703.6</v>
      </c>
      <c r="AQ66" s="16">
        <v>466.6</v>
      </c>
      <c r="AR66" s="4">
        <f t="shared" si="9"/>
        <v>0.2150032255091697</v>
      </c>
      <c r="AS66" s="18">
        <f t="shared" si="11"/>
        <v>573.62068965517244</v>
      </c>
      <c r="AT66">
        <f t="shared" ref="AT66:AT97" si="14">IF(AQ66&lt;&gt;"",AS66/AQ66,"")</f>
        <v>1.2293628153775662</v>
      </c>
      <c r="AU66">
        <f t="shared" si="12"/>
        <v>450</v>
      </c>
      <c r="AV66" s="9">
        <f t="shared" ref="AV66:AV129" si="15">IF(AQ66&lt;&gt;"",AU66/AQ66,"")</f>
        <v>0.96442348906986708</v>
      </c>
    </row>
    <row r="67" spans="1:49" x14ac:dyDescent="0.3">
      <c r="A67" s="24" t="s">
        <v>346</v>
      </c>
      <c r="B67" t="s">
        <v>42</v>
      </c>
      <c r="C67" s="2">
        <v>11222</v>
      </c>
      <c r="D67" t="s">
        <v>43</v>
      </c>
      <c r="E67" t="s">
        <v>68</v>
      </c>
      <c r="F67" t="s">
        <v>68</v>
      </c>
      <c r="G67" s="2" t="s">
        <v>330</v>
      </c>
      <c r="H67" s="2" t="s">
        <v>131</v>
      </c>
      <c r="I67" s="2" t="str">
        <f t="shared" ref="I67:I130" si="16">IF(G67&lt;1951,"&lt;1950",IF(G67&lt;1981,"1950-1980","&gt;1980"))</f>
        <v>&gt;1980</v>
      </c>
      <c r="J67" s="14">
        <v>60</v>
      </c>
      <c r="K67" s="2">
        <f t="shared" si="13"/>
        <v>60</v>
      </c>
      <c r="L67" s="14">
        <f>121+60*2</f>
        <v>241</v>
      </c>
      <c r="M67" s="14">
        <f>121+60</f>
        <v>181</v>
      </c>
      <c r="N67" s="2">
        <v>5</v>
      </c>
      <c r="O67" s="2">
        <v>0</v>
      </c>
      <c r="P67" s="2">
        <v>4</v>
      </c>
      <c r="Q67" s="2">
        <v>1</v>
      </c>
      <c r="R67" s="2">
        <v>15.8</v>
      </c>
      <c r="S67" s="2">
        <v>16</v>
      </c>
      <c r="T67" s="2">
        <v>13.1</v>
      </c>
      <c r="U67" s="2">
        <v>62.2</v>
      </c>
      <c r="V67" s="2">
        <v>760</v>
      </c>
      <c r="W67" s="2">
        <v>3942.6</v>
      </c>
      <c r="X67" s="2">
        <v>674</v>
      </c>
      <c r="Y67" s="2">
        <v>3370</v>
      </c>
      <c r="Z67" s="2" t="s">
        <v>210</v>
      </c>
      <c r="AA67">
        <v>4</v>
      </c>
      <c r="AB67" s="2">
        <v>0</v>
      </c>
      <c r="AC67"/>
      <c r="AD67" s="3" t="s">
        <v>91</v>
      </c>
      <c r="AE67" s="3" t="s">
        <v>92</v>
      </c>
      <c r="AF67" s="3" t="s">
        <v>50</v>
      </c>
      <c r="AG67" s="3" t="s">
        <v>74</v>
      </c>
      <c r="AH67" s="3" t="s">
        <v>75</v>
      </c>
      <c r="AI67" s="2">
        <v>1</v>
      </c>
      <c r="AJ67" s="2">
        <v>0</v>
      </c>
      <c r="AK67" s="2">
        <v>0</v>
      </c>
      <c r="AL67" s="2">
        <v>0</v>
      </c>
      <c r="AM67" s="2">
        <v>1</v>
      </c>
      <c r="AN67" s="2">
        <v>0</v>
      </c>
      <c r="AO67" s="2" t="s">
        <v>84</v>
      </c>
      <c r="AP67" s="2">
        <v>1680.1</v>
      </c>
      <c r="AQ67" s="2">
        <v>523.9233999999999</v>
      </c>
      <c r="AR67" s="4">
        <f t="shared" si="9"/>
        <v>0.23771226748318547</v>
      </c>
      <c r="AS67" s="18">
        <f t="shared" si="11"/>
        <v>581.0344827586207</v>
      </c>
      <c r="AT67">
        <f t="shared" si="14"/>
        <v>1.1090065508786606</v>
      </c>
      <c r="AU67">
        <f t="shared" si="12"/>
        <v>452.5</v>
      </c>
      <c r="AV67" s="9">
        <f t="shared" si="15"/>
        <v>0.86367587322879658</v>
      </c>
      <c r="AW67" t="s">
        <v>194</v>
      </c>
    </row>
    <row r="68" spans="1:49" x14ac:dyDescent="0.3">
      <c r="A68" s="24" t="s">
        <v>289</v>
      </c>
      <c r="B68" t="s">
        <v>42</v>
      </c>
      <c r="C68" s="2">
        <v>11222</v>
      </c>
      <c r="D68" t="s">
        <v>85</v>
      </c>
      <c r="E68" t="s">
        <v>118</v>
      </c>
      <c r="F68" t="s">
        <v>286</v>
      </c>
      <c r="G68" s="2" t="s">
        <v>287</v>
      </c>
      <c r="H68" s="2" t="s">
        <v>69</v>
      </c>
      <c r="I68" s="2" t="str">
        <f t="shared" si="16"/>
        <v>&gt;1980</v>
      </c>
      <c r="J68" s="14">
        <v>36</v>
      </c>
      <c r="K68" s="2">
        <f t="shared" si="13"/>
        <v>40</v>
      </c>
      <c r="L68" s="14">
        <f>72+36*2</f>
        <v>144</v>
      </c>
      <c r="M68" s="14">
        <f>72+36</f>
        <v>108</v>
      </c>
      <c r="N68" s="2">
        <v>3</v>
      </c>
      <c r="O68" s="2">
        <v>0</v>
      </c>
      <c r="P68" s="2">
        <v>4</v>
      </c>
      <c r="Q68" s="2">
        <v>1</v>
      </c>
      <c r="R68" s="2">
        <v>10.1</v>
      </c>
      <c r="S68" s="2">
        <v>10</v>
      </c>
      <c r="T68" s="2">
        <v>12.1</v>
      </c>
      <c r="U68" s="2">
        <v>57.4</v>
      </c>
      <c r="V68" s="2">
        <v>654</v>
      </c>
      <c r="W68" s="2">
        <v>2375.6</v>
      </c>
      <c r="X68" s="2">
        <v>592.20000000000005</v>
      </c>
      <c r="Y68" s="2">
        <v>1776.6</v>
      </c>
      <c r="Z68" s="2" t="s">
        <v>210</v>
      </c>
      <c r="AA68">
        <v>4</v>
      </c>
      <c r="AB68" s="2">
        <v>0</v>
      </c>
      <c r="AC68"/>
      <c r="AD68" s="3" t="s">
        <v>91</v>
      </c>
      <c r="AE68" s="3" t="s">
        <v>92</v>
      </c>
      <c r="AF68" s="3" t="s">
        <v>145</v>
      </c>
      <c r="AG68" s="3" t="s">
        <v>74</v>
      </c>
      <c r="AH68" s="3" t="s">
        <v>75</v>
      </c>
      <c r="AI68" s="2">
        <v>1</v>
      </c>
      <c r="AJ68" s="2">
        <v>0</v>
      </c>
      <c r="AK68" s="2">
        <v>0</v>
      </c>
      <c r="AL68" s="2">
        <v>0</v>
      </c>
      <c r="AM68" s="2">
        <v>1</v>
      </c>
      <c r="AN68" s="2">
        <v>1</v>
      </c>
      <c r="AO68" s="2" t="s">
        <v>76</v>
      </c>
      <c r="AP68" s="2">
        <v>871.2</v>
      </c>
      <c r="AQ68" s="2">
        <v>317.20000000000005</v>
      </c>
      <c r="AR68" s="4">
        <f t="shared" si="9"/>
        <v>0.26691349713901047</v>
      </c>
      <c r="AS68" s="18">
        <f t="shared" si="11"/>
        <v>306.31034482758622</v>
      </c>
      <c r="AT68">
        <f t="shared" si="14"/>
        <v>0.96566943514371428</v>
      </c>
      <c r="AU68">
        <f t="shared" si="12"/>
        <v>270</v>
      </c>
      <c r="AV68" s="9">
        <f t="shared" si="15"/>
        <v>0.85119798234552324</v>
      </c>
      <c r="AW68" t="s">
        <v>194</v>
      </c>
    </row>
    <row r="69" spans="1:49" x14ac:dyDescent="0.3">
      <c r="A69" s="24" t="s">
        <v>285</v>
      </c>
      <c r="B69" t="s">
        <v>42</v>
      </c>
      <c r="C69" s="2">
        <v>11222</v>
      </c>
      <c r="D69" t="s">
        <v>85</v>
      </c>
      <c r="E69" t="s">
        <v>118</v>
      </c>
      <c r="F69" t="s">
        <v>286</v>
      </c>
      <c r="G69" s="2" t="s">
        <v>287</v>
      </c>
      <c r="H69" s="2" t="s">
        <v>69</v>
      </c>
      <c r="I69" s="2" t="str">
        <f t="shared" si="16"/>
        <v>&gt;1980</v>
      </c>
      <c r="J69" s="14">
        <v>36</v>
      </c>
      <c r="K69" s="2">
        <f t="shared" si="13"/>
        <v>40</v>
      </c>
      <c r="L69" s="14">
        <f>72+36*2</f>
        <v>144</v>
      </c>
      <c r="M69" s="14">
        <f>72+36</f>
        <v>108</v>
      </c>
      <c r="N69" s="2">
        <v>3</v>
      </c>
      <c r="O69" s="2">
        <v>0</v>
      </c>
      <c r="P69" s="2">
        <v>4</v>
      </c>
      <c r="Q69" s="2">
        <v>1</v>
      </c>
      <c r="R69" s="2">
        <v>10.1</v>
      </c>
      <c r="S69" s="2">
        <v>10</v>
      </c>
      <c r="T69" s="2">
        <v>12.1</v>
      </c>
      <c r="U69" s="2">
        <v>57.4</v>
      </c>
      <c r="V69" s="2">
        <v>654</v>
      </c>
      <c r="W69" s="2">
        <v>2375.6</v>
      </c>
      <c r="X69" s="2">
        <v>591.6</v>
      </c>
      <c r="Y69" s="2">
        <v>1774.8</v>
      </c>
      <c r="Z69" s="2" t="s">
        <v>210</v>
      </c>
      <c r="AA69">
        <v>4</v>
      </c>
      <c r="AB69" s="2">
        <v>0</v>
      </c>
      <c r="AC69"/>
      <c r="AD69" s="3" t="s">
        <v>91</v>
      </c>
      <c r="AE69" s="3" t="s">
        <v>92</v>
      </c>
      <c r="AF69" s="3" t="s">
        <v>145</v>
      </c>
      <c r="AG69" s="3" t="s">
        <v>74</v>
      </c>
      <c r="AH69" s="3" t="s">
        <v>75</v>
      </c>
      <c r="AI69" s="2">
        <v>1</v>
      </c>
      <c r="AJ69" s="2">
        <v>0</v>
      </c>
      <c r="AK69" s="2">
        <v>0</v>
      </c>
      <c r="AL69" s="2">
        <v>0</v>
      </c>
      <c r="AM69" s="2">
        <v>1</v>
      </c>
      <c r="AN69" s="2">
        <v>1</v>
      </c>
      <c r="AO69" s="2" t="s">
        <v>76</v>
      </c>
      <c r="AP69" s="2">
        <v>871.2</v>
      </c>
      <c r="AQ69" s="2">
        <v>317.20000000000005</v>
      </c>
      <c r="AR69" s="4">
        <f t="shared" si="9"/>
        <v>0.26691349713901047</v>
      </c>
      <c r="AS69" s="18">
        <f t="shared" si="11"/>
        <v>306</v>
      </c>
      <c r="AT69">
        <f t="shared" si="14"/>
        <v>0.96469104665825967</v>
      </c>
      <c r="AU69">
        <f t="shared" si="12"/>
        <v>270</v>
      </c>
      <c r="AV69" s="9">
        <f t="shared" si="15"/>
        <v>0.85119798234552324</v>
      </c>
      <c r="AW69" t="s">
        <v>194</v>
      </c>
    </row>
    <row r="70" spans="1:49" x14ac:dyDescent="0.3">
      <c r="A70" s="24" t="s">
        <v>288</v>
      </c>
      <c r="B70" t="s">
        <v>42</v>
      </c>
      <c r="C70" s="2">
        <v>11222</v>
      </c>
      <c r="D70" t="s">
        <v>85</v>
      </c>
      <c r="E70" t="s">
        <v>118</v>
      </c>
      <c r="F70" t="s">
        <v>286</v>
      </c>
      <c r="G70" s="2" t="s">
        <v>287</v>
      </c>
      <c r="H70" s="2" t="s">
        <v>69</v>
      </c>
      <c r="I70" s="2" t="str">
        <f t="shared" si="16"/>
        <v>&gt;1980</v>
      </c>
      <c r="J70" s="14">
        <v>36</v>
      </c>
      <c r="K70" s="2">
        <f t="shared" si="13"/>
        <v>40</v>
      </c>
      <c r="L70" s="14">
        <f>72+36*2</f>
        <v>144</v>
      </c>
      <c r="M70" s="14">
        <f>72+36</f>
        <v>108</v>
      </c>
      <c r="N70" s="2">
        <v>3</v>
      </c>
      <c r="O70" s="2">
        <v>0</v>
      </c>
      <c r="P70" s="2">
        <v>4</v>
      </c>
      <c r="Q70" s="2">
        <v>1</v>
      </c>
      <c r="R70" s="2">
        <v>10.1</v>
      </c>
      <c r="S70" s="2">
        <v>10</v>
      </c>
      <c r="T70" s="2">
        <v>12.1</v>
      </c>
      <c r="U70" s="2">
        <v>57.4</v>
      </c>
      <c r="V70" s="2">
        <v>654</v>
      </c>
      <c r="W70" s="2">
        <v>2375.6</v>
      </c>
      <c r="X70" s="2">
        <v>592.20000000000005</v>
      </c>
      <c r="Y70" s="2">
        <v>1776.6</v>
      </c>
      <c r="Z70" s="2" t="s">
        <v>210</v>
      </c>
      <c r="AA70">
        <v>4</v>
      </c>
      <c r="AB70" s="2">
        <v>0</v>
      </c>
      <c r="AC70"/>
      <c r="AD70" s="3" t="s">
        <v>91</v>
      </c>
      <c r="AE70" s="3" t="s">
        <v>92</v>
      </c>
      <c r="AF70" s="3" t="s">
        <v>145</v>
      </c>
      <c r="AG70" s="3" t="s">
        <v>74</v>
      </c>
      <c r="AH70" s="3" t="s">
        <v>75</v>
      </c>
      <c r="AI70" s="2">
        <v>1</v>
      </c>
      <c r="AJ70" s="2">
        <v>0</v>
      </c>
      <c r="AK70" s="2">
        <v>0</v>
      </c>
      <c r="AL70" s="2">
        <v>0</v>
      </c>
      <c r="AM70" s="2">
        <v>1</v>
      </c>
      <c r="AN70" s="2">
        <v>1</v>
      </c>
      <c r="AO70" s="2" t="s">
        <v>76</v>
      </c>
      <c r="AP70" s="2">
        <v>871.2</v>
      </c>
      <c r="AQ70" s="2">
        <v>323</v>
      </c>
      <c r="AR70" s="4">
        <f t="shared" si="9"/>
        <v>0.27047395746106179</v>
      </c>
      <c r="AS70" s="18">
        <f t="shared" si="11"/>
        <v>306.31034482758622</v>
      </c>
      <c r="AT70">
        <f t="shared" si="14"/>
        <v>0.94832924095227933</v>
      </c>
      <c r="AU70">
        <f t="shared" si="12"/>
        <v>270</v>
      </c>
      <c r="AV70" s="9">
        <f t="shared" si="15"/>
        <v>0.83591331269349844</v>
      </c>
      <c r="AW70" t="s">
        <v>194</v>
      </c>
    </row>
    <row r="71" spans="1:49" x14ac:dyDescent="0.3">
      <c r="A71" s="24" t="s">
        <v>290</v>
      </c>
      <c r="B71" t="s">
        <v>42</v>
      </c>
      <c r="C71" s="2">
        <v>11222</v>
      </c>
      <c r="D71" t="s">
        <v>85</v>
      </c>
      <c r="E71" t="s">
        <v>118</v>
      </c>
      <c r="F71" t="s">
        <v>286</v>
      </c>
      <c r="G71" s="2" t="s">
        <v>287</v>
      </c>
      <c r="H71" s="2" t="s">
        <v>69</v>
      </c>
      <c r="I71" s="2" t="str">
        <f t="shared" si="16"/>
        <v>&gt;1980</v>
      </c>
      <c r="J71" s="14">
        <v>36</v>
      </c>
      <c r="K71" s="2">
        <f t="shared" si="13"/>
        <v>40</v>
      </c>
      <c r="L71" s="14">
        <f>72+36*2</f>
        <v>144</v>
      </c>
      <c r="M71" s="14">
        <f>72+36</f>
        <v>108</v>
      </c>
      <c r="N71" s="2">
        <v>3</v>
      </c>
      <c r="O71" s="2">
        <v>0</v>
      </c>
      <c r="P71" s="2">
        <v>4</v>
      </c>
      <c r="Q71" s="2">
        <v>1</v>
      </c>
      <c r="R71" s="2">
        <v>10.1</v>
      </c>
      <c r="S71" s="2">
        <v>10</v>
      </c>
      <c r="T71" s="2">
        <v>12.1</v>
      </c>
      <c r="U71" s="2">
        <v>57.4</v>
      </c>
      <c r="V71" s="2">
        <v>654</v>
      </c>
      <c r="W71" s="2">
        <v>2375.6</v>
      </c>
      <c r="X71" s="2">
        <v>592.20000000000005</v>
      </c>
      <c r="Y71" s="2">
        <v>1776.6</v>
      </c>
      <c r="Z71" s="2" t="s">
        <v>210</v>
      </c>
      <c r="AA71">
        <v>4</v>
      </c>
      <c r="AB71" s="2">
        <v>0</v>
      </c>
      <c r="AC71"/>
      <c r="AD71" s="3" t="s">
        <v>91</v>
      </c>
      <c r="AE71" s="3" t="s">
        <v>92</v>
      </c>
      <c r="AF71" s="3" t="s">
        <v>145</v>
      </c>
      <c r="AG71" s="3" t="s">
        <v>74</v>
      </c>
      <c r="AH71" s="3" t="s">
        <v>75</v>
      </c>
      <c r="AI71" s="2">
        <v>1</v>
      </c>
      <c r="AJ71" s="2">
        <v>0</v>
      </c>
      <c r="AK71" s="2">
        <v>0</v>
      </c>
      <c r="AL71" s="2">
        <v>0</v>
      </c>
      <c r="AM71" s="2">
        <v>1</v>
      </c>
      <c r="AN71" s="2">
        <v>1</v>
      </c>
      <c r="AO71" s="2" t="s">
        <v>76</v>
      </c>
      <c r="AP71" s="2">
        <v>871.2</v>
      </c>
      <c r="AQ71" s="2">
        <v>317.20000000000005</v>
      </c>
      <c r="AR71" s="4">
        <f t="shared" ref="AR71:AR90" si="17">AQ71/(AP71+AQ71)</f>
        <v>0.26691349713901047</v>
      </c>
      <c r="AS71" s="18">
        <f t="shared" si="11"/>
        <v>306.31034482758622</v>
      </c>
      <c r="AT71">
        <f t="shared" si="14"/>
        <v>0.96566943514371428</v>
      </c>
      <c r="AU71">
        <f t="shared" si="12"/>
        <v>270</v>
      </c>
      <c r="AV71" s="9">
        <f t="shared" si="15"/>
        <v>0.85119798234552324</v>
      </c>
      <c r="AW71" t="s">
        <v>194</v>
      </c>
    </row>
    <row r="72" spans="1:49" x14ac:dyDescent="0.3">
      <c r="A72" s="23">
        <v>294</v>
      </c>
      <c r="B72" t="s">
        <v>42</v>
      </c>
      <c r="C72" s="1">
        <v>12721</v>
      </c>
      <c r="D72" t="s">
        <v>132</v>
      </c>
      <c r="E72" t="s">
        <v>247</v>
      </c>
      <c r="F72" t="s">
        <v>264</v>
      </c>
      <c r="G72" s="2">
        <v>1981</v>
      </c>
      <c r="H72" s="2" t="s">
        <v>131</v>
      </c>
      <c r="I72" s="2" t="str">
        <f t="shared" si="16"/>
        <v>&gt;1980</v>
      </c>
      <c r="J72" s="2">
        <v>34</v>
      </c>
      <c r="K72" s="2">
        <f>MROUND(J72,10)</f>
        <v>30</v>
      </c>
      <c r="L72" s="2">
        <v>124</v>
      </c>
      <c r="M72" s="2">
        <v>90</v>
      </c>
      <c r="N72" s="2">
        <v>3</v>
      </c>
      <c r="O72" s="2">
        <v>0</v>
      </c>
      <c r="P72" s="2">
        <v>1</v>
      </c>
      <c r="Q72" s="2">
        <v>1</v>
      </c>
      <c r="R72" s="2">
        <v>10.3</v>
      </c>
      <c r="S72" s="2">
        <v>10.5</v>
      </c>
      <c r="T72" s="2">
        <v>14</v>
      </c>
      <c r="U72" s="2">
        <v>47</v>
      </c>
      <c r="V72" s="1">
        <v>708</v>
      </c>
      <c r="W72" s="2">
        <v>1691.9</v>
      </c>
      <c r="X72" s="2">
        <v>271.3</v>
      </c>
      <c r="Y72" s="1">
        <v>1692</v>
      </c>
      <c r="Z72" s="2" t="s">
        <v>70</v>
      </c>
      <c r="AA72" s="2">
        <v>8</v>
      </c>
      <c r="AB72" s="2">
        <v>4</v>
      </c>
      <c r="AD72" s="3" t="s">
        <v>58</v>
      </c>
      <c r="AE72" s="3" t="s">
        <v>115</v>
      </c>
      <c r="AF72" s="3" t="s">
        <v>50</v>
      </c>
      <c r="AG72" s="3" t="s">
        <v>74</v>
      </c>
      <c r="AH72" s="3" t="s">
        <v>136</v>
      </c>
      <c r="AI72" s="2">
        <v>1</v>
      </c>
      <c r="AJ72" s="2">
        <v>0</v>
      </c>
      <c r="AK72" s="2">
        <v>0</v>
      </c>
      <c r="AL72" s="2">
        <v>0</v>
      </c>
      <c r="AM72" s="2">
        <v>0</v>
      </c>
      <c r="AN72" s="2">
        <v>1</v>
      </c>
      <c r="AO72" s="2" t="s">
        <v>76</v>
      </c>
      <c r="AP72" s="1">
        <f>839</f>
        <v>839</v>
      </c>
      <c r="AQ72" s="1">
        <f>106+6+113+6</f>
        <v>231</v>
      </c>
      <c r="AR72" s="4">
        <f t="shared" si="17"/>
        <v>0.21588785046728973</v>
      </c>
      <c r="AS72" s="18">
        <f t="shared" ref="AS72:AS103" si="18">IF(AQ72&lt;&gt;"", Y72/6.25,"")</f>
        <v>270.72000000000003</v>
      </c>
      <c r="AT72">
        <f t="shared" si="14"/>
        <v>1.1719480519480521</v>
      </c>
      <c r="AU72">
        <f t="shared" ref="AU72:AU90" si="19">IF(AQ72&lt;&gt;"",2.27*M72,"")</f>
        <v>204.3</v>
      </c>
      <c r="AV72" s="9">
        <f t="shared" si="15"/>
        <v>0.88441558441558443</v>
      </c>
    </row>
    <row r="73" spans="1:49" x14ac:dyDescent="0.3">
      <c r="A73" s="23">
        <v>388</v>
      </c>
      <c r="B73" t="s">
        <v>42</v>
      </c>
      <c r="C73" s="1">
        <v>11222</v>
      </c>
      <c r="D73" t="s">
        <v>43</v>
      </c>
      <c r="E73" t="s">
        <v>68</v>
      </c>
      <c r="F73" t="s">
        <v>68</v>
      </c>
      <c r="G73" s="2">
        <v>1979</v>
      </c>
      <c r="H73" s="2" t="s">
        <v>69</v>
      </c>
      <c r="I73" s="2" t="str">
        <f t="shared" si="16"/>
        <v>1950-1980</v>
      </c>
      <c r="J73" s="2">
        <v>6</v>
      </c>
      <c r="K73" s="2">
        <f t="shared" si="13"/>
        <v>10</v>
      </c>
      <c r="L73" s="2">
        <v>27</v>
      </c>
      <c r="M73" s="2">
        <v>21</v>
      </c>
      <c r="N73" s="2">
        <v>3</v>
      </c>
      <c r="O73" s="2">
        <v>0</v>
      </c>
      <c r="P73" s="2">
        <v>1</v>
      </c>
      <c r="Q73" s="2">
        <v>1</v>
      </c>
      <c r="R73" s="2">
        <v>10.4</v>
      </c>
      <c r="S73" s="2">
        <v>10.5</v>
      </c>
      <c r="T73" s="2">
        <v>9.9</v>
      </c>
      <c r="U73" s="2">
        <v>15.6</v>
      </c>
      <c r="V73" s="1">
        <v>151</v>
      </c>
      <c r="W73" s="2">
        <v>469.3</v>
      </c>
      <c r="X73" s="2">
        <v>153.5</v>
      </c>
      <c r="Y73" s="1">
        <v>469</v>
      </c>
      <c r="Z73" s="2" t="s">
        <v>70</v>
      </c>
      <c r="AA73" s="2">
        <v>4</v>
      </c>
      <c r="AB73" s="2">
        <v>0</v>
      </c>
      <c r="AC73" s="2">
        <v>0</v>
      </c>
      <c r="AD73" s="3" t="s">
        <v>71</v>
      </c>
      <c r="AE73" s="3" t="s">
        <v>72</v>
      </c>
      <c r="AF73" s="3" t="s">
        <v>73</v>
      </c>
      <c r="AG73" s="3" t="s">
        <v>74</v>
      </c>
      <c r="AH73" s="3" t="s">
        <v>75</v>
      </c>
      <c r="AI73" s="2">
        <v>1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 t="s">
        <v>76</v>
      </c>
      <c r="AP73" s="1">
        <v>231</v>
      </c>
      <c r="AQ73" s="1">
        <f>35+21.6</f>
        <v>56.6</v>
      </c>
      <c r="AR73" s="4">
        <f t="shared" si="17"/>
        <v>0.1968011126564673</v>
      </c>
      <c r="AS73" s="18">
        <f t="shared" si="18"/>
        <v>75.040000000000006</v>
      </c>
      <c r="AT73">
        <f t="shared" si="14"/>
        <v>1.3257950530035336</v>
      </c>
      <c r="AU73">
        <f t="shared" si="19"/>
        <v>47.67</v>
      </c>
      <c r="AV73" s="9">
        <f t="shared" si="15"/>
        <v>0.84222614840989396</v>
      </c>
    </row>
    <row r="74" spans="1:49" x14ac:dyDescent="0.3">
      <c r="A74" s="23">
        <v>11</v>
      </c>
      <c r="B74" t="s">
        <v>42</v>
      </c>
      <c r="C74" s="1">
        <v>11222</v>
      </c>
      <c r="D74" t="s">
        <v>43</v>
      </c>
      <c r="E74" t="s">
        <v>44</v>
      </c>
      <c r="F74" t="s">
        <v>82</v>
      </c>
      <c r="G74" s="2">
        <v>1962</v>
      </c>
      <c r="H74" s="2" t="s">
        <v>57</v>
      </c>
      <c r="I74" s="2" t="str">
        <f t="shared" si="16"/>
        <v>1950-1980</v>
      </c>
      <c r="J74" s="2">
        <v>18</v>
      </c>
      <c r="K74" s="2">
        <f t="shared" si="13"/>
        <v>20</v>
      </c>
      <c r="L74" s="2">
        <v>72</v>
      </c>
      <c r="M74" s="2">
        <v>54</v>
      </c>
      <c r="N74" s="2">
        <v>3</v>
      </c>
      <c r="O74" s="2">
        <v>0</v>
      </c>
      <c r="P74" s="2">
        <v>2</v>
      </c>
      <c r="Q74" s="2">
        <v>1</v>
      </c>
      <c r="R74" s="2">
        <v>11.3</v>
      </c>
      <c r="S74" s="2">
        <v>11.5</v>
      </c>
      <c r="V74" s="1">
        <v>332</v>
      </c>
      <c r="W74" s="2">
        <v>886</v>
      </c>
      <c r="X74" s="2">
        <v>176.7</v>
      </c>
      <c r="Y74" s="1">
        <v>709</v>
      </c>
      <c r="Z74" s="2" t="s">
        <v>70</v>
      </c>
      <c r="AA74" s="2">
        <v>4</v>
      </c>
      <c r="AB74" s="2">
        <v>0</v>
      </c>
      <c r="AC74" s="2">
        <v>0</v>
      </c>
      <c r="AD74" s="3" t="s">
        <v>58</v>
      </c>
      <c r="AE74" s="3" t="s">
        <v>66</v>
      </c>
      <c r="AF74" s="3" t="s">
        <v>50</v>
      </c>
      <c r="AG74" s="3" t="s">
        <v>51</v>
      </c>
      <c r="AH74" s="3" t="s">
        <v>75</v>
      </c>
      <c r="AI74" s="2">
        <v>0</v>
      </c>
      <c r="AJ74" s="2">
        <v>1</v>
      </c>
      <c r="AK74" s="2">
        <v>0</v>
      </c>
      <c r="AL74" s="2">
        <v>0</v>
      </c>
      <c r="AM74" s="2">
        <v>0</v>
      </c>
      <c r="AN74" s="2">
        <v>1</v>
      </c>
      <c r="AO74" s="2" t="s">
        <v>61</v>
      </c>
      <c r="AP74" s="1">
        <v>279</v>
      </c>
      <c r="AQ74" s="1">
        <f>13+78+63+13</f>
        <v>167</v>
      </c>
      <c r="AR74" s="4">
        <f t="shared" si="17"/>
        <v>0.3744394618834081</v>
      </c>
      <c r="AS74" s="18">
        <f t="shared" si="18"/>
        <v>113.44</v>
      </c>
      <c r="AT74">
        <f t="shared" si="14"/>
        <v>0.67928143712574851</v>
      </c>
      <c r="AU74">
        <f t="shared" si="19"/>
        <v>122.58</v>
      </c>
      <c r="AV74" s="9">
        <f t="shared" si="15"/>
        <v>0.73401197604790414</v>
      </c>
    </row>
    <row r="75" spans="1:49" x14ac:dyDescent="0.3">
      <c r="A75" s="23">
        <v>157</v>
      </c>
      <c r="B75" t="s">
        <v>42</v>
      </c>
      <c r="C75" s="1">
        <v>11222</v>
      </c>
      <c r="D75" t="s">
        <v>43</v>
      </c>
      <c r="E75" t="s">
        <v>44</v>
      </c>
      <c r="F75" t="s">
        <v>62</v>
      </c>
      <c r="G75" s="2">
        <v>1962</v>
      </c>
      <c r="H75" s="2" t="s">
        <v>57</v>
      </c>
      <c r="I75" s="2" t="str">
        <f t="shared" si="16"/>
        <v>1950-1980</v>
      </c>
      <c r="J75" s="2">
        <v>32</v>
      </c>
      <c r="K75" s="2">
        <f t="shared" si="13"/>
        <v>30</v>
      </c>
      <c r="L75" s="2">
        <v>136</v>
      </c>
      <c r="M75" s="2">
        <v>104</v>
      </c>
      <c r="N75" s="2">
        <v>4</v>
      </c>
      <c r="O75" s="2">
        <v>0</v>
      </c>
      <c r="P75" s="2">
        <v>2</v>
      </c>
      <c r="Q75" s="2">
        <v>1</v>
      </c>
      <c r="R75" s="2">
        <v>15.3</v>
      </c>
      <c r="S75" s="2">
        <v>15.5</v>
      </c>
      <c r="V75" s="1">
        <v>440</v>
      </c>
      <c r="W75" s="2">
        <v>1753.2</v>
      </c>
      <c r="X75" s="2">
        <v>411.3</v>
      </c>
      <c r="Y75" s="1">
        <v>1454</v>
      </c>
      <c r="Z75" s="11" t="s">
        <v>70</v>
      </c>
      <c r="AA75" s="2">
        <v>4</v>
      </c>
      <c r="AB75" s="2">
        <v>0</v>
      </c>
      <c r="AD75" s="3" t="s">
        <v>126</v>
      </c>
      <c r="AE75" s="3" t="s">
        <v>115</v>
      </c>
      <c r="AF75" s="3" t="s">
        <v>139</v>
      </c>
      <c r="AG75" s="3" t="s">
        <v>139</v>
      </c>
      <c r="AH75" s="3" t="s">
        <v>75</v>
      </c>
      <c r="AI75" s="2">
        <v>0</v>
      </c>
      <c r="AJ75" s="2">
        <v>1</v>
      </c>
      <c r="AK75" s="2">
        <v>0</v>
      </c>
      <c r="AL75" s="2">
        <v>0</v>
      </c>
      <c r="AM75" s="2">
        <v>0</v>
      </c>
      <c r="AN75" s="2">
        <v>1</v>
      </c>
      <c r="AO75" s="2" t="s">
        <v>84</v>
      </c>
      <c r="AP75" s="1">
        <f>585+228</f>
        <v>813</v>
      </c>
      <c r="AQ75" s="1">
        <f>288+31</f>
        <v>319</v>
      </c>
      <c r="AR75" s="4">
        <f t="shared" si="17"/>
        <v>0.28180212014134276</v>
      </c>
      <c r="AS75" s="18">
        <f t="shared" si="18"/>
        <v>232.64</v>
      </c>
      <c r="AT75">
        <f t="shared" si="14"/>
        <v>0.7292789968652037</v>
      </c>
      <c r="AU75">
        <f t="shared" si="19"/>
        <v>236.08</v>
      </c>
      <c r="AV75" s="9">
        <f t="shared" si="15"/>
        <v>0.74006269592476492</v>
      </c>
    </row>
    <row r="76" spans="1:49" x14ac:dyDescent="0.3">
      <c r="A76" s="23">
        <v>69</v>
      </c>
      <c r="B76" t="s">
        <v>42</v>
      </c>
      <c r="C76" s="1">
        <v>11222</v>
      </c>
      <c r="D76" t="s">
        <v>43</v>
      </c>
      <c r="E76" t="s">
        <v>44</v>
      </c>
      <c r="F76" t="s">
        <v>82</v>
      </c>
      <c r="G76" s="2">
        <v>1965</v>
      </c>
      <c r="H76" s="2" t="s">
        <v>57</v>
      </c>
      <c r="I76" s="2" t="str">
        <f t="shared" si="16"/>
        <v>1950-1980</v>
      </c>
      <c r="J76" s="2">
        <v>16</v>
      </c>
      <c r="K76" s="2">
        <f t="shared" si="13"/>
        <v>20</v>
      </c>
      <c r="L76" s="2">
        <v>67</v>
      </c>
      <c r="M76" s="2">
        <v>51</v>
      </c>
      <c r="N76" s="2">
        <v>2</v>
      </c>
      <c r="O76" s="2">
        <v>0</v>
      </c>
      <c r="P76" s="2">
        <v>2</v>
      </c>
      <c r="Q76" s="2">
        <v>1</v>
      </c>
      <c r="R76" s="2">
        <v>7.3</v>
      </c>
      <c r="S76" s="2">
        <v>7.5</v>
      </c>
      <c r="T76" s="2">
        <v>12.2</v>
      </c>
      <c r="U76" s="2">
        <v>39.6</v>
      </c>
      <c r="V76" s="1">
        <v>465</v>
      </c>
      <c r="W76" s="2">
        <v>1197.2</v>
      </c>
      <c r="X76" s="2">
        <v>446.9</v>
      </c>
      <c r="Y76" s="1">
        <v>776.1</v>
      </c>
      <c r="Z76" s="2" t="s">
        <v>70</v>
      </c>
      <c r="AA76" s="2">
        <v>4</v>
      </c>
      <c r="AB76" s="2">
        <v>0</v>
      </c>
      <c r="AD76" s="3" t="s">
        <v>91</v>
      </c>
      <c r="AE76" s="3" t="s">
        <v>92</v>
      </c>
      <c r="AF76" s="3" t="s">
        <v>145</v>
      </c>
      <c r="AG76" s="3" t="s">
        <v>74</v>
      </c>
      <c r="AH76" s="3" t="s">
        <v>75</v>
      </c>
      <c r="AI76" s="2">
        <v>0</v>
      </c>
      <c r="AJ76" s="2">
        <v>1</v>
      </c>
      <c r="AK76" s="2">
        <v>0</v>
      </c>
      <c r="AL76" s="2">
        <v>0</v>
      </c>
      <c r="AM76" s="2">
        <v>1</v>
      </c>
      <c r="AN76" s="2">
        <v>1</v>
      </c>
      <c r="AO76" s="2" t="s">
        <v>88</v>
      </c>
      <c r="AP76" s="16">
        <v>543</v>
      </c>
      <c r="AQ76" s="16">
        <v>127</v>
      </c>
      <c r="AR76" s="4">
        <f t="shared" si="17"/>
        <v>0.18955223880597014</v>
      </c>
      <c r="AS76" s="18">
        <f t="shared" si="18"/>
        <v>124.176</v>
      </c>
      <c r="AT76">
        <f t="shared" si="14"/>
        <v>0.97776377952755911</v>
      </c>
      <c r="AU76">
        <f t="shared" si="19"/>
        <v>115.77</v>
      </c>
      <c r="AV76" s="9">
        <f t="shared" si="15"/>
        <v>0.91157480314960626</v>
      </c>
    </row>
    <row r="77" spans="1:49" x14ac:dyDescent="0.3">
      <c r="A77" s="23">
        <v>342</v>
      </c>
      <c r="B77" t="s">
        <v>42</v>
      </c>
      <c r="C77" s="1">
        <v>11222</v>
      </c>
      <c r="D77" t="s">
        <v>158</v>
      </c>
      <c r="E77" t="s">
        <v>159</v>
      </c>
      <c r="F77" t="s">
        <v>160</v>
      </c>
      <c r="G77" s="2">
        <v>1983</v>
      </c>
      <c r="H77" s="2" t="s">
        <v>131</v>
      </c>
      <c r="I77" s="2" t="str">
        <f t="shared" si="16"/>
        <v>&gt;1980</v>
      </c>
      <c r="J77" s="2">
        <v>12</v>
      </c>
      <c r="K77" s="2">
        <f t="shared" si="13"/>
        <v>10</v>
      </c>
      <c r="L77" s="2">
        <v>60</v>
      </c>
      <c r="M77" s="2">
        <v>48</v>
      </c>
      <c r="N77" s="2">
        <v>3</v>
      </c>
      <c r="O77" s="2">
        <v>0</v>
      </c>
      <c r="P77" s="2">
        <v>2</v>
      </c>
      <c r="Q77" s="2">
        <v>1</v>
      </c>
      <c r="R77" s="2">
        <v>12</v>
      </c>
      <c r="S77" s="2">
        <v>12</v>
      </c>
      <c r="T77" s="2">
        <v>11.6</v>
      </c>
      <c r="U77" s="2">
        <v>35</v>
      </c>
      <c r="V77" s="1">
        <v>350</v>
      </c>
      <c r="W77" s="2">
        <v>1001.5</v>
      </c>
      <c r="X77" s="2">
        <v>284.8</v>
      </c>
      <c r="Y77" s="1">
        <v>796</v>
      </c>
      <c r="Z77" s="2" t="s">
        <v>70</v>
      </c>
      <c r="AA77" s="2">
        <v>4</v>
      </c>
      <c r="AB77" s="2">
        <v>0</v>
      </c>
      <c r="AD77" s="3" t="s">
        <v>126</v>
      </c>
      <c r="AE77" s="3" t="s">
        <v>115</v>
      </c>
      <c r="AF77" s="3" t="s">
        <v>50</v>
      </c>
      <c r="AG77" s="3" t="s">
        <v>60</v>
      </c>
      <c r="AH77" s="3" t="s">
        <v>75</v>
      </c>
      <c r="AI77" s="2">
        <v>0</v>
      </c>
      <c r="AJ77" s="2">
        <v>1</v>
      </c>
      <c r="AK77" s="2">
        <v>0</v>
      </c>
      <c r="AL77" s="2">
        <v>0</v>
      </c>
      <c r="AM77" s="2">
        <v>0</v>
      </c>
      <c r="AN77" s="2">
        <v>1</v>
      </c>
      <c r="AO77" s="2" t="s">
        <v>84</v>
      </c>
      <c r="AP77" s="1">
        <v>537</v>
      </c>
      <c r="AQ77" s="1">
        <v>150</v>
      </c>
      <c r="AR77" s="4">
        <f t="shared" si="17"/>
        <v>0.2183406113537118</v>
      </c>
      <c r="AS77" s="18">
        <f t="shared" si="18"/>
        <v>127.36</v>
      </c>
      <c r="AT77">
        <f t="shared" si="14"/>
        <v>0.84906666666666664</v>
      </c>
      <c r="AU77">
        <f t="shared" si="19"/>
        <v>108.96000000000001</v>
      </c>
      <c r="AV77" s="9">
        <f t="shared" si="15"/>
        <v>0.72640000000000005</v>
      </c>
    </row>
    <row r="78" spans="1:49" x14ac:dyDescent="0.3">
      <c r="A78" s="23">
        <v>220</v>
      </c>
      <c r="B78" t="s">
        <v>42</v>
      </c>
      <c r="C78" s="1">
        <v>11222</v>
      </c>
      <c r="D78" t="s">
        <v>85</v>
      </c>
      <c r="E78" t="s">
        <v>86</v>
      </c>
      <c r="F78" t="s">
        <v>86</v>
      </c>
      <c r="G78" s="2">
        <v>1966</v>
      </c>
      <c r="H78" s="2" t="s">
        <v>57</v>
      </c>
      <c r="I78" s="2" t="str">
        <f t="shared" si="16"/>
        <v>1950-1980</v>
      </c>
      <c r="J78" s="2">
        <v>40</v>
      </c>
      <c r="K78" s="2">
        <f t="shared" si="13"/>
        <v>40</v>
      </c>
      <c r="L78" s="2">
        <v>170</v>
      </c>
      <c r="M78" s="2">
        <v>130</v>
      </c>
      <c r="N78" s="2">
        <v>5</v>
      </c>
      <c r="O78" s="2">
        <v>0</v>
      </c>
      <c r="P78" s="2">
        <v>2</v>
      </c>
      <c r="Q78" s="2">
        <v>1</v>
      </c>
      <c r="R78" s="2">
        <v>16.3</v>
      </c>
      <c r="S78" s="2">
        <v>16.5</v>
      </c>
      <c r="V78" s="1">
        <v>445</v>
      </c>
      <c r="W78" s="2">
        <v>2097</v>
      </c>
      <c r="X78" s="2">
        <v>103.2</v>
      </c>
      <c r="Y78" s="1">
        <v>1776</v>
      </c>
      <c r="Z78" s="2" t="s">
        <v>70</v>
      </c>
      <c r="AA78" s="2">
        <v>4</v>
      </c>
      <c r="AB78" s="2">
        <v>0</v>
      </c>
      <c r="AC78" s="2">
        <v>0</v>
      </c>
      <c r="AD78" s="3" t="s">
        <v>139</v>
      </c>
      <c r="AE78" s="3" t="s">
        <v>139</v>
      </c>
      <c r="AF78" s="3" t="s">
        <v>50</v>
      </c>
      <c r="AG78" s="3" t="s">
        <v>74</v>
      </c>
      <c r="AH78" s="3" t="s">
        <v>75</v>
      </c>
      <c r="AI78" s="2">
        <v>0</v>
      </c>
      <c r="AJ78" s="2">
        <v>1</v>
      </c>
      <c r="AK78" s="2">
        <v>0</v>
      </c>
      <c r="AL78" s="2">
        <v>0</v>
      </c>
      <c r="AM78" s="2">
        <v>0</v>
      </c>
      <c r="AN78" s="2">
        <v>1</v>
      </c>
      <c r="AO78" s="2" t="s">
        <v>123</v>
      </c>
      <c r="AP78" s="1">
        <f>1144</f>
        <v>1144</v>
      </c>
      <c r="AQ78" s="1">
        <f>18+171+18+152</f>
        <v>359</v>
      </c>
      <c r="AR78" s="4">
        <f t="shared" si="17"/>
        <v>0.23885562208915503</v>
      </c>
      <c r="AS78" s="18">
        <f t="shared" si="18"/>
        <v>284.16000000000003</v>
      </c>
      <c r="AT78">
        <f t="shared" si="14"/>
        <v>0.79153203342618395</v>
      </c>
      <c r="AU78">
        <f t="shared" si="19"/>
        <v>295.10000000000002</v>
      </c>
      <c r="AV78" s="9">
        <f t="shared" si="15"/>
        <v>0.82200557103064076</v>
      </c>
    </row>
    <row r="79" spans="1:49" x14ac:dyDescent="0.3">
      <c r="A79" s="23">
        <v>324</v>
      </c>
      <c r="B79" t="s">
        <v>42</v>
      </c>
      <c r="C79" s="1">
        <v>11222</v>
      </c>
      <c r="D79" t="s">
        <v>85</v>
      </c>
      <c r="E79" t="s">
        <v>86</v>
      </c>
      <c r="F79" t="s">
        <v>86</v>
      </c>
      <c r="G79" s="2">
        <v>1964</v>
      </c>
      <c r="H79" s="2" t="s">
        <v>57</v>
      </c>
      <c r="I79" s="2" t="str">
        <f t="shared" si="16"/>
        <v>1950-1980</v>
      </c>
      <c r="J79" s="2">
        <v>32</v>
      </c>
      <c r="K79" s="2">
        <f t="shared" si="13"/>
        <v>30</v>
      </c>
      <c r="L79" s="2">
        <v>136</v>
      </c>
      <c r="M79" s="2">
        <v>104</v>
      </c>
      <c r="N79" s="2">
        <v>4</v>
      </c>
      <c r="O79" s="2">
        <v>0</v>
      </c>
      <c r="P79" s="2">
        <v>2</v>
      </c>
      <c r="Q79" s="2">
        <v>1</v>
      </c>
      <c r="R79" s="2">
        <v>13.5</v>
      </c>
      <c r="S79" s="2">
        <v>13.5</v>
      </c>
      <c r="T79" s="2">
        <v>11.3</v>
      </c>
      <c r="U79" s="2">
        <v>41.3</v>
      </c>
      <c r="V79" s="1">
        <v>444</v>
      </c>
      <c r="W79" s="2">
        <v>1776.4</v>
      </c>
      <c r="X79" s="2">
        <v>278.10000000000002</v>
      </c>
      <c r="Y79" s="1">
        <v>1440</v>
      </c>
      <c r="Z79" s="2" t="s">
        <v>70</v>
      </c>
      <c r="AA79" s="2">
        <v>4</v>
      </c>
      <c r="AB79" s="2">
        <v>0</v>
      </c>
      <c r="AD79" s="3" t="s">
        <v>126</v>
      </c>
      <c r="AE79" s="3" t="s">
        <v>115</v>
      </c>
      <c r="AF79" s="3" t="s">
        <v>50</v>
      </c>
      <c r="AG79" s="3" t="s">
        <v>74</v>
      </c>
      <c r="AH79" s="3" t="s">
        <v>75</v>
      </c>
      <c r="AI79" s="2">
        <v>0</v>
      </c>
      <c r="AJ79" s="2">
        <v>1</v>
      </c>
      <c r="AK79" s="2">
        <v>0</v>
      </c>
      <c r="AL79" s="2">
        <v>0</v>
      </c>
      <c r="AM79" s="2">
        <v>0</v>
      </c>
      <c r="AN79" s="2">
        <v>1</v>
      </c>
      <c r="AO79" s="2" t="s">
        <v>88</v>
      </c>
      <c r="AP79" s="1">
        <f>712.9</f>
        <v>712.9</v>
      </c>
      <c r="AQ79" s="1">
        <f>136.8+16.8*2+132.5</f>
        <v>302.89999999999998</v>
      </c>
      <c r="AR79" s="4">
        <f t="shared" si="17"/>
        <v>0.29818861980704864</v>
      </c>
      <c r="AS79" s="18">
        <f t="shared" si="18"/>
        <v>230.4</v>
      </c>
      <c r="AT79">
        <f t="shared" si="14"/>
        <v>0.76064707824364486</v>
      </c>
      <c r="AU79">
        <f t="shared" si="19"/>
        <v>236.08</v>
      </c>
      <c r="AV79" s="9">
        <f t="shared" si="15"/>
        <v>0.7793991416309014</v>
      </c>
    </row>
    <row r="80" spans="1:49" x14ac:dyDescent="0.3">
      <c r="A80" s="23">
        <v>214</v>
      </c>
      <c r="B80" t="s">
        <v>42</v>
      </c>
      <c r="C80" s="1">
        <v>11222</v>
      </c>
      <c r="D80" t="s">
        <v>85</v>
      </c>
      <c r="E80" t="s">
        <v>86</v>
      </c>
      <c r="F80" t="s">
        <v>86</v>
      </c>
      <c r="G80" s="2">
        <v>1965</v>
      </c>
      <c r="H80" s="2" t="s">
        <v>57</v>
      </c>
      <c r="I80" s="2" t="str">
        <f t="shared" si="16"/>
        <v>1950-1980</v>
      </c>
      <c r="J80" s="2">
        <v>40</v>
      </c>
      <c r="K80" s="2">
        <f t="shared" si="13"/>
        <v>40</v>
      </c>
      <c r="L80" s="2">
        <v>170</v>
      </c>
      <c r="M80" s="2">
        <v>130</v>
      </c>
      <c r="N80" s="2">
        <v>5</v>
      </c>
      <c r="O80" s="2">
        <v>0</v>
      </c>
      <c r="P80" s="2">
        <v>2</v>
      </c>
      <c r="Q80" s="2">
        <v>1</v>
      </c>
      <c r="R80" s="2">
        <v>16.8</v>
      </c>
      <c r="S80" s="2">
        <v>17</v>
      </c>
      <c r="T80" s="2">
        <v>13.3</v>
      </c>
      <c r="U80" s="2">
        <v>41.3</v>
      </c>
      <c r="V80" s="1">
        <v>464</v>
      </c>
      <c r="W80" s="2">
        <v>2093.5</v>
      </c>
      <c r="X80" s="2">
        <v>421.9</v>
      </c>
      <c r="Y80" s="1">
        <v>1777.9</v>
      </c>
      <c r="Z80" s="2" t="s">
        <v>70</v>
      </c>
      <c r="AA80" s="2">
        <v>4</v>
      </c>
      <c r="AB80" s="2">
        <v>0</v>
      </c>
      <c r="AD80" s="3" t="s">
        <v>126</v>
      </c>
      <c r="AE80" s="3" t="s">
        <v>115</v>
      </c>
      <c r="AF80" s="3" t="s">
        <v>50</v>
      </c>
      <c r="AG80" s="3" t="s">
        <v>60</v>
      </c>
      <c r="AH80" s="3" t="s">
        <v>75</v>
      </c>
      <c r="AI80" s="2">
        <v>0</v>
      </c>
      <c r="AJ80" s="2">
        <v>1</v>
      </c>
      <c r="AK80" s="2">
        <v>0</v>
      </c>
      <c r="AL80" s="2">
        <v>0</v>
      </c>
      <c r="AM80" s="2">
        <v>0</v>
      </c>
      <c r="AN80" s="2">
        <v>1</v>
      </c>
      <c r="AO80" s="2" t="s">
        <v>76</v>
      </c>
      <c r="AP80" s="1">
        <v>1136.5</v>
      </c>
      <c r="AQ80" s="1">
        <f>22.4+170.1+22.4+150.4</f>
        <v>365.3</v>
      </c>
      <c r="AR80" s="4">
        <f t="shared" si="17"/>
        <v>0.24324144360101213</v>
      </c>
      <c r="AS80" s="18">
        <f t="shared" si="18"/>
        <v>284.464</v>
      </c>
      <c r="AT80">
        <f t="shared" si="14"/>
        <v>0.77871338625787023</v>
      </c>
      <c r="AU80">
        <f t="shared" si="19"/>
        <v>295.10000000000002</v>
      </c>
      <c r="AV80" s="9">
        <f t="shared" si="15"/>
        <v>0.80782918149466199</v>
      </c>
    </row>
    <row r="81" spans="1:48" x14ac:dyDescent="0.3">
      <c r="A81" s="23">
        <v>37</v>
      </c>
      <c r="B81" t="s">
        <v>42</v>
      </c>
      <c r="C81" s="1">
        <v>11222</v>
      </c>
      <c r="D81" t="s">
        <v>85</v>
      </c>
      <c r="E81" t="s">
        <v>86</v>
      </c>
      <c r="F81" t="s">
        <v>201</v>
      </c>
      <c r="G81" s="2">
        <v>1989</v>
      </c>
      <c r="H81" s="2" t="s">
        <v>131</v>
      </c>
      <c r="I81" s="2" t="str">
        <f t="shared" si="16"/>
        <v>&gt;1980</v>
      </c>
      <c r="J81" s="2">
        <v>12</v>
      </c>
      <c r="K81" s="2">
        <f t="shared" si="13"/>
        <v>10</v>
      </c>
      <c r="L81" s="2">
        <v>63</v>
      </c>
      <c r="M81" s="2">
        <v>51</v>
      </c>
      <c r="N81" s="2">
        <v>3</v>
      </c>
      <c r="O81" s="2">
        <v>0</v>
      </c>
      <c r="P81" s="2">
        <v>2</v>
      </c>
      <c r="Q81" s="2">
        <v>1</v>
      </c>
      <c r="R81" s="2">
        <v>10.3</v>
      </c>
      <c r="S81" s="2">
        <v>10.5</v>
      </c>
      <c r="T81" s="2">
        <v>11.7</v>
      </c>
      <c r="U81" s="2">
        <v>34.200000000000003</v>
      </c>
      <c r="V81" s="1">
        <v>423</v>
      </c>
      <c r="W81" s="2">
        <v>1203.7</v>
      </c>
      <c r="X81" s="2">
        <v>302.2</v>
      </c>
      <c r="Y81" s="1">
        <v>959.3</v>
      </c>
      <c r="Z81" s="2" t="s">
        <v>70</v>
      </c>
      <c r="AA81" s="2">
        <v>4</v>
      </c>
      <c r="AB81" s="2">
        <v>0</v>
      </c>
      <c r="AD81" s="3" t="s">
        <v>126</v>
      </c>
      <c r="AE81" s="3" t="s">
        <v>115</v>
      </c>
      <c r="AF81" s="3" t="s">
        <v>202</v>
      </c>
      <c r="AG81" s="3" t="s">
        <v>51</v>
      </c>
      <c r="AH81" s="3" t="s">
        <v>203</v>
      </c>
      <c r="AI81" s="2">
        <v>0</v>
      </c>
      <c r="AJ81" s="2">
        <v>1</v>
      </c>
      <c r="AK81" s="2">
        <v>0</v>
      </c>
      <c r="AL81" s="2">
        <v>1</v>
      </c>
      <c r="AM81" s="2">
        <v>0</v>
      </c>
      <c r="AN81" s="2">
        <v>0</v>
      </c>
      <c r="AO81" s="2" t="s">
        <v>123</v>
      </c>
      <c r="AP81" s="1">
        <v>705.6</v>
      </c>
      <c r="AQ81" s="1">
        <f>44.8+10.4*2+53.9</f>
        <v>119.5</v>
      </c>
      <c r="AR81" s="4">
        <f t="shared" si="17"/>
        <v>0.14483092958429281</v>
      </c>
      <c r="AS81" s="18">
        <f t="shared" si="18"/>
        <v>153.488</v>
      </c>
      <c r="AT81">
        <f t="shared" si="14"/>
        <v>1.284418410041841</v>
      </c>
      <c r="AU81">
        <f t="shared" si="19"/>
        <v>115.77</v>
      </c>
      <c r="AV81" s="9">
        <f t="shared" si="15"/>
        <v>0.96878661087866103</v>
      </c>
    </row>
    <row r="82" spans="1:48" x14ac:dyDescent="0.3">
      <c r="A82" s="23">
        <v>64</v>
      </c>
      <c r="B82" t="s">
        <v>42</v>
      </c>
      <c r="C82" s="1">
        <v>11222</v>
      </c>
      <c r="D82" t="s">
        <v>128</v>
      </c>
      <c r="E82" t="s">
        <v>129</v>
      </c>
      <c r="F82" t="s">
        <v>130</v>
      </c>
      <c r="G82" s="2">
        <v>1988</v>
      </c>
      <c r="H82" s="2" t="s">
        <v>131</v>
      </c>
      <c r="I82" s="2" t="str">
        <f t="shared" si="16"/>
        <v>&gt;1980</v>
      </c>
      <c r="J82" s="2">
        <v>12</v>
      </c>
      <c r="K82" s="2">
        <f t="shared" si="13"/>
        <v>10</v>
      </c>
      <c r="L82" s="2">
        <v>60</v>
      </c>
      <c r="M82" s="2">
        <v>48</v>
      </c>
      <c r="N82" s="2">
        <v>3</v>
      </c>
      <c r="O82" s="2">
        <v>0</v>
      </c>
      <c r="P82" s="2">
        <v>2</v>
      </c>
      <c r="Q82" s="2">
        <v>1</v>
      </c>
      <c r="R82" s="2">
        <v>11.7</v>
      </c>
      <c r="S82" s="2">
        <v>11.5</v>
      </c>
      <c r="T82" s="2">
        <v>14</v>
      </c>
      <c r="U82" s="2">
        <v>35</v>
      </c>
      <c r="V82" s="1">
        <v>499</v>
      </c>
      <c r="W82" s="2">
        <v>1250.0999999999999</v>
      </c>
      <c r="X82" s="2">
        <v>169.7</v>
      </c>
      <c r="Y82" s="1">
        <v>967.1</v>
      </c>
      <c r="Z82" s="2" t="s">
        <v>70</v>
      </c>
      <c r="AA82" s="2">
        <v>4</v>
      </c>
      <c r="AB82" s="2">
        <v>0</v>
      </c>
      <c r="AD82" s="3" t="s">
        <v>204</v>
      </c>
      <c r="AE82" s="3" t="s">
        <v>115</v>
      </c>
      <c r="AF82" s="3" t="s">
        <v>50</v>
      </c>
      <c r="AG82" s="3" t="s">
        <v>74</v>
      </c>
      <c r="AH82" s="3" t="s">
        <v>75</v>
      </c>
      <c r="AI82" s="2">
        <v>0</v>
      </c>
      <c r="AJ82" s="2">
        <v>1</v>
      </c>
      <c r="AK82" s="2">
        <v>0</v>
      </c>
      <c r="AL82" s="2">
        <v>0</v>
      </c>
      <c r="AM82" s="2">
        <v>0</v>
      </c>
      <c r="AN82" s="2">
        <v>1</v>
      </c>
      <c r="AO82" s="2" t="s">
        <v>76</v>
      </c>
      <c r="AP82" s="1">
        <f>485.4+80.9</f>
        <v>566.29999999999995</v>
      </c>
      <c r="AQ82" s="1">
        <f>100+44</f>
        <v>144</v>
      </c>
      <c r="AR82" s="4">
        <f t="shared" si="17"/>
        <v>0.20273124032099116</v>
      </c>
      <c r="AS82" s="18">
        <f t="shared" si="18"/>
        <v>154.73599999999999</v>
      </c>
      <c r="AT82">
        <f t="shared" si="14"/>
        <v>1.0745555555555555</v>
      </c>
      <c r="AU82">
        <f t="shared" si="19"/>
        <v>108.96000000000001</v>
      </c>
      <c r="AV82" s="9">
        <f t="shared" si="15"/>
        <v>0.75666666666666671</v>
      </c>
    </row>
    <row r="83" spans="1:48" x14ac:dyDescent="0.3">
      <c r="A83" s="23">
        <v>75</v>
      </c>
      <c r="B83" t="s">
        <v>42</v>
      </c>
      <c r="C83" s="1">
        <v>12744</v>
      </c>
      <c r="D83" t="s">
        <v>128</v>
      </c>
      <c r="E83" t="s">
        <v>129</v>
      </c>
      <c r="F83" t="s">
        <v>130</v>
      </c>
      <c r="G83" s="2">
        <v>1987</v>
      </c>
      <c r="H83" s="2" t="s">
        <v>131</v>
      </c>
      <c r="I83" s="2" t="str">
        <f t="shared" si="16"/>
        <v>&gt;1980</v>
      </c>
      <c r="J83" s="2">
        <v>12</v>
      </c>
      <c r="K83" s="2">
        <f>MROUND(J83,10)</f>
        <v>10</v>
      </c>
      <c r="L83" s="2">
        <v>52</v>
      </c>
      <c r="M83" s="2">
        <v>40</v>
      </c>
      <c r="N83" s="2">
        <v>3</v>
      </c>
      <c r="O83" s="2">
        <v>0</v>
      </c>
      <c r="P83" s="2">
        <v>2</v>
      </c>
      <c r="Q83" s="2">
        <v>1</v>
      </c>
      <c r="R83" s="2">
        <v>10.7</v>
      </c>
      <c r="S83" s="2">
        <v>10.5</v>
      </c>
      <c r="T83" s="2">
        <v>11.4</v>
      </c>
      <c r="U83" s="2">
        <v>33.1</v>
      </c>
      <c r="V83" s="1">
        <v>374</v>
      </c>
      <c r="W83" s="2">
        <v>986.5</v>
      </c>
      <c r="X83" s="2">
        <v>167.8</v>
      </c>
      <c r="Y83" s="1">
        <v>705.6</v>
      </c>
      <c r="Z83" s="2" t="s">
        <v>70</v>
      </c>
      <c r="AA83" s="2">
        <v>4</v>
      </c>
      <c r="AB83" s="2">
        <v>0</v>
      </c>
      <c r="AD83" s="3" t="s">
        <v>126</v>
      </c>
      <c r="AE83" s="3" t="s">
        <v>115</v>
      </c>
      <c r="AF83" s="3" t="s">
        <v>50</v>
      </c>
      <c r="AG83" s="3" t="s">
        <v>51</v>
      </c>
      <c r="AH83" s="3" t="s">
        <v>75</v>
      </c>
      <c r="AI83" s="2">
        <v>0</v>
      </c>
      <c r="AJ83" s="2">
        <v>1</v>
      </c>
      <c r="AK83" s="2">
        <v>0</v>
      </c>
      <c r="AL83" s="2">
        <v>1</v>
      </c>
      <c r="AM83" s="2">
        <v>0</v>
      </c>
      <c r="AN83" s="2">
        <v>0</v>
      </c>
      <c r="AO83" s="2" t="s">
        <v>76</v>
      </c>
      <c r="AP83" s="1">
        <f>435.1+197</f>
        <v>632.1</v>
      </c>
      <c r="AQ83" s="1">
        <f>110.8+21.6</f>
        <v>132.4</v>
      </c>
      <c r="AR83" s="4">
        <f t="shared" si="17"/>
        <v>0.17318508829300197</v>
      </c>
      <c r="AS83" s="18">
        <f t="shared" si="18"/>
        <v>112.896</v>
      </c>
      <c r="AT83">
        <f t="shared" si="14"/>
        <v>0.85268882175226579</v>
      </c>
      <c r="AU83">
        <f t="shared" si="19"/>
        <v>90.8</v>
      </c>
      <c r="AV83" s="9">
        <f t="shared" si="15"/>
        <v>0.6858006042296072</v>
      </c>
    </row>
    <row r="84" spans="1:48" x14ac:dyDescent="0.3">
      <c r="A84" s="23">
        <v>341</v>
      </c>
      <c r="B84" t="s">
        <v>42</v>
      </c>
      <c r="C84" s="1">
        <v>11222</v>
      </c>
      <c r="D84" t="s">
        <v>128</v>
      </c>
      <c r="E84" t="s">
        <v>162</v>
      </c>
      <c r="F84" t="s">
        <v>163</v>
      </c>
      <c r="G84" s="2">
        <v>1987</v>
      </c>
      <c r="H84" s="2" t="s">
        <v>131</v>
      </c>
      <c r="I84" s="2" t="str">
        <f t="shared" si="16"/>
        <v>&gt;1980</v>
      </c>
      <c r="J84" s="2">
        <v>12</v>
      </c>
      <c r="K84" s="2">
        <f t="shared" si="13"/>
        <v>10</v>
      </c>
      <c r="L84" s="2">
        <v>51</v>
      </c>
      <c r="M84" s="2">
        <v>39</v>
      </c>
      <c r="N84" s="2">
        <v>3</v>
      </c>
      <c r="O84" s="2">
        <v>0</v>
      </c>
      <c r="P84" s="2">
        <v>2</v>
      </c>
      <c r="Q84" s="2">
        <v>1</v>
      </c>
      <c r="R84" s="2">
        <v>13.1</v>
      </c>
      <c r="S84" s="2">
        <v>13</v>
      </c>
      <c r="T84" s="2">
        <v>11.8</v>
      </c>
      <c r="U84" s="2">
        <v>32.700000000000003</v>
      </c>
      <c r="V84" s="1">
        <v>365</v>
      </c>
      <c r="W84" s="2">
        <v>1080</v>
      </c>
      <c r="X84" s="2">
        <v>391.4</v>
      </c>
      <c r="Y84" s="1">
        <v>799.2</v>
      </c>
      <c r="Z84" s="2" t="s">
        <v>70</v>
      </c>
      <c r="AA84" s="2">
        <v>4</v>
      </c>
      <c r="AB84" s="2">
        <v>0</v>
      </c>
      <c r="AD84" s="3" t="s">
        <v>164</v>
      </c>
      <c r="AE84" s="3" t="s">
        <v>92</v>
      </c>
      <c r="AF84" s="3" t="s">
        <v>50</v>
      </c>
      <c r="AG84" s="3" t="s">
        <v>165</v>
      </c>
      <c r="AH84" s="3" t="s">
        <v>81</v>
      </c>
      <c r="AI84" s="2">
        <v>0</v>
      </c>
      <c r="AJ84" s="2">
        <v>1</v>
      </c>
      <c r="AK84" s="2">
        <v>0</v>
      </c>
      <c r="AL84" s="2">
        <v>1</v>
      </c>
      <c r="AM84" s="2">
        <v>0</v>
      </c>
      <c r="AN84" s="2">
        <v>0</v>
      </c>
      <c r="AO84" s="2" t="s">
        <v>84</v>
      </c>
      <c r="AP84" s="1">
        <f>523.5+157.3</f>
        <v>680.8</v>
      </c>
      <c r="AQ84" s="1">
        <f>56.7+65.7</f>
        <v>122.4</v>
      </c>
      <c r="AR84" s="4">
        <f t="shared" si="17"/>
        <v>0.15239043824701198</v>
      </c>
      <c r="AS84" s="18">
        <f t="shared" si="18"/>
        <v>127.87200000000001</v>
      </c>
      <c r="AT84">
        <f t="shared" si="14"/>
        <v>1.0447058823529412</v>
      </c>
      <c r="AU84">
        <f t="shared" si="19"/>
        <v>88.53</v>
      </c>
      <c r="AV84" s="9">
        <f t="shared" si="15"/>
        <v>0.72328431372549018</v>
      </c>
    </row>
    <row r="85" spans="1:48" x14ac:dyDescent="0.3">
      <c r="A85" s="23">
        <v>147</v>
      </c>
      <c r="B85" t="s">
        <v>42</v>
      </c>
      <c r="C85" s="1">
        <v>11222</v>
      </c>
      <c r="D85" t="s">
        <v>54</v>
      </c>
      <c r="E85" t="s">
        <v>89</v>
      </c>
      <c r="F85" t="s">
        <v>176</v>
      </c>
      <c r="G85" s="2">
        <v>1986</v>
      </c>
      <c r="H85" s="2" t="s">
        <v>131</v>
      </c>
      <c r="I85" s="2" t="str">
        <f t="shared" si="16"/>
        <v>&gt;1980</v>
      </c>
      <c r="J85" s="2">
        <v>12</v>
      </c>
      <c r="K85" s="2">
        <f t="shared" si="13"/>
        <v>10</v>
      </c>
      <c r="L85" s="2">
        <v>64</v>
      </c>
      <c r="M85" s="2">
        <v>52</v>
      </c>
      <c r="N85" s="2">
        <v>3</v>
      </c>
      <c r="O85" s="2">
        <v>0</v>
      </c>
      <c r="P85" s="2">
        <v>2</v>
      </c>
      <c r="Q85" s="2">
        <v>1</v>
      </c>
      <c r="R85" s="2">
        <v>11</v>
      </c>
      <c r="S85" s="2">
        <v>11</v>
      </c>
      <c r="V85" s="1">
        <v>383</v>
      </c>
      <c r="W85" s="2">
        <v>1144.7</v>
      </c>
      <c r="X85" s="2">
        <v>210.1</v>
      </c>
      <c r="Y85" s="1">
        <v>854.7</v>
      </c>
      <c r="Z85" s="2" t="s">
        <v>70</v>
      </c>
      <c r="AA85" s="2">
        <v>10</v>
      </c>
      <c r="AB85" s="2">
        <v>6</v>
      </c>
      <c r="AD85" s="3" t="s">
        <v>126</v>
      </c>
      <c r="AE85" s="3" t="s">
        <v>115</v>
      </c>
      <c r="AF85" s="3" t="s">
        <v>50</v>
      </c>
      <c r="AG85" s="3" t="s">
        <v>65</v>
      </c>
      <c r="AH85" s="3" t="s">
        <v>75</v>
      </c>
      <c r="AI85" s="2">
        <v>0</v>
      </c>
      <c r="AJ85" s="2">
        <v>1</v>
      </c>
      <c r="AK85" s="2">
        <v>0</v>
      </c>
      <c r="AL85" s="2">
        <v>1</v>
      </c>
      <c r="AM85" s="2">
        <v>0</v>
      </c>
      <c r="AN85" s="2">
        <v>0</v>
      </c>
      <c r="AO85" s="2" t="s">
        <v>76</v>
      </c>
      <c r="AP85" s="1">
        <f>655.8</f>
        <v>655.8</v>
      </c>
      <c r="AQ85" s="1">
        <f>59.2+66.7</f>
        <v>125.9</v>
      </c>
      <c r="AR85" s="4">
        <f t="shared" si="17"/>
        <v>0.16105922988358706</v>
      </c>
      <c r="AS85" s="18">
        <f t="shared" si="18"/>
        <v>136.75200000000001</v>
      </c>
      <c r="AT85">
        <f t="shared" si="14"/>
        <v>1.0861953931691819</v>
      </c>
      <c r="AU85">
        <f t="shared" si="19"/>
        <v>118.04</v>
      </c>
      <c r="AV85" s="9">
        <f t="shared" si="15"/>
        <v>0.9375694996028594</v>
      </c>
    </row>
    <row r="86" spans="1:48" x14ac:dyDescent="0.3">
      <c r="A86" s="23">
        <v>142</v>
      </c>
      <c r="B86" t="s">
        <v>42</v>
      </c>
      <c r="C86" s="1">
        <v>11222</v>
      </c>
      <c r="D86" t="s">
        <v>132</v>
      </c>
      <c r="E86" t="s">
        <v>133</v>
      </c>
      <c r="F86" t="s">
        <v>134</v>
      </c>
      <c r="G86" s="2">
        <v>1987</v>
      </c>
      <c r="H86" s="2" t="s">
        <v>131</v>
      </c>
      <c r="I86" s="2" t="str">
        <f t="shared" si="16"/>
        <v>&gt;1980</v>
      </c>
      <c r="J86" s="2">
        <v>12</v>
      </c>
      <c r="K86" s="2">
        <f t="shared" si="13"/>
        <v>10</v>
      </c>
      <c r="L86" s="2">
        <v>52</v>
      </c>
      <c r="M86" s="2">
        <v>40</v>
      </c>
      <c r="N86" s="2">
        <v>3</v>
      </c>
      <c r="O86" s="2">
        <v>0</v>
      </c>
      <c r="P86" s="2">
        <v>2</v>
      </c>
      <c r="Q86" s="2">
        <v>1</v>
      </c>
      <c r="R86" s="2">
        <v>12.6</v>
      </c>
      <c r="S86" s="2">
        <v>12.5</v>
      </c>
      <c r="T86" s="2">
        <v>11.7</v>
      </c>
      <c r="U86" s="2">
        <v>33.200000000000003</v>
      </c>
      <c r="V86" s="1">
        <v>342</v>
      </c>
      <c r="W86" s="2">
        <v>987.3</v>
      </c>
      <c r="X86" s="2">
        <v>271.7</v>
      </c>
      <c r="Y86" s="1">
        <v>715.6</v>
      </c>
      <c r="Z86" s="2" t="s">
        <v>70</v>
      </c>
      <c r="AA86" s="2">
        <v>4</v>
      </c>
      <c r="AB86" s="2">
        <v>0</v>
      </c>
      <c r="AD86" s="3" t="s">
        <v>91</v>
      </c>
      <c r="AE86" s="3" t="s">
        <v>115</v>
      </c>
      <c r="AF86" s="3" t="s">
        <v>135</v>
      </c>
      <c r="AG86" s="3" t="s">
        <v>67</v>
      </c>
      <c r="AH86" s="3" t="s">
        <v>136</v>
      </c>
      <c r="AI86" s="2">
        <v>0</v>
      </c>
      <c r="AJ86" s="2">
        <v>1</v>
      </c>
      <c r="AK86" s="2">
        <v>0</v>
      </c>
      <c r="AL86" s="2">
        <v>0</v>
      </c>
      <c r="AM86" s="2">
        <v>0</v>
      </c>
      <c r="AN86" s="2">
        <v>0</v>
      </c>
      <c r="AO86" s="2" t="s">
        <v>84</v>
      </c>
      <c r="AP86" s="16">
        <v>815.8</v>
      </c>
      <c r="AQ86" s="16">
        <v>105.3</v>
      </c>
      <c r="AR86" s="4">
        <f t="shared" si="17"/>
        <v>0.11431983497991532</v>
      </c>
      <c r="AS86" s="18">
        <f t="shared" si="18"/>
        <v>114.49600000000001</v>
      </c>
      <c r="AT86">
        <f t="shared" si="14"/>
        <v>1.0873314339981008</v>
      </c>
      <c r="AU86">
        <f t="shared" si="19"/>
        <v>90.8</v>
      </c>
      <c r="AV86" s="9">
        <f t="shared" si="15"/>
        <v>0.86229819563152899</v>
      </c>
    </row>
    <row r="87" spans="1:48" x14ac:dyDescent="0.3">
      <c r="A87" s="23">
        <v>187</v>
      </c>
      <c r="B87" t="s">
        <v>42</v>
      </c>
      <c r="C87" s="1">
        <v>11222</v>
      </c>
      <c r="D87" t="s">
        <v>211</v>
      </c>
      <c r="E87" t="s">
        <v>212</v>
      </c>
      <c r="F87" t="s">
        <v>213</v>
      </c>
      <c r="G87" s="2">
        <v>1992</v>
      </c>
      <c r="H87" s="2" t="s">
        <v>167</v>
      </c>
      <c r="I87" s="2" t="str">
        <f t="shared" si="16"/>
        <v>&gt;1980</v>
      </c>
      <c r="J87" s="2">
        <v>12</v>
      </c>
      <c r="K87" s="2">
        <f t="shared" si="13"/>
        <v>10</v>
      </c>
      <c r="L87" s="2">
        <v>66</v>
      </c>
      <c r="M87" s="2">
        <v>54</v>
      </c>
      <c r="N87" s="2">
        <v>3</v>
      </c>
      <c r="O87" s="2">
        <v>0</v>
      </c>
      <c r="P87" s="2">
        <v>2</v>
      </c>
      <c r="Q87" s="2">
        <v>1</v>
      </c>
      <c r="R87" s="2">
        <v>11.8</v>
      </c>
      <c r="S87" s="2">
        <v>12</v>
      </c>
      <c r="V87" s="1">
        <v>552</v>
      </c>
      <c r="W87" s="2">
        <v>1349.5</v>
      </c>
      <c r="X87" s="2">
        <v>349</v>
      </c>
      <c r="Y87" s="1">
        <v>1083</v>
      </c>
      <c r="Z87" s="2" t="s">
        <v>70</v>
      </c>
      <c r="AA87" s="2">
        <v>12</v>
      </c>
      <c r="AB87" s="2">
        <v>8</v>
      </c>
      <c r="AD87" s="3" t="s">
        <v>91</v>
      </c>
      <c r="AE87" s="3" t="s">
        <v>92</v>
      </c>
      <c r="AF87" s="3" t="s">
        <v>50</v>
      </c>
      <c r="AG87" s="3" t="s">
        <v>74</v>
      </c>
      <c r="AH87" s="3" t="s">
        <v>75</v>
      </c>
      <c r="AI87" s="2">
        <v>0</v>
      </c>
      <c r="AJ87" s="2">
        <v>1</v>
      </c>
      <c r="AK87" s="2">
        <v>0</v>
      </c>
      <c r="AL87" s="2">
        <v>1</v>
      </c>
      <c r="AM87" s="2">
        <v>0</v>
      </c>
      <c r="AN87" s="2">
        <v>1</v>
      </c>
      <c r="AO87" s="2" t="s">
        <v>84</v>
      </c>
      <c r="AP87" s="1">
        <v>673</v>
      </c>
      <c r="AQ87" s="1">
        <f>72.7+60+12.2*2</f>
        <v>157.1</v>
      </c>
      <c r="AR87" s="4">
        <f t="shared" si="17"/>
        <v>0.18925430671003493</v>
      </c>
      <c r="AS87" s="18">
        <f t="shared" si="18"/>
        <v>173.28</v>
      </c>
      <c r="AT87">
        <f t="shared" si="14"/>
        <v>1.1029917250159136</v>
      </c>
      <c r="AU87">
        <f t="shared" si="19"/>
        <v>122.58</v>
      </c>
      <c r="AV87" s="9">
        <f t="shared" si="15"/>
        <v>0.78026734563971989</v>
      </c>
    </row>
    <row r="88" spans="1:48" x14ac:dyDescent="0.3">
      <c r="A88" s="23">
        <v>70</v>
      </c>
      <c r="B88" t="s">
        <v>42</v>
      </c>
      <c r="C88" s="1">
        <v>11222</v>
      </c>
      <c r="D88" t="s">
        <v>77</v>
      </c>
      <c r="E88" t="s">
        <v>78</v>
      </c>
      <c r="F88" t="s">
        <v>161</v>
      </c>
      <c r="G88" s="2">
        <v>1983</v>
      </c>
      <c r="H88" s="2" t="s">
        <v>131</v>
      </c>
      <c r="I88" s="2" t="str">
        <f t="shared" si="16"/>
        <v>&gt;1980</v>
      </c>
      <c r="J88" s="2">
        <v>12</v>
      </c>
      <c r="K88" s="2">
        <f t="shared" si="13"/>
        <v>10</v>
      </c>
      <c r="L88" s="2">
        <v>51</v>
      </c>
      <c r="M88" s="2">
        <v>39</v>
      </c>
      <c r="N88" s="2">
        <v>3</v>
      </c>
      <c r="O88" s="2">
        <v>0</v>
      </c>
      <c r="P88" s="2">
        <v>2</v>
      </c>
      <c r="Q88" s="2">
        <v>1</v>
      </c>
      <c r="R88" s="2">
        <v>10.6</v>
      </c>
      <c r="S88" s="2">
        <v>10.5</v>
      </c>
      <c r="T88" s="2">
        <v>9.9</v>
      </c>
      <c r="U88" s="2">
        <v>33.700000000000003</v>
      </c>
      <c r="V88" s="1">
        <v>329</v>
      </c>
      <c r="W88" s="2">
        <v>1003.8</v>
      </c>
      <c r="X88" s="2">
        <v>290.3</v>
      </c>
      <c r="Y88" s="1">
        <v>797.5</v>
      </c>
      <c r="Z88" s="2" t="s">
        <v>70</v>
      </c>
      <c r="AA88" s="2">
        <v>4</v>
      </c>
      <c r="AB88" s="2">
        <v>0</v>
      </c>
      <c r="AC88" s="2">
        <v>0</v>
      </c>
      <c r="AD88" s="3" t="s">
        <v>126</v>
      </c>
      <c r="AE88" s="3" t="s">
        <v>115</v>
      </c>
      <c r="AF88" s="3" t="s">
        <v>50</v>
      </c>
      <c r="AG88" s="3" t="s">
        <v>51</v>
      </c>
      <c r="AH88" s="3" t="s">
        <v>75</v>
      </c>
      <c r="AI88" s="2">
        <v>0</v>
      </c>
      <c r="AJ88" s="2">
        <v>1</v>
      </c>
      <c r="AK88" s="2">
        <v>0</v>
      </c>
      <c r="AL88" s="2">
        <v>0</v>
      </c>
      <c r="AM88" s="2">
        <v>0</v>
      </c>
      <c r="AN88" s="2">
        <v>0</v>
      </c>
      <c r="AO88" s="2" t="s">
        <v>84</v>
      </c>
      <c r="AP88" s="1">
        <f>396+151</f>
        <v>547</v>
      </c>
      <c r="AQ88" s="1">
        <f>90+64</f>
        <v>154</v>
      </c>
      <c r="AR88" s="4">
        <f t="shared" si="17"/>
        <v>0.21968616262482168</v>
      </c>
      <c r="AS88" s="18">
        <f t="shared" si="18"/>
        <v>127.6</v>
      </c>
      <c r="AT88">
        <f t="shared" si="14"/>
        <v>0.82857142857142851</v>
      </c>
      <c r="AU88">
        <f t="shared" si="19"/>
        <v>88.53</v>
      </c>
      <c r="AV88" s="9">
        <f t="shared" si="15"/>
        <v>0.57487012987012986</v>
      </c>
    </row>
    <row r="89" spans="1:48" x14ac:dyDescent="0.3">
      <c r="A89" s="23">
        <v>172</v>
      </c>
      <c r="B89" t="s">
        <v>42</v>
      </c>
      <c r="C89" s="1">
        <v>11222</v>
      </c>
      <c r="D89" t="s">
        <v>77</v>
      </c>
      <c r="E89" t="s">
        <v>78</v>
      </c>
      <c r="F89" t="s">
        <v>79</v>
      </c>
      <c r="G89" s="2">
        <v>1971</v>
      </c>
      <c r="H89" s="2" t="s">
        <v>69</v>
      </c>
      <c r="I89" s="2" t="str">
        <f t="shared" si="16"/>
        <v>1950-1980</v>
      </c>
      <c r="J89" s="2">
        <v>12</v>
      </c>
      <c r="K89" s="2">
        <f t="shared" si="13"/>
        <v>10</v>
      </c>
      <c r="L89" s="2">
        <v>60</v>
      </c>
      <c r="M89" s="2">
        <v>48</v>
      </c>
      <c r="N89" s="2">
        <v>3</v>
      </c>
      <c r="O89" s="2">
        <v>0</v>
      </c>
      <c r="P89" s="2">
        <v>2</v>
      </c>
      <c r="Q89" s="2">
        <v>1</v>
      </c>
      <c r="R89" s="2">
        <v>12</v>
      </c>
      <c r="S89" s="2">
        <v>12</v>
      </c>
      <c r="V89" s="1">
        <v>289</v>
      </c>
      <c r="W89" s="2">
        <v>929.6</v>
      </c>
      <c r="X89" s="2">
        <v>311.39999999999998</v>
      </c>
      <c r="Y89" s="1">
        <v>713</v>
      </c>
      <c r="Z89" s="2" t="s">
        <v>70</v>
      </c>
      <c r="AA89" s="2">
        <v>4</v>
      </c>
      <c r="AB89" s="2">
        <v>0</v>
      </c>
      <c r="AD89" s="3" t="s">
        <v>91</v>
      </c>
      <c r="AE89" s="3" t="s">
        <v>92</v>
      </c>
      <c r="AF89" s="3" t="s">
        <v>50</v>
      </c>
      <c r="AG89" s="3" t="s">
        <v>74</v>
      </c>
      <c r="AH89" s="3" t="s">
        <v>75</v>
      </c>
      <c r="AI89" s="2">
        <v>1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 t="s">
        <v>76</v>
      </c>
      <c r="AP89" s="1">
        <f>384+133</f>
        <v>517</v>
      </c>
      <c r="AQ89" s="1">
        <f>86+72</f>
        <v>158</v>
      </c>
      <c r="AR89" s="4">
        <f t="shared" si="17"/>
        <v>0.23407407407407407</v>
      </c>
      <c r="AS89" s="18">
        <f t="shared" si="18"/>
        <v>114.08</v>
      </c>
      <c r="AT89">
        <f t="shared" si="14"/>
        <v>0.72202531645569623</v>
      </c>
      <c r="AU89">
        <f t="shared" si="19"/>
        <v>108.96000000000001</v>
      </c>
      <c r="AV89" s="9">
        <f t="shared" si="15"/>
        <v>0.689620253164557</v>
      </c>
    </row>
    <row r="90" spans="1:48" x14ac:dyDescent="0.3">
      <c r="A90" s="23">
        <v>375</v>
      </c>
      <c r="B90" t="s">
        <v>42</v>
      </c>
      <c r="C90" s="1">
        <v>11222</v>
      </c>
      <c r="D90" t="s">
        <v>77</v>
      </c>
      <c r="E90" t="s">
        <v>137</v>
      </c>
      <c r="F90" t="s">
        <v>138</v>
      </c>
      <c r="G90" s="2">
        <v>1985</v>
      </c>
      <c r="H90" s="2" t="s">
        <v>131</v>
      </c>
      <c r="I90" s="2" t="str">
        <f t="shared" si="16"/>
        <v>&gt;1980</v>
      </c>
      <c r="J90" s="2">
        <v>12</v>
      </c>
      <c r="K90" s="2">
        <f t="shared" si="13"/>
        <v>10</v>
      </c>
      <c r="L90" s="2">
        <v>60</v>
      </c>
      <c r="M90" s="2">
        <v>48</v>
      </c>
      <c r="N90" s="2">
        <v>3</v>
      </c>
      <c r="O90" s="2">
        <v>0</v>
      </c>
      <c r="P90" s="2">
        <v>2</v>
      </c>
      <c r="Q90" s="2">
        <v>1</v>
      </c>
      <c r="R90" s="2">
        <v>12</v>
      </c>
      <c r="S90" s="2">
        <v>12</v>
      </c>
      <c r="T90" s="2">
        <v>10.1</v>
      </c>
      <c r="U90" s="2">
        <v>33.299999999999997</v>
      </c>
      <c r="V90" s="1">
        <v>332</v>
      </c>
      <c r="W90" s="2">
        <v>1021.8</v>
      </c>
      <c r="X90" s="2">
        <v>301.89999999999998</v>
      </c>
      <c r="Y90" s="1">
        <v>758</v>
      </c>
      <c r="Z90" s="2" t="s">
        <v>70</v>
      </c>
      <c r="AA90" s="2">
        <v>4</v>
      </c>
      <c r="AB90" s="2">
        <v>0</v>
      </c>
      <c r="AC90" s="2">
        <v>0</v>
      </c>
      <c r="AD90" s="3" t="s">
        <v>126</v>
      </c>
      <c r="AE90" s="3" t="s">
        <v>115</v>
      </c>
      <c r="AF90" s="3" t="s">
        <v>50</v>
      </c>
      <c r="AG90" s="3" t="s">
        <v>139</v>
      </c>
      <c r="AH90" s="3" t="s">
        <v>81</v>
      </c>
      <c r="AI90" s="2">
        <v>0</v>
      </c>
      <c r="AJ90" s="2">
        <v>1</v>
      </c>
      <c r="AK90" s="2">
        <v>0</v>
      </c>
      <c r="AL90" s="2">
        <v>0</v>
      </c>
      <c r="AM90" s="2">
        <v>0</v>
      </c>
      <c r="AN90" s="2">
        <v>0</v>
      </c>
      <c r="AO90" s="2" t="s">
        <v>76</v>
      </c>
      <c r="AP90" s="1">
        <v>575</v>
      </c>
      <c r="AQ90" s="1">
        <f>32.8+61.3</f>
        <v>94.1</v>
      </c>
      <c r="AR90" s="4">
        <f t="shared" si="17"/>
        <v>0.14063667613211775</v>
      </c>
      <c r="AS90" s="18">
        <f t="shared" si="18"/>
        <v>121.28</v>
      </c>
      <c r="AT90">
        <f t="shared" si="14"/>
        <v>1.2888416578108397</v>
      </c>
      <c r="AU90">
        <f t="shared" si="19"/>
        <v>108.96000000000001</v>
      </c>
      <c r="AV90" s="9">
        <f t="shared" si="15"/>
        <v>1.1579171094580236</v>
      </c>
    </row>
    <row r="91" spans="1:48" x14ac:dyDescent="0.3">
      <c r="A91" s="23">
        <v>58</v>
      </c>
      <c r="B91" t="s">
        <v>42</v>
      </c>
      <c r="C91" s="1">
        <v>11222</v>
      </c>
      <c r="D91" t="s">
        <v>106</v>
      </c>
      <c r="E91" t="s">
        <v>107</v>
      </c>
      <c r="F91" t="s">
        <v>108</v>
      </c>
      <c r="G91" s="2">
        <v>1983</v>
      </c>
      <c r="H91" s="2" t="s">
        <v>131</v>
      </c>
      <c r="I91" s="2" t="str">
        <f t="shared" si="16"/>
        <v>&gt;1980</v>
      </c>
      <c r="J91" s="2">
        <v>8</v>
      </c>
      <c r="K91" s="2">
        <f t="shared" si="13"/>
        <v>10</v>
      </c>
      <c r="L91" s="2">
        <v>44</v>
      </c>
      <c r="M91" s="2">
        <v>36</v>
      </c>
      <c r="N91" s="2">
        <v>2</v>
      </c>
      <c r="O91" s="2">
        <v>0</v>
      </c>
      <c r="P91" s="2">
        <v>2</v>
      </c>
      <c r="Q91" s="2">
        <v>1</v>
      </c>
      <c r="R91" s="2">
        <v>8.1999999999999993</v>
      </c>
      <c r="S91" s="2">
        <v>8</v>
      </c>
      <c r="V91" s="1">
        <v>391</v>
      </c>
      <c r="W91" s="2">
        <v>920.3</v>
      </c>
      <c r="X91" s="2">
        <v>169</v>
      </c>
      <c r="Y91" s="1">
        <v>580.4</v>
      </c>
      <c r="Z91" s="2" t="s">
        <v>70</v>
      </c>
      <c r="AA91" s="2">
        <v>4</v>
      </c>
      <c r="AB91" s="2">
        <v>0</v>
      </c>
      <c r="AD91" s="3" t="s">
        <v>126</v>
      </c>
      <c r="AE91" s="3" t="s">
        <v>115</v>
      </c>
      <c r="AF91" s="3" t="s">
        <v>50</v>
      </c>
      <c r="AG91" s="3" t="s">
        <v>74</v>
      </c>
      <c r="AH91" s="3" t="s">
        <v>75</v>
      </c>
      <c r="AI91" s="2">
        <v>0</v>
      </c>
      <c r="AJ91" s="2">
        <v>1</v>
      </c>
      <c r="AK91" s="2">
        <v>0</v>
      </c>
      <c r="AL91" s="2">
        <v>1</v>
      </c>
      <c r="AM91" s="2">
        <v>0</v>
      </c>
      <c r="AN91" s="2">
        <v>1</v>
      </c>
      <c r="AO91" s="2" t="s">
        <v>61</v>
      </c>
      <c r="AR91" s="4"/>
      <c r="AS91" s="18" t="str">
        <f t="shared" si="18"/>
        <v/>
      </c>
      <c r="AT91" t="str">
        <f t="shared" si="14"/>
        <v/>
      </c>
      <c r="AU91" t="str">
        <f>IF(AQ91&lt;&gt;"",2.3*M91,"")</f>
        <v/>
      </c>
      <c r="AV91" s="9" t="str">
        <f t="shared" si="15"/>
        <v/>
      </c>
    </row>
    <row r="92" spans="1:48" x14ac:dyDescent="0.3">
      <c r="A92" s="23">
        <v>52</v>
      </c>
      <c r="B92" t="s">
        <v>42</v>
      </c>
      <c r="C92" s="1">
        <v>11222</v>
      </c>
      <c r="D92" t="s">
        <v>106</v>
      </c>
      <c r="E92" t="s">
        <v>107</v>
      </c>
      <c r="F92" t="s">
        <v>108</v>
      </c>
      <c r="G92" s="2">
        <v>1977</v>
      </c>
      <c r="H92" s="2" t="s">
        <v>69</v>
      </c>
      <c r="I92" s="2" t="str">
        <f t="shared" si="16"/>
        <v>1950-1980</v>
      </c>
      <c r="J92" s="2">
        <v>8</v>
      </c>
      <c r="K92" s="2">
        <f t="shared" si="13"/>
        <v>10</v>
      </c>
      <c r="L92" s="2">
        <v>44</v>
      </c>
      <c r="M92" s="2">
        <v>36</v>
      </c>
      <c r="N92" s="2">
        <v>2</v>
      </c>
      <c r="O92" s="2">
        <v>0</v>
      </c>
      <c r="P92" s="2">
        <v>2</v>
      </c>
      <c r="Q92" s="2">
        <v>1</v>
      </c>
      <c r="R92" s="2">
        <v>6.5</v>
      </c>
      <c r="S92" s="2">
        <v>6.5</v>
      </c>
      <c r="T92" s="2">
        <v>12.3</v>
      </c>
      <c r="U92" s="2">
        <v>35.6</v>
      </c>
      <c r="V92" s="1">
        <v>393</v>
      </c>
      <c r="W92" s="2">
        <v>941.6</v>
      </c>
      <c r="X92" s="2">
        <v>220.6</v>
      </c>
      <c r="Y92" s="1">
        <v>632.79999999999995</v>
      </c>
      <c r="Z92" s="2" t="s">
        <v>70</v>
      </c>
      <c r="AA92" s="2">
        <v>12</v>
      </c>
      <c r="AB92" s="2">
        <v>8</v>
      </c>
      <c r="AC92" s="2">
        <v>0</v>
      </c>
      <c r="AD92" s="3" t="s">
        <v>91</v>
      </c>
      <c r="AE92" s="3" t="s">
        <v>109</v>
      </c>
      <c r="AF92" s="3" t="s">
        <v>50</v>
      </c>
      <c r="AG92" s="3" t="s">
        <v>74</v>
      </c>
      <c r="AH92" s="3" t="s">
        <v>75</v>
      </c>
      <c r="AI92" s="2">
        <v>1</v>
      </c>
      <c r="AJ92" s="2">
        <v>0</v>
      </c>
      <c r="AK92" s="2">
        <v>0</v>
      </c>
      <c r="AL92" s="2">
        <v>0</v>
      </c>
      <c r="AM92" s="2">
        <v>1</v>
      </c>
      <c r="AN92" s="2">
        <v>1</v>
      </c>
      <c r="AO92" s="2" t="s">
        <v>61</v>
      </c>
      <c r="AP92" s="1">
        <f>360.8+135.7</f>
        <v>496.5</v>
      </c>
      <c r="AQ92" s="1">
        <f>44.5+6.8+43.5</f>
        <v>94.8</v>
      </c>
      <c r="AR92" s="4">
        <f t="shared" ref="AR92:AR101" si="20">AQ92/(AP92+AQ92)</f>
        <v>0.16032470826991377</v>
      </c>
      <c r="AS92" s="18">
        <f t="shared" si="18"/>
        <v>101.24799999999999</v>
      </c>
      <c r="AT92">
        <f t="shared" si="14"/>
        <v>1.0680168776371308</v>
      </c>
      <c r="AU92">
        <f t="shared" ref="AU92:AU101" si="21">IF(AQ92&lt;&gt;"",2.27*M92,"")</f>
        <v>81.72</v>
      </c>
      <c r="AV92" s="9">
        <f t="shared" si="15"/>
        <v>0.86202531645569624</v>
      </c>
    </row>
    <row r="93" spans="1:48" x14ac:dyDescent="0.3">
      <c r="A93" s="23">
        <v>59</v>
      </c>
      <c r="B93" t="s">
        <v>42</v>
      </c>
      <c r="C93" s="1">
        <v>11222</v>
      </c>
      <c r="D93" t="s">
        <v>106</v>
      </c>
      <c r="E93" t="s">
        <v>199</v>
      </c>
      <c r="F93" t="s">
        <v>200</v>
      </c>
      <c r="G93" s="2">
        <v>1982</v>
      </c>
      <c r="H93" s="2" t="s">
        <v>131</v>
      </c>
      <c r="I93" s="2" t="str">
        <f t="shared" si="16"/>
        <v>&gt;1980</v>
      </c>
      <c r="J93" s="2">
        <v>12</v>
      </c>
      <c r="K93" s="2">
        <f t="shared" si="13"/>
        <v>10</v>
      </c>
      <c r="L93" s="2">
        <v>64</v>
      </c>
      <c r="M93" s="2">
        <v>52</v>
      </c>
      <c r="N93" s="2">
        <v>3</v>
      </c>
      <c r="O93" s="2">
        <v>0</v>
      </c>
      <c r="P93" s="2">
        <v>2</v>
      </c>
      <c r="Q93" s="2">
        <v>1</v>
      </c>
      <c r="R93" s="2">
        <v>12</v>
      </c>
      <c r="S93" s="2">
        <v>12</v>
      </c>
      <c r="V93" s="1">
        <v>462</v>
      </c>
      <c r="W93" s="2">
        <v>1179.0999999999999</v>
      </c>
      <c r="X93" s="2">
        <v>59.2</v>
      </c>
      <c r="Y93" s="1">
        <v>940.6</v>
      </c>
      <c r="Z93" s="2" t="s">
        <v>70</v>
      </c>
      <c r="AA93" s="2">
        <v>4</v>
      </c>
      <c r="AB93" s="2">
        <v>0</v>
      </c>
      <c r="AD93" s="3" t="s">
        <v>91</v>
      </c>
      <c r="AE93" s="3" t="s">
        <v>92</v>
      </c>
      <c r="AF93" s="3" t="s">
        <v>50</v>
      </c>
      <c r="AG93" s="3" t="s">
        <v>60</v>
      </c>
      <c r="AH93" s="3" t="s">
        <v>75</v>
      </c>
      <c r="AI93" s="2">
        <v>0</v>
      </c>
      <c r="AJ93" s="2">
        <v>1</v>
      </c>
      <c r="AK93" s="2">
        <v>0</v>
      </c>
      <c r="AL93" s="2">
        <v>1</v>
      </c>
      <c r="AM93" s="2">
        <v>0</v>
      </c>
      <c r="AN93" s="2" t="s">
        <v>152</v>
      </c>
      <c r="AO93" s="2" t="s">
        <v>61</v>
      </c>
      <c r="AP93" s="1">
        <f>623</f>
        <v>623</v>
      </c>
      <c r="AQ93" s="1">
        <f>96+84</f>
        <v>180</v>
      </c>
      <c r="AR93" s="4">
        <f t="shared" si="20"/>
        <v>0.22415940224159403</v>
      </c>
      <c r="AS93" s="18">
        <f t="shared" si="18"/>
        <v>150.49600000000001</v>
      </c>
      <c r="AT93">
        <f t="shared" si="14"/>
        <v>0.83608888888888899</v>
      </c>
      <c r="AU93">
        <f t="shared" si="21"/>
        <v>118.04</v>
      </c>
      <c r="AV93" s="9">
        <f t="shared" si="15"/>
        <v>0.65577777777777779</v>
      </c>
    </row>
    <row r="94" spans="1:48" x14ac:dyDescent="0.3">
      <c r="A94" s="23">
        <v>36</v>
      </c>
      <c r="B94" t="s">
        <v>42</v>
      </c>
      <c r="C94" s="1">
        <v>11222</v>
      </c>
      <c r="D94" t="s">
        <v>43</v>
      </c>
      <c r="E94" t="s">
        <v>148</v>
      </c>
      <c r="F94" t="s">
        <v>149</v>
      </c>
      <c r="G94" s="2">
        <v>1988</v>
      </c>
      <c r="H94" s="2" t="s">
        <v>131</v>
      </c>
      <c r="I94" s="2" t="str">
        <f t="shared" si="16"/>
        <v>&gt;1980</v>
      </c>
      <c r="J94" s="2">
        <v>8</v>
      </c>
      <c r="K94" s="2">
        <f t="shared" si="13"/>
        <v>10</v>
      </c>
      <c r="L94" s="2">
        <v>34</v>
      </c>
      <c r="M94" s="2">
        <v>26</v>
      </c>
      <c r="N94" s="2">
        <v>2</v>
      </c>
      <c r="O94" s="2">
        <v>0</v>
      </c>
      <c r="P94" s="2">
        <v>2</v>
      </c>
      <c r="Q94" s="2">
        <v>1</v>
      </c>
      <c r="R94" s="2">
        <v>8.1999999999999993</v>
      </c>
      <c r="S94" s="2">
        <v>8</v>
      </c>
      <c r="T94" s="2">
        <v>11.7</v>
      </c>
      <c r="U94" s="2">
        <v>33.1</v>
      </c>
      <c r="V94" s="1">
        <v>374</v>
      </c>
      <c r="W94" s="2">
        <v>785</v>
      </c>
      <c r="X94" s="2">
        <v>235.4</v>
      </c>
      <c r="Y94" s="1">
        <v>785</v>
      </c>
      <c r="Z94" s="2" t="s">
        <v>70</v>
      </c>
      <c r="AA94" s="2">
        <v>12</v>
      </c>
      <c r="AB94" s="2">
        <v>8</v>
      </c>
      <c r="AD94" s="3" t="s">
        <v>126</v>
      </c>
      <c r="AE94" s="3" t="s">
        <v>115</v>
      </c>
      <c r="AF94" s="3" t="s">
        <v>150</v>
      </c>
      <c r="AG94" s="3" t="s">
        <v>51</v>
      </c>
      <c r="AH94" s="3" t="s">
        <v>151</v>
      </c>
      <c r="AI94" s="2">
        <v>0</v>
      </c>
      <c r="AJ94" s="2">
        <v>1</v>
      </c>
      <c r="AK94" s="2">
        <v>0</v>
      </c>
      <c r="AL94" s="2">
        <v>1</v>
      </c>
      <c r="AM94" s="2">
        <v>0</v>
      </c>
      <c r="AN94" s="2" t="s">
        <v>152</v>
      </c>
      <c r="AO94" s="2" t="s">
        <v>84</v>
      </c>
      <c r="AP94" s="1">
        <f>245+156</f>
        <v>401</v>
      </c>
      <c r="AQ94" s="1">
        <f>105</f>
        <v>105</v>
      </c>
      <c r="AR94" s="4">
        <f t="shared" si="20"/>
        <v>0.2075098814229249</v>
      </c>
      <c r="AS94" s="18">
        <f t="shared" si="18"/>
        <v>125.6</v>
      </c>
      <c r="AT94">
        <f t="shared" si="14"/>
        <v>1.196190476190476</v>
      </c>
      <c r="AU94">
        <f t="shared" si="21"/>
        <v>59.02</v>
      </c>
      <c r="AV94" s="9">
        <f t="shared" si="15"/>
        <v>0.56209523809523809</v>
      </c>
    </row>
    <row r="95" spans="1:48" x14ac:dyDescent="0.3">
      <c r="A95" s="23">
        <v>93</v>
      </c>
      <c r="B95" t="s">
        <v>42</v>
      </c>
      <c r="C95" s="1">
        <v>11222</v>
      </c>
      <c r="D95" t="s">
        <v>43</v>
      </c>
      <c r="E95" t="s">
        <v>104</v>
      </c>
      <c r="F95" t="s">
        <v>157</v>
      </c>
      <c r="G95" s="2">
        <v>1972</v>
      </c>
      <c r="H95" s="2" t="s">
        <v>69</v>
      </c>
      <c r="I95" s="2" t="str">
        <f t="shared" si="16"/>
        <v>1950-1980</v>
      </c>
      <c r="J95" s="2">
        <v>18</v>
      </c>
      <c r="K95" s="2">
        <f t="shared" si="13"/>
        <v>20</v>
      </c>
      <c r="L95" s="2">
        <v>72</v>
      </c>
      <c r="M95" s="2">
        <v>54</v>
      </c>
      <c r="N95" s="2">
        <v>3</v>
      </c>
      <c r="O95" s="2">
        <v>0</v>
      </c>
      <c r="P95" s="2">
        <v>2</v>
      </c>
      <c r="Q95" s="2">
        <v>1</v>
      </c>
      <c r="R95" s="2">
        <v>12</v>
      </c>
      <c r="S95" s="2">
        <v>12</v>
      </c>
      <c r="T95" s="2">
        <v>11.5</v>
      </c>
      <c r="U95" s="2">
        <v>33</v>
      </c>
      <c r="V95" s="1">
        <v>361</v>
      </c>
      <c r="W95" s="2">
        <v>1131.3</v>
      </c>
      <c r="X95" s="2">
        <v>337.9</v>
      </c>
      <c r="Y95" s="1">
        <v>793.4</v>
      </c>
      <c r="Z95" s="2" t="s">
        <v>70</v>
      </c>
      <c r="AA95" s="2">
        <v>4</v>
      </c>
      <c r="AB95" s="2">
        <v>0</v>
      </c>
      <c r="AD95" s="3" t="s">
        <v>126</v>
      </c>
      <c r="AE95" s="3" t="s">
        <v>92</v>
      </c>
      <c r="AF95" s="3" t="s">
        <v>50</v>
      </c>
      <c r="AG95" s="3" t="s">
        <v>60</v>
      </c>
      <c r="AH95" s="3" t="s">
        <v>75</v>
      </c>
      <c r="AI95" s="2">
        <v>0</v>
      </c>
      <c r="AJ95" s="2">
        <v>1</v>
      </c>
      <c r="AK95" s="2">
        <v>0</v>
      </c>
      <c r="AL95" s="2">
        <v>0</v>
      </c>
      <c r="AM95" s="2">
        <v>0</v>
      </c>
      <c r="AN95" s="2" t="s">
        <v>152</v>
      </c>
      <c r="AO95" s="2" t="s">
        <v>84</v>
      </c>
      <c r="AP95" s="1">
        <f>155.6+319.7+18</f>
        <v>493.29999999999995</v>
      </c>
      <c r="AQ95" s="1">
        <f>81+68.4</f>
        <v>149.4</v>
      </c>
      <c r="AR95" s="4">
        <f t="shared" si="20"/>
        <v>0.23245682277890153</v>
      </c>
      <c r="AS95" s="18">
        <f t="shared" si="18"/>
        <v>126.944</v>
      </c>
      <c r="AT95">
        <f t="shared" si="14"/>
        <v>0.84969210174029453</v>
      </c>
      <c r="AU95">
        <f t="shared" si="21"/>
        <v>122.58</v>
      </c>
      <c r="AV95" s="9">
        <f t="shared" si="15"/>
        <v>0.82048192771084338</v>
      </c>
    </row>
    <row r="96" spans="1:48" x14ac:dyDescent="0.3">
      <c r="A96" s="23">
        <v>179</v>
      </c>
      <c r="B96" t="s">
        <v>42</v>
      </c>
      <c r="C96" s="1">
        <v>11222</v>
      </c>
      <c r="D96" t="s">
        <v>43</v>
      </c>
      <c r="E96" t="s">
        <v>104</v>
      </c>
      <c r="F96" t="s">
        <v>157</v>
      </c>
      <c r="G96" s="2">
        <v>1992</v>
      </c>
      <c r="H96" s="2" t="s">
        <v>167</v>
      </c>
      <c r="I96" s="2" t="str">
        <f t="shared" si="16"/>
        <v>&gt;1980</v>
      </c>
      <c r="J96" s="2">
        <v>12</v>
      </c>
      <c r="K96" s="2">
        <f t="shared" si="13"/>
        <v>10</v>
      </c>
      <c r="L96" s="2">
        <v>52</v>
      </c>
      <c r="M96" s="2">
        <v>40</v>
      </c>
      <c r="N96" s="2">
        <v>3</v>
      </c>
      <c r="O96" s="2">
        <v>0</v>
      </c>
      <c r="P96" s="2">
        <v>2</v>
      </c>
      <c r="Q96" s="2">
        <v>1</v>
      </c>
      <c r="R96" s="2">
        <v>12.2</v>
      </c>
      <c r="S96" s="2">
        <v>12</v>
      </c>
      <c r="T96" s="2">
        <v>11.7</v>
      </c>
      <c r="U96" s="2">
        <v>33.1</v>
      </c>
      <c r="V96" s="1">
        <v>387</v>
      </c>
      <c r="W96" s="2">
        <v>1107.3</v>
      </c>
      <c r="X96" s="2">
        <v>399.7</v>
      </c>
      <c r="Y96" s="1">
        <v>822</v>
      </c>
      <c r="Z96" s="2" t="s">
        <v>70</v>
      </c>
      <c r="AA96" s="2">
        <v>4</v>
      </c>
      <c r="AB96" s="2">
        <v>0</v>
      </c>
      <c r="AD96" s="3" t="s">
        <v>91</v>
      </c>
      <c r="AE96" s="3" t="s">
        <v>115</v>
      </c>
      <c r="AF96" s="3" t="s">
        <v>139</v>
      </c>
      <c r="AG96" s="3" t="s">
        <v>51</v>
      </c>
      <c r="AH96" s="3" t="s">
        <v>100</v>
      </c>
      <c r="AI96" s="2">
        <v>0</v>
      </c>
      <c r="AJ96" s="2">
        <v>1</v>
      </c>
      <c r="AK96" s="2">
        <v>0</v>
      </c>
      <c r="AL96" s="2">
        <v>1</v>
      </c>
      <c r="AM96" s="2">
        <v>0</v>
      </c>
      <c r="AN96" s="2" t="s">
        <v>152</v>
      </c>
      <c r="AO96" s="2" t="s">
        <v>123</v>
      </c>
      <c r="AP96" s="1">
        <f>654.9+22.9</f>
        <v>677.8</v>
      </c>
      <c r="AQ96" s="1">
        <f>18.9+74.9+19.89+75.6</f>
        <v>189.29000000000002</v>
      </c>
      <c r="AR96" s="4">
        <f t="shared" si="20"/>
        <v>0.21830490491183158</v>
      </c>
      <c r="AS96" s="18">
        <f t="shared" si="18"/>
        <v>131.52000000000001</v>
      </c>
      <c r="AT96">
        <f t="shared" si="14"/>
        <v>0.69480691003222561</v>
      </c>
      <c r="AU96">
        <f t="shared" si="21"/>
        <v>90.8</v>
      </c>
      <c r="AV96" s="9">
        <f t="shared" si="15"/>
        <v>0.47968725236409737</v>
      </c>
    </row>
    <row r="97" spans="1:49" x14ac:dyDescent="0.3">
      <c r="A97" s="23">
        <v>105</v>
      </c>
      <c r="B97" t="s">
        <v>42</v>
      </c>
      <c r="C97" s="1">
        <v>11222</v>
      </c>
      <c r="D97" t="s">
        <v>43</v>
      </c>
      <c r="E97" t="s">
        <v>104</v>
      </c>
      <c r="F97" t="s">
        <v>157</v>
      </c>
      <c r="G97" s="2">
        <v>1974</v>
      </c>
      <c r="H97" s="2" t="s">
        <v>69</v>
      </c>
      <c r="I97" s="2" t="str">
        <f t="shared" si="16"/>
        <v>1950-1980</v>
      </c>
      <c r="J97" s="2">
        <v>15</v>
      </c>
      <c r="K97" s="2">
        <f t="shared" si="13"/>
        <v>20</v>
      </c>
      <c r="L97" s="2">
        <v>66</v>
      </c>
      <c r="M97" s="2">
        <v>51</v>
      </c>
      <c r="N97" s="2">
        <v>3</v>
      </c>
      <c r="O97" s="2">
        <v>0</v>
      </c>
      <c r="P97" s="2">
        <v>2</v>
      </c>
      <c r="Q97" s="2">
        <v>1</v>
      </c>
      <c r="R97" s="2">
        <v>11.1</v>
      </c>
      <c r="S97" s="2">
        <v>11</v>
      </c>
      <c r="T97" s="2">
        <v>11.3</v>
      </c>
      <c r="U97" s="2">
        <v>33.299999999999997</v>
      </c>
      <c r="V97" s="1">
        <v>376.3</v>
      </c>
      <c r="W97" s="2">
        <v>1330</v>
      </c>
      <c r="X97" s="2">
        <v>316.7</v>
      </c>
      <c r="Y97" s="1">
        <v>877.9</v>
      </c>
      <c r="Z97" s="2" t="s">
        <v>70</v>
      </c>
      <c r="AA97" s="2">
        <v>4</v>
      </c>
      <c r="AB97" s="2">
        <v>0</v>
      </c>
      <c r="AD97" s="3" t="s">
        <v>126</v>
      </c>
      <c r="AE97" s="3" t="s">
        <v>115</v>
      </c>
      <c r="AF97" s="3" t="s">
        <v>50</v>
      </c>
      <c r="AG97" s="3" t="s">
        <v>51</v>
      </c>
      <c r="AH97" s="3" t="s">
        <v>127</v>
      </c>
      <c r="AI97" s="2">
        <v>0</v>
      </c>
      <c r="AJ97" s="2">
        <v>1</v>
      </c>
      <c r="AK97" s="2">
        <v>0</v>
      </c>
      <c r="AL97" s="2">
        <v>0</v>
      </c>
      <c r="AM97" s="2">
        <v>0</v>
      </c>
      <c r="AN97" s="2">
        <v>0</v>
      </c>
      <c r="AO97" s="2" t="s">
        <v>123</v>
      </c>
      <c r="AP97" s="1">
        <v>574.79999999999995</v>
      </c>
      <c r="AQ97" s="1">
        <v>137.4</v>
      </c>
      <c r="AR97" s="4">
        <f t="shared" si="20"/>
        <v>0.19292333614153331</v>
      </c>
      <c r="AS97" s="18">
        <f t="shared" si="18"/>
        <v>140.464</v>
      </c>
      <c r="AT97">
        <f t="shared" si="14"/>
        <v>1.0222998544395925</v>
      </c>
      <c r="AU97">
        <f t="shared" si="21"/>
        <v>115.77</v>
      </c>
      <c r="AV97" s="9">
        <f t="shared" si="15"/>
        <v>0.84257641921397375</v>
      </c>
    </row>
    <row r="98" spans="1:49" x14ac:dyDescent="0.3">
      <c r="A98" s="23">
        <v>106</v>
      </c>
      <c r="B98" t="s">
        <v>42</v>
      </c>
      <c r="C98" s="1">
        <v>11222</v>
      </c>
      <c r="D98" t="s">
        <v>43</v>
      </c>
      <c r="E98" t="s">
        <v>104</v>
      </c>
      <c r="F98" t="s">
        <v>157</v>
      </c>
      <c r="G98" s="2">
        <v>1974</v>
      </c>
      <c r="H98" s="2" t="s">
        <v>69</v>
      </c>
      <c r="I98" s="2" t="str">
        <f t="shared" si="16"/>
        <v>1950-1980</v>
      </c>
      <c r="J98" s="2">
        <v>15</v>
      </c>
      <c r="K98" s="2">
        <f t="shared" si="13"/>
        <v>20</v>
      </c>
      <c r="L98" s="2">
        <v>66</v>
      </c>
      <c r="M98" s="2">
        <v>51</v>
      </c>
      <c r="N98" s="2">
        <v>3</v>
      </c>
      <c r="O98" s="2">
        <v>0</v>
      </c>
      <c r="P98" s="2">
        <v>2</v>
      </c>
      <c r="Q98" s="2">
        <v>1</v>
      </c>
      <c r="R98" s="2">
        <v>11.1</v>
      </c>
      <c r="S98" s="2">
        <v>11</v>
      </c>
      <c r="T98" s="2">
        <v>11.3</v>
      </c>
      <c r="U98" s="2">
        <v>33.299999999999997</v>
      </c>
      <c r="V98" s="1">
        <v>376.3</v>
      </c>
      <c r="W98" s="2">
        <v>1330</v>
      </c>
      <c r="X98" s="2">
        <v>316.7</v>
      </c>
      <c r="Y98" s="1">
        <v>877.9</v>
      </c>
      <c r="Z98" s="2" t="s">
        <v>70</v>
      </c>
      <c r="AA98" s="2">
        <v>4</v>
      </c>
      <c r="AB98" s="2">
        <v>0</v>
      </c>
      <c r="AD98" s="3" t="s">
        <v>126</v>
      </c>
      <c r="AE98" s="3" t="s">
        <v>115</v>
      </c>
      <c r="AF98" s="3" t="s">
        <v>50</v>
      </c>
      <c r="AG98" s="3" t="s">
        <v>51</v>
      </c>
      <c r="AH98" s="3" t="s">
        <v>151</v>
      </c>
      <c r="AI98" s="2">
        <v>0</v>
      </c>
      <c r="AJ98" s="2">
        <v>1</v>
      </c>
      <c r="AK98" s="2">
        <v>0</v>
      </c>
      <c r="AL98" s="2">
        <v>0</v>
      </c>
      <c r="AM98" s="2">
        <v>0</v>
      </c>
      <c r="AN98" s="2">
        <v>0</v>
      </c>
      <c r="AO98" s="2" t="s">
        <v>88</v>
      </c>
      <c r="AP98" s="1">
        <f>403.4+171.4</f>
        <v>574.79999999999995</v>
      </c>
      <c r="AQ98" s="1">
        <f>75.7+61.7</f>
        <v>137.4</v>
      </c>
      <c r="AR98" s="4">
        <f t="shared" si="20"/>
        <v>0.19292333614153331</v>
      </c>
      <c r="AS98" s="18">
        <f t="shared" si="18"/>
        <v>140.464</v>
      </c>
      <c r="AT98">
        <f t="shared" ref="AT98:AT129" si="22">IF(AQ98&lt;&gt;"",AS98/AQ98,"")</f>
        <v>1.0222998544395925</v>
      </c>
      <c r="AU98">
        <f t="shared" si="21"/>
        <v>115.77</v>
      </c>
      <c r="AV98" s="9">
        <f t="shared" si="15"/>
        <v>0.84257641921397375</v>
      </c>
    </row>
    <row r="99" spans="1:49" x14ac:dyDescent="0.3">
      <c r="A99" s="23">
        <v>132</v>
      </c>
      <c r="B99" t="s">
        <v>42</v>
      </c>
      <c r="C99" s="1">
        <v>11222</v>
      </c>
      <c r="D99" t="s">
        <v>43</v>
      </c>
      <c r="E99" t="s">
        <v>112</v>
      </c>
      <c r="F99" t="s">
        <v>113</v>
      </c>
      <c r="G99" s="2">
        <v>1976</v>
      </c>
      <c r="H99" s="2" t="s">
        <v>69</v>
      </c>
      <c r="I99" s="2" t="str">
        <f t="shared" si="16"/>
        <v>1950-1980</v>
      </c>
      <c r="J99" s="2">
        <v>8</v>
      </c>
      <c r="K99" s="2">
        <f t="shared" si="13"/>
        <v>10</v>
      </c>
      <c r="L99" s="2">
        <v>44</v>
      </c>
      <c r="M99" s="2">
        <v>36</v>
      </c>
      <c r="N99" s="2">
        <v>2</v>
      </c>
      <c r="O99" s="2">
        <v>0</v>
      </c>
      <c r="P99" s="2">
        <v>2</v>
      </c>
      <c r="Q99" s="2">
        <v>1</v>
      </c>
      <c r="R99" s="2">
        <v>7.6</v>
      </c>
      <c r="S99" s="2">
        <v>7.5</v>
      </c>
      <c r="T99" s="2">
        <v>14.5</v>
      </c>
      <c r="U99" s="2">
        <v>35.1</v>
      </c>
      <c r="V99" s="1">
        <v>397</v>
      </c>
      <c r="W99" s="2">
        <v>949</v>
      </c>
      <c r="X99" s="2">
        <v>357.4</v>
      </c>
      <c r="Y99" s="1">
        <v>652</v>
      </c>
      <c r="Z99" s="2" t="s">
        <v>70</v>
      </c>
      <c r="AA99" s="2">
        <v>4</v>
      </c>
      <c r="AB99" s="2">
        <v>0</v>
      </c>
      <c r="AD99" s="3" t="s">
        <v>116</v>
      </c>
      <c r="AE99" s="3" t="s">
        <v>72</v>
      </c>
      <c r="AF99" s="3" t="s">
        <v>50</v>
      </c>
      <c r="AG99" s="3" t="s">
        <v>74</v>
      </c>
      <c r="AH99" s="3" t="s">
        <v>52</v>
      </c>
      <c r="AI99" s="2">
        <v>1</v>
      </c>
      <c r="AJ99" s="2">
        <v>0</v>
      </c>
      <c r="AK99" s="2">
        <v>0</v>
      </c>
      <c r="AL99" s="2">
        <v>0</v>
      </c>
      <c r="AM99" s="2">
        <v>0</v>
      </c>
      <c r="AN99" s="2">
        <v>1</v>
      </c>
      <c r="AO99" s="2" t="s">
        <v>61</v>
      </c>
      <c r="AP99" s="16">
        <v>455</v>
      </c>
      <c r="AQ99" s="16">
        <v>109.7</v>
      </c>
      <c r="AR99" s="4">
        <f t="shared" si="20"/>
        <v>0.19426244023375241</v>
      </c>
      <c r="AS99" s="18">
        <f t="shared" si="18"/>
        <v>104.32</v>
      </c>
      <c r="AT99">
        <f t="shared" si="22"/>
        <v>0.95095715587967178</v>
      </c>
      <c r="AU99">
        <f t="shared" si="21"/>
        <v>81.72</v>
      </c>
      <c r="AV99" s="9">
        <f t="shared" si="15"/>
        <v>0.74494074749316319</v>
      </c>
    </row>
    <row r="100" spans="1:49" x14ac:dyDescent="0.3">
      <c r="A100" s="23">
        <v>133</v>
      </c>
      <c r="B100" t="s">
        <v>42</v>
      </c>
      <c r="C100" s="1">
        <v>11222</v>
      </c>
      <c r="D100" t="s">
        <v>43</v>
      </c>
      <c r="E100" t="s">
        <v>112</v>
      </c>
      <c r="F100" t="s">
        <v>113</v>
      </c>
      <c r="G100" s="2">
        <v>1976</v>
      </c>
      <c r="H100" s="2" t="s">
        <v>69</v>
      </c>
      <c r="I100" s="2" t="str">
        <f t="shared" si="16"/>
        <v>1950-1980</v>
      </c>
      <c r="J100" s="2">
        <v>8</v>
      </c>
      <c r="K100" s="2">
        <f t="shared" si="13"/>
        <v>10</v>
      </c>
      <c r="L100" s="2">
        <v>44</v>
      </c>
      <c r="M100" s="2">
        <v>36</v>
      </c>
      <c r="N100" s="2">
        <v>2</v>
      </c>
      <c r="O100" s="2">
        <v>0</v>
      </c>
      <c r="P100" s="2">
        <v>2</v>
      </c>
      <c r="Q100" s="2">
        <v>1</v>
      </c>
      <c r="R100" s="2">
        <v>7.6</v>
      </c>
      <c r="S100" s="2">
        <v>7.5</v>
      </c>
      <c r="T100" s="2">
        <v>14.5</v>
      </c>
      <c r="U100" s="2">
        <v>35.1</v>
      </c>
      <c r="V100" s="1">
        <v>397</v>
      </c>
      <c r="W100" s="2">
        <v>945.3</v>
      </c>
      <c r="X100" s="2">
        <v>357.7</v>
      </c>
      <c r="Y100" s="1">
        <v>652</v>
      </c>
      <c r="Z100" s="2" t="s">
        <v>70</v>
      </c>
      <c r="AA100" s="2">
        <v>4</v>
      </c>
      <c r="AB100" s="2">
        <v>0</v>
      </c>
      <c r="AD100" s="3" t="s">
        <v>114</v>
      </c>
      <c r="AE100" s="3" t="s">
        <v>115</v>
      </c>
      <c r="AF100" s="3" t="s">
        <v>50</v>
      </c>
      <c r="AG100" s="3" t="s">
        <v>74</v>
      </c>
      <c r="AH100" s="3" t="s">
        <v>81</v>
      </c>
      <c r="AI100" s="2">
        <v>1</v>
      </c>
      <c r="AJ100" s="2">
        <v>0</v>
      </c>
      <c r="AK100" s="2">
        <v>0</v>
      </c>
      <c r="AL100" s="2">
        <v>0</v>
      </c>
      <c r="AM100" s="2">
        <v>0</v>
      </c>
      <c r="AN100" s="2">
        <v>1</v>
      </c>
      <c r="AO100" s="2" t="s">
        <v>84</v>
      </c>
      <c r="AP100" s="1">
        <v>455</v>
      </c>
      <c r="AQ100" s="1">
        <f>4.4+52.5+48.4+4.4</f>
        <v>109.7</v>
      </c>
      <c r="AR100" s="4">
        <f t="shared" si="20"/>
        <v>0.19426244023375241</v>
      </c>
      <c r="AS100" s="18">
        <f t="shared" si="18"/>
        <v>104.32</v>
      </c>
      <c r="AT100">
        <f t="shared" si="22"/>
        <v>0.95095715587967178</v>
      </c>
      <c r="AU100">
        <f t="shared" si="21"/>
        <v>81.72</v>
      </c>
      <c r="AV100" s="9">
        <f t="shared" si="15"/>
        <v>0.74494074749316319</v>
      </c>
    </row>
    <row r="101" spans="1:49" x14ac:dyDescent="0.3">
      <c r="A101" s="23">
        <v>274</v>
      </c>
      <c r="B101" t="s">
        <v>42</v>
      </c>
      <c r="C101" s="1">
        <v>11222</v>
      </c>
      <c r="D101" t="s">
        <v>43</v>
      </c>
      <c r="E101" t="s">
        <v>104</v>
      </c>
      <c r="F101" t="s">
        <v>175</v>
      </c>
      <c r="G101" s="2">
        <v>1987</v>
      </c>
      <c r="H101" s="2" t="s">
        <v>131</v>
      </c>
      <c r="I101" s="2" t="str">
        <f t="shared" si="16"/>
        <v>&gt;1980</v>
      </c>
      <c r="J101" s="2">
        <v>12</v>
      </c>
      <c r="K101" s="2">
        <f t="shared" si="13"/>
        <v>10</v>
      </c>
      <c r="L101" s="2">
        <v>64</v>
      </c>
      <c r="M101" s="2">
        <v>52</v>
      </c>
      <c r="N101" s="2">
        <v>3</v>
      </c>
      <c r="O101" s="2">
        <v>0</v>
      </c>
      <c r="P101" s="2">
        <v>2</v>
      </c>
      <c r="Q101" s="2">
        <v>1</v>
      </c>
      <c r="R101" s="2">
        <v>11.2</v>
      </c>
      <c r="S101" s="2">
        <v>11</v>
      </c>
      <c r="V101" s="1">
        <v>490</v>
      </c>
      <c r="W101" s="2">
        <v>1251.8</v>
      </c>
      <c r="X101" s="2">
        <v>405.2</v>
      </c>
      <c r="Y101" s="1">
        <v>846.6</v>
      </c>
      <c r="Z101" s="2" t="s">
        <v>70</v>
      </c>
      <c r="AA101" s="2">
        <v>4</v>
      </c>
      <c r="AB101" s="2">
        <v>0</v>
      </c>
      <c r="AD101" s="3" t="s">
        <v>58</v>
      </c>
      <c r="AE101" s="3" t="s">
        <v>115</v>
      </c>
      <c r="AF101" s="3" t="s">
        <v>50</v>
      </c>
      <c r="AG101" s="3" t="s">
        <v>51</v>
      </c>
      <c r="AH101" s="3" t="s">
        <v>100</v>
      </c>
      <c r="AI101" s="2">
        <v>0</v>
      </c>
      <c r="AJ101" s="2">
        <v>1</v>
      </c>
      <c r="AK101" s="2">
        <v>0</v>
      </c>
      <c r="AL101" s="2">
        <v>1</v>
      </c>
      <c r="AM101" s="2">
        <v>0</v>
      </c>
      <c r="AN101" s="2">
        <v>0</v>
      </c>
      <c r="AO101" s="2" t="s">
        <v>123</v>
      </c>
      <c r="AP101" s="1">
        <f>613+61+40</f>
        <v>714</v>
      </c>
      <c r="AQ101" s="1">
        <f>57.2+56.4</f>
        <v>113.6</v>
      </c>
      <c r="AR101" s="4">
        <f t="shared" si="20"/>
        <v>0.13726437892701787</v>
      </c>
      <c r="AS101" s="18">
        <f t="shared" si="18"/>
        <v>135.45600000000002</v>
      </c>
      <c r="AT101">
        <f t="shared" si="22"/>
        <v>1.1923943661971834</v>
      </c>
      <c r="AU101">
        <f t="shared" si="21"/>
        <v>118.04</v>
      </c>
      <c r="AV101" s="9">
        <f t="shared" si="15"/>
        <v>1.0390845070422536</v>
      </c>
    </row>
    <row r="102" spans="1:49" x14ac:dyDescent="0.3">
      <c r="A102" s="23">
        <v>44</v>
      </c>
      <c r="B102" t="s">
        <v>42</v>
      </c>
      <c r="C102" s="1">
        <v>11222</v>
      </c>
      <c r="D102" t="s">
        <v>43</v>
      </c>
      <c r="E102" t="s">
        <v>101</v>
      </c>
      <c r="F102" t="s">
        <v>388</v>
      </c>
      <c r="G102" s="2">
        <v>1973</v>
      </c>
      <c r="H102" s="2" t="s">
        <v>69</v>
      </c>
      <c r="I102" s="2" t="str">
        <f t="shared" si="16"/>
        <v>1950-1980</v>
      </c>
      <c r="J102" s="2">
        <v>18</v>
      </c>
      <c r="K102" s="2">
        <f t="shared" si="13"/>
        <v>20</v>
      </c>
      <c r="L102" s="2">
        <v>72</v>
      </c>
      <c r="M102" s="2">
        <v>54</v>
      </c>
      <c r="N102" s="2">
        <v>3</v>
      </c>
      <c r="O102" s="2">
        <v>0</v>
      </c>
      <c r="P102" s="2">
        <v>2</v>
      </c>
      <c r="Q102" s="2">
        <v>1</v>
      </c>
      <c r="R102" s="2">
        <v>11.8</v>
      </c>
      <c r="S102" s="2">
        <v>12</v>
      </c>
      <c r="T102" s="2">
        <v>11.6</v>
      </c>
      <c r="U102" s="2">
        <v>33</v>
      </c>
      <c r="V102" s="1">
        <v>354</v>
      </c>
      <c r="W102" s="2">
        <v>1106.8</v>
      </c>
      <c r="X102" s="2">
        <v>341.2</v>
      </c>
      <c r="Y102" s="1">
        <v>831.6</v>
      </c>
      <c r="Z102" s="2" t="s">
        <v>70</v>
      </c>
      <c r="AA102" s="2">
        <v>4</v>
      </c>
      <c r="AB102" s="2">
        <v>0</v>
      </c>
      <c r="AD102" s="3" t="s">
        <v>126</v>
      </c>
      <c r="AE102" s="3" t="s">
        <v>115</v>
      </c>
      <c r="AF102" s="3" t="s">
        <v>139</v>
      </c>
      <c r="AG102" s="3" t="s">
        <v>60</v>
      </c>
      <c r="AH102" s="3" t="s">
        <v>75</v>
      </c>
      <c r="AI102" s="2">
        <v>0</v>
      </c>
      <c r="AJ102" s="2">
        <v>1</v>
      </c>
      <c r="AK102" s="2">
        <v>0</v>
      </c>
      <c r="AL102" s="2">
        <v>0</v>
      </c>
      <c r="AM102" s="2">
        <v>0</v>
      </c>
      <c r="AN102" s="2">
        <v>0</v>
      </c>
      <c r="AO102" s="2" t="s">
        <v>103</v>
      </c>
      <c r="AR102" s="4"/>
      <c r="AS102" s="18" t="str">
        <f t="shared" si="18"/>
        <v/>
      </c>
      <c r="AT102" t="str">
        <f t="shared" si="22"/>
        <v/>
      </c>
      <c r="AU102" t="str">
        <f>IF(AQ102&lt;&gt;"",2.3*M102,"")</f>
        <v/>
      </c>
      <c r="AV102" s="9" t="str">
        <f t="shared" si="15"/>
        <v/>
      </c>
    </row>
    <row r="103" spans="1:49" x14ac:dyDescent="0.3">
      <c r="A103" s="23">
        <v>180</v>
      </c>
      <c r="B103" t="s">
        <v>42</v>
      </c>
      <c r="C103" s="1">
        <v>11222</v>
      </c>
      <c r="D103" t="s">
        <v>43</v>
      </c>
      <c r="E103" t="s">
        <v>104</v>
      </c>
      <c r="F103" t="s">
        <v>157</v>
      </c>
      <c r="G103" s="2">
        <v>1992</v>
      </c>
      <c r="H103" s="2" t="s">
        <v>167</v>
      </c>
      <c r="I103" s="2" t="str">
        <f t="shared" si="16"/>
        <v>&gt;1980</v>
      </c>
      <c r="J103" s="2">
        <v>12</v>
      </c>
      <c r="K103" s="2">
        <f t="shared" si="13"/>
        <v>10</v>
      </c>
      <c r="L103" s="2">
        <v>52</v>
      </c>
      <c r="M103" s="2">
        <v>40</v>
      </c>
      <c r="N103" s="2">
        <v>3</v>
      </c>
      <c r="O103" s="2">
        <v>0</v>
      </c>
      <c r="P103" s="2">
        <v>2</v>
      </c>
      <c r="Q103" s="2">
        <v>1</v>
      </c>
      <c r="R103" s="2">
        <v>12.2</v>
      </c>
      <c r="S103" s="2">
        <v>12</v>
      </c>
      <c r="T103" s="2">
        <v>11.7</v>
      </c>
      <c r="U103" s="2">
        <v>33.1</v>
      </c>
      <c r="V103" s="1">
        <v>387</v>
      </c>
      <c r="W103" s="2">
        <v>1122</v>
      </c>
      <c r="X103" s="2">
        <v>376.6</v>
      </c>
      <c r="Y103" s="1">
        <v>860</v>
      </c>
      <c r="Z103" s="2" t="s">
        <v>70</v>
      </c>
      <c r="AA103" s="2">
        <v>4</v>
      </c>
      <c r="AB103" s="2">
        <v>0</v>
      </c>
      <c r="AD103" s="3" t="s">
        <v>91</v>
      </c>
      <c r="AE103" s="3" t="s">
        <v>115</v>
      </c>
      <c r="AF103" s="3" t="s">
        <v>139</v>
      </c>
      <c r="AG103" s="3" t="s">
        <v>51</v>
      </c>
      <c r="AH103" s="3" t="s">
        <v>177</v>
      </c>
      <c r="AI103" s="2">
        <v>0</v>
      </c>
      <c r="AJ103" s="2">
        <v>1</v>
      </c>
      <c r="AK103" s="2">
        <v>0</v>
      </c>
      <c r="AL103" s="2">
        <v>1</v>
      </c>
      <c r="AM103" s="2">
        <v>0</v>
      </c>
      <c r="AN103" s="2" t="s">
        <v>152</v>
      </c>
      <c r="AO103" s="2" t="s">
        <v>123</v>
      </c>
      <c r="AP103" s="1">
        <f>650</f>
        <v>650</v>
      </c>
      <c r="AQ103" s="1">
        <f>63.6+58.5</f>
        <v>122.1</v>
      </c>
      <c r="AR103" s="4">
        <f t="shared" ref="AR103:AR134" si="23">AQ103/(AP103+AQ103)</f>
        <v>0.15814013728791607</v>
      </c>
      <c r="AS103" s="18">
        <f t="shared" si="18"/>
        <v>137.6</v>
      </c>
      <c r="AT103">
        <f t="shared" si="22"/>
        <v>1.1269451269451269</v>
      </c>
      <c r="AU103">
        <f t="shared" ref="AU103:AU134" si="24">IF(AQ103&lt;&gt;"",2.27*M103,"")</f>
        <v>90.8</v>
      </c>
      <c r="AV103" s="9">
        <f t="shared" si="15"/>
        <v>0.7436527436527437</v>
      </c>
    </row>
    <row r="104" spans="1:49" x14ac:dyDescent="0.3">
      <c r="A104" s="23">
        <v>242</v>
      </c>
      <c r="B104" t="s">
        <v>42</v>
      </c>
      <c r="C104" s="1">
        <v>11222</v>
      </c>
      <c r="D104" t="s">
        <v>43</v>
      </c>
      <c r="E104" t="s">
        <v>44</v>
      </c>
      <c r="F104" t="s">
        <v>172</v>
      </c>
      <c r="G104" s="2">
        <v>1963</v>
      </c>
      <c r="H104" s="2" t="s">
        <v>57</v>
      </c>
      <c r="I104" s="2" t="str">
        <f t="shared" si="16"/>
        <v>1950-1980</v>
      </c>
      <c r="J104" s="2">
        <v>60</v>
      </c>
      <c r="K104" s="2">
        <f t="shared" si="13"/>
        <v>60</v>
      </c>
      <c r="L104" s="2">
        <v>255</v>
      </c>
      <c r="M104" s="2">
        <v>195</v>
      </c>
      <c r="N104" s="2">
        <v>5</v>
      </c>
      <c r="O104" s="2">
        <v>0</v>
      </c>
      <c r="P104" s="2">
        <v>3</v>
      </c>
      <c r="Q104" s="2">
        <v>1</v>
      </c>
      <c r="R104" s="2">
        <v>17.899999999999999</v>
      </c>
      <c r="S104" s="2">
        <v>18</v>
      </c>
      <c r="V104" s="1">
        <v>673</v>
      </c>
      <c r="W104" s="2">
        <v>3191.4</v>
      </c>
      <c r="X104" s="2">
        <v>673.7</v>
      </c>
      <c r="Y104" s="1">
        <v>2644.2</v>
      </c>
      <c r="Z104" s="1" t="s">
        <v>70</v>
      </c>
      <c r="AA104" s="1">
        <v>4</v>
      </c>
      <c r="AB104" s="1">
        <v>0</v>
      </c>
      <c r="AC104" s="1">
        <v>0</v>
      </c>
      <c r="AD104" s="3" t="s">
        <v>58</v>
      </c>
      <c r="AE104" s="3" t="s">
        <v>65</v>
      </c>
      <c r="AF104" s="3" t="s">
        <v>50</v>
      </c>
      <c r="AG104" s="3" t="s">
        <v>65</v>
      </c>
      <c r="AH104" s="3" t="s">
        <v>324</v>
      </c>
      <c r="AI104" s="2">
        <v>0</v>
      </c>
      <c r="AJ104" s="2">
        <v>1</v>
      </c>
      <c r="AK104" s="2">
        <v>0</v>
      </c>
      <c r="AL104" s="2">
        <v>0</v>
      </c>
      <c r="AM104" s="2">
        <v>0</v>
      </c>
      <c r="AN104" s="2">
        <v>1</v>
      </c>
      <c r="AO104" s="2" t="s">
        <v>84</v>
      </c>
      <c r="AP104" s="1">
        <v>1739.1</v>
      </c>
      <c r="AQ104" s="1">
        <f>236.6+222.9+20.3*2</f>
        <v>500.1</v>
      </c>
      <c r="AR104" s="4">
        <f t="shared" si="23"/>
        <v>0.22333869239013937</v>
      </c>
      <c r="AS104" s="18">
        <f t="shared" ref="AS104:AS135" si="25">IF(AQ104&lt;&gt;"", Y104/6.25,"")</f>
        <v>423.07199999999995</v>
      </c>
      <c r="AT104">
        <f t="shared" si="22"/>
        <v>0.84597480503899203</v>
      </c>
      <c r="AU104">
        <f t="shared" si="24"/>
        <v>442.65</v>
      </c>
      <c r="AV104" s="9">
        <f t="shared" si="15"/>
        <v>0.88512297540491891</v>
      </c>
    </row>
    <row r="105" spans="1:49" x14ac:dyDescent="0.3">
      <c r="A105" s="23">
        <v>279</v>
      </c>
      <c r="B105" t="s">
        <v>42</v>
      </c>
      <c r="C105" s="1">
        <v>11222</v>
      </c>
      <c r="D105" t="s">
        <v>168</v>
      </c>
      <c r="E105" t="s">
        <v>252</v>
      </c>
      <c r="F105" t="s">
        <v>253</v>
      </c>
      <c r="G105" s="2">
        <v>1988</v>
      </c>
      <c r="H105" s="2" t="s">
        <v>131</v>
      </c>
      <c r="I105" s="2" t="str">
        <f t="shared" si="16"/>
        <v>&gt;1980</v>
      </c>
      <c r="J105" s="2">
        <v>24</v>
      </c>
      <c r="K105" s="2">
        <f t="shared" si="13"/>
        <v>20</v>
      </c>
      <c r="L105" s="2">
        <v>105</v>
      </c>
      <c r="M105" s="2">
        <v>81</v>
      </c>
      <c r="N105" s="2">
        <v>3</v>
      </c>
      <c r="O105" s="2">
        <v>0</v>
      </c>
      <c r="P105" s="2">
        <v>3</v>
      </c>
      <c r="Q105" s="2">
        <v>1</v>
      </c>
      <c r="R105" s="2">
        <v>11.5</v>
      </c>
      <c r="S105" s="2">
        <v>11.5</v>
      </c>
      <c r="T105" s="2">
        <v>15.6</v>
      </c>
      <c r="U105" s="2">
        <v>44.5</v>
      </c>
      <c r="V105" s="1">
        <v>574</v>
      </c>
      <c r="W105" s="2">
        <v>1828.6</v>
      </c>
      <c r="X105" s="2">
        <v>72.3</v>
      </c>
      <c r="Y105" s="1">
        <v>1372.3</v>
      </c>
      <c r="Z105" s="2" t="s">
        <v>70</v>
      </c>
      <c r="AA105" s="2">
        <v>4</v>
      </c>
      <c r="AB105" s="2">
        <v>0</v>
      </c>
      <c r="AD105" s="3" t="s">
        <v>126</v>
      </c>
      <c r="AE105" s="3" t="s">
        <v>115</v>
      </c>
      <c r="AF105" s="3" t="s">
        <v>50</v>
      </c>
      <c r="AG105" s="3" t="s">
        <v>60</v>
      </c>
      <c r="AH105" s="3" t="s">
        <v>75</v>
      </c>
      <c r="AI105" s="2">
        <v>0</v>
      </c>
      <c r="AJ105" s="2">
        <v>1</v>
      </c>
      <c r="AK105" s="2">
        <v>0</v>
      </c>
      <c r="AL105" s="2">
        <v>1</v>
      </c>
      <c r="AM105" s="2">
        <v>0</v>
      </c>
      <c r="AN105" s="2" t="s">
        <v>152</v>
      </c>
      <c r="AO105" s="2" t="s">
        <v>76</v>
      </c>
      <c r="AP105" s="1">
        <f>596.4+115.6+67.5</f>
        <v>779.5</v>
      </c>
      <c r="AQ105" s="1">
        <f>119.6+82.6</f>
        <v>202.2</v>
      </c>
      <c r="AR105" s="4">
        <f t="shared" si="23"/>
        <v>0.20596923703779157</v>
      </c>
      <c r="AS105" s="18">
        <f t="shared" si="25"/>
        <v>219.56799999999998</v>
      </c>
      <c r="AT105">
        <f t="shared" si="22"/>
        <v>1.085895153313551</v>
      </c>
      <c r="AU105">
        <f t="shared" si="24"/>
        <v>183.87</v>
      </c>
      <c r="AV105" s="9">
        <f t="shared" si="15"/>
        <v>0.90934718100890211</v>
      </c>
    </row>
    <row r="106" spans="1:49" x14ac:dyDescent="0.3">
      <c r="A106" s="23">
        <v>144</v>
      </c>
      <c r="B106" t="s">
        <v>42</v>
      </c>
      <c r="C106" s="1">
        <v>11222</v>
      </c>
      <c r="D106" t="s">
        <v>158</v>
      </c>
      <c r="E106" t="s">
        <v>186</v>
      </c>
      <c r="F106" t="s">
        <v>186</v>
      </c>
      <c r="G106" s="2">
        <v>1964</v>
      </c>
      <c r="H106" s="2" t="s">
        <v>57</v>
      </c>
      <c r="I106" s="2" t="str">
        <f t="shared" si="16"/>
        <v>1950-1980</v>
      </c>
      <c r="J106" s="2">
        <v>48</v>
      </c>
      <c r="K106" s="2">
        <f t="shared" si="13"/>
        <v>50</v>
      </c>
      <c r="L106" s="2">
        <v>204</v>
      </c>
      <c r="M106" s="2">
        <v>156</v>
      </c>
      <c r="N106" s="2">
        <v>4</v>
      </c>
      <c r="O106" s="2">
        <v>0</v>
      </c>
      <c r="P106" s="2">
        <v>3</v>
      </c>
      <c r="Q106" s="2">
        <v>1</v>
      </c>
      <c r="R106" s="2">
        <v>15</v>
      </c>
      <c r="S106" s="2">
        <v>15</v>
      </c>
      <c r="T106" s="2">
        <v>11.1</v>
      </c>
      <c r="U106" s="2">
        <v>61</v>
      </c>
      <c r="V106" s="1">
        <v>709</v>
      </c>
      <c r="W106" s="2">
        <v>2561.1999999999998</v>
      </c>
      <c r="X106" s="2">
        <v>258.89999999999998</v>
      </c>
      <c r="Y106" s="1">
        <v>2139</v>
      </c>
      <c r="Z106" s="2" t="s">
        <v>70</v>
      </c>
      <c r="AA106" s="2">
        <v>4</v>
      </c>
      <c r="AB106" s="2">
        <v>0</v>
      </c>
      <c r="AC106" s="2">
        <v>0</v>
      </c>
      <c r="AD106" s="3" t="s">
        <v>126</v>
      </c>
      <c r="AE106" s="3" t="s">
        <v>115</v>
      </c>
      <c r="AF106" s="3" t="s">
        <v>50</v>
      </c>
      <c r="AG106" s="3" t="s">
        <v>67</v>
      </c>
      <c r="AH106" s="3" t="s">
        <v>75</v>
      </c>
      <c r="AI106" s="2">
        <v>0</v>
      </c>
      <c r="AJ106" s="2">
        <v>1</v>
      </c>
      <c r="AK106" s="2">
        <v>0</v>
      </c>
      <c r="AL106" s="2">
        <v>0</v>
      </c>
      <c r="AM106" s="2">
        <v>0</v>
      </c>
      <c r="AN106" s="2">
        <v>1</v>
      </c>
      <c r="AO106" s="2" t="s">
        <v>123</v>
      </c>
      <c r="AP106" s="1">
        <f>1036</f>
        <v>1036</v>
      </c>
      <c r="AQ106" s="1">
        <f>18.6+170.8+215+18.6</f>
        <v>423</v>
      </c>
      <c r="AR106" s="4">
        <f t="shared" si="23"/>
        <v>0.28992460589444824</v>
      </c>
      <c r="AS106" s="18">
        <f t="shared" si="25"/>
        <v>342.24</v>
      </c>
      <c r="AT106">
        <f t="shared" si="22"/>
        <v>0.80907801418439718</v>
      </c>
      <c r="AU106">
        <f t="shared" si="24"/>
        <v>354.12</v>
      </c>
      <c r="AV106" s="9">
        <f t="shared" si="15"/>
        <v>0.83716312056737585</v>
      </c>
    </row>
    <row r="107" spans="1:49" x14ac:dyDescent="0.3">
      <c r="A107" s="23">
        <v>128</v>
      </c>
      <c r="B107" t="s">
        <v>42</v>
      </c>
      <c r="C107" s="1">
        <v>11222</v>
      </c>
      <c r="D107" t="s">
        <v>158</v>
      </c>
      <c r="E107" t="s">
        <v>159</v>
      </c>
      <c r="F107" t="s">
        <v>160</v>
      </c>
      <c r="G107" s="2">
        <v>1984</v>
      </c>
      <c r="H107" s="2" t="s">
        <v>131</v>
      </c>
      <c r="I107" s="2" t="str">
        <f t="shared" si="16"/>
        <v>&gt;1980</v>
      </c>
      <c r="J107" s="2">
        <v>12</v>
      </c>
      <c r="K107" s="2">
        <f t="shared" si="13"/>
        <v>10</v>
      </c>
      <c r="L107" s="2">
        <v>55</v>
      </c>
      <c r="M107" s="2">
        <v>43</v>
      </c>
      <c r="N107" s="2">
        <v>2</v>
      </c>
      <c r="O107" s="2">
        <v>0</v>
      </c>
      <c r="P107" s="2">
        <v>3</v>
      </c>
      <c r="Q107" s="2">
        <v>1</v>
      </c>
      <c r="R107" s="2">
        <v>9.1999999999999993</v>
      </c>
      <c r="S107" s="2">
        <v>9</v>
      </c>
      <c r="T107" s="2">
        <v>11.7</v>
      </c>
      <c r="U107" s="2">
        <v>52.4</v>
      </c>
      <c r="V107" s="1">
        <v>569</v>
      </c>
      <c r="W107" s="2">
        <v>1192.9000000000001</v>
      </c>
      <c r="X107" s="2">
        <v>439.3</v>
      </c>
      <c r="Y107" s="1">
        <v>810.7</v>
      </c>
      <c r="Z107" s="2" t="s">
        <v>70</v>
      </c>
      <c r="AA107" s="2">
        <v>4</v>
      </c>
      <c r="AB107" s="2">
        <v>0</v>
      </c>
      <c r="AD107" s="3" t="s">
        <v>126</v>
      </c>
      <c r="AE107" s="3" t="s">
        <v>115</v>
      </c>
      <c r="AF107" s="3" t="s">
        <v>50</v>
      </c>
      <c r="AG107" s="3" t="s">
        <v>67</v>
      </c>
      <c r="AH107" s="3" t="s">
        <v>75</v>
      </c>
      <c r="AI107" s="2">
        <v>0</v>
      </c>
      <c r="AJ107" s="2">
        <v>1</v>
      </c>
      <c r="AK107" s="2">
        <v>0</v>
      </c>
      <c r="AL107" s="2">
        <v>1</v>
      </c>
      <c r="AM107" s="2">
        <v>0</v>
      </c>
      <c r="AN107" s="2">
        <v>0</v>
      </c>
      <c r="AO107" s="2" t="s">
        <v>76</v>
      </c>
      <c r="AP107" s="1">
        <v>522.29999999999995</v>
      </c>
      <c r="AQ107" s="1">
        <v>126.7</v>
      </c>
      <c r="AR107" s="4">
        <f t="shared" si="23"/>
        <v>0.19522342064714945</v>
      </c>
      <c r="AS107" s="18">
        <f t="shared" si="25"/>
        <v>129.71200000000002</v>
      </c>
      <c r="AT107">
        <f t="shared" si="22"/>
        <v>1.0237726913970009</v>
      </c>
      <c r="AU107">
        <f t="shared" si="24"/>
        <v>97.61</v>
      </c>
      <c r="AV107" s="9">
        <f t="shared" si="15"/>
        <v>0.77040252565114442</v>
      </c>
    </row>
    <row r="108" spans="1:49" x14ac:dyDescent="0.3">
      <c r="A108" s="23">
        <v>168</v>
      </c>
      <c r="B108" t="s">
        <v>42</v>
      </c>
      <c r="C108" s="1">
        <v>11222</v>
      </c>
      <c r="D108" t="s">
        <v>158</v>
      </c>
      <c r="E108" t="s">
        <v>186</v>
      </c>
      <c r="F108" t="s">
        <v>209</v>
      </c>
      <c r="G108" s="2">
        <v>1975</v>
      </c>
      <c r="H108" s="2" t="s">
        <v>69</v>
      </c>
      <c r="I108" s="2" t="str">
        <f t="shared" si="16"/>
        <v>1950-1980</v>
      </c>
      <c r="J108" s="2">
        <v>18</v>
      </c>
      <c r="K108" s="2">
        <f t="shared" si="13"/>
        <v>20</v>
      </c>
      <c r="L108" s="2">
        <v>87</v>
      </c>
      <c r="M108" s="2">
        <v>69</v>
      </c>
      <c r="N108" s="2">
        <v>3</v>
      </c>
      <c r="O108" s="2">
        <v>0</v>
      </c>
      <c r="P108" s="2">
        <v>3</v>
      </c>
      <c r="Q108" s="2">
        <v>1</v>
      </c>
      <c r="R108" s="2">
        <v>10.7</v>
      </c>
      <c r="S108" s="2">
        <v>10.5</v>
      </c>
      <c r="U108" s="2">
        <v>49</v>
      </c>
      <c r="V108" s="1">
        <v>473.5</v>
      </c>
      <c r="W108" s="2">
        <v>1245.2</v>
      </c>
      <c r="X108" s="2">
        <v>358</v>
      </c>
      <c r="Y108" s="1">
        <v>1006</v>
      </c>
      <c r="Z108" s="2" t="s">
        <v>70</v>
      </c>
      <c r="AA108" s="2">
        <v>4</v>
      </c>
      <c r="AB108" s="2">
        <v>0</v>
      </c>
      <c r="AC108" s="2">
        <v>0</v>
      </c>
      <c r="AD108" s="3" t="s">
        <v>95</v>
      </c>
      <c r="AE108" s="3" t="s">
        <v>66</v>
      </c>
      <c r="AF108" s="3" t="s">
        <v>50</v>
      </c>
      <c r="AG108" s="3" t="s">
        <v>74</v>
      </c>
      <c r="AH108" s="3" t="s">
        <v>75</v>
      </c>
      <c r="AI108" s="2">
        <v>1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 t="s">
        <v>76</v>
      </c>
      <c r="AP108" s="1">
        <f>552.5+122.4</f>
        <v>674.9</v>
      </c>
      <c r="AQ108" s="1">
        <f>97.5+111</f>
        <v>208.5</v>
      </c>
      <c r="AR108" s="4">
        <f t="shared" si="23"/>
        <v>0.23601992302467739</v>
      </c>
      <c r="AS108" s="18">
        <f t="shared" si="25"/>
        <v>160.96</v>
      </c>
      <c r="AT108">
        <f t="shared" si="22"/>
        <v>0.77199040767386096</v>
      </c>
      <c r="AU108">
        <f t="shared" si="24"/>
        <v>156.63</v>
      </c>
      <c r="AV108" s="9">
        <f t="shared" si="15"/>
        <v>0.7512230215827338</v>
      </c>
    </row>
    <row r="109" spans="1:49" x14ac:dyDescent="0.3">
      <c r="A109" s="24" t="s">
        <v>280</v>
      </c>
      <c r="B109" t="s">
        <v>42</v>
      </c>
      <c r="C109" s="2">
        <v>11222</v>
      </c>
      <c r="D109" t="s">
        <v>158</v>
      </c>
      <c r="E109" t="s">
        <v>186</v>
      </c>
      <c r="F109" t="s">
        <v>186</v>
      </c>
      <c r="G109" s="2">
        <v>1980</v>
      </c>
      <c r="H109" s="2" t="s">
        <v>69</v>
      </c>
      <c r="I109" s="2" t="str">
        <f t="shared" si="16"/>
        <v>1950-1980</v>
      </c>
      <c r="J109" s="14">
        <v>40</v>
      </c>
      <c r="K109" s="2">
        <f t="shared" si="13"/>
        <v>40</v>
      </c>
      <c r="L109" s="14">
        <f>53+27*2</f>
        <v>107</v>
      </c>
      <c r="M109" s="14">
        <f>53+27</f>
        <v>80</v>
      </c>
      <c r="N109" s="2">
        <v>3</v>
      </c>
      <c r="O109" s="2">
        <v>0</v>
      </c>
      <c r="P109" s="2">
        <v>3</v>
      </c>
      <c r="Q109" s="2">
        <v>0</v>
      </c>
      <c r="R109" s="2">
        <v>9</v>
      </c>
      <c r="S109" s="2">
        <v>9</v>
      </c>
      <c r="T109" s="2">
        <v>16.100000000000001</v>
      </c>
      <c r="U109" s="2">
        <v>48.4</v>
      </c>
      <c r="V109" s="2">
        <v>724</v>
      </c>
      <c r="W109" s="2">
        <v>1703</v>
      </c>
      <c r="X109" s="2">
        <v>0</v>
      </c>
      <c r="Y109" s="2">
        <v>1703.3</v>
      </c>
      <c r="Z109" s="2" t="s">
        <v>70</v>
      </c>
      <c r="AA109">
        <v>8</v>
      </c>
      <c r="AB109" s="2">
        <v>4</v>
      </c>
      <c r="AC109"/>
      <c r="AD109" s="3" t="s">
        <v>58</v>
      </c>
      <c r="AE109" s="3" t="s">
        <v>58</v>
      </c>
      <c r="AF109" s="3" t="s">
        <v>50</v>
      </c>
      <c r="AG109" s="3" t="s">
        <v>74</v>
      </c>
      <c r="AH109" s="3" t="s">
        <v>75</v>
      </c>
      <c r="AI109" s="2">
        <v>1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 t="s">
        <v>76</v>
      </c>
      <c r="AP109" s="2">
        <v>737</v>
      </c>
      <c r="AQ109" s="2">
        <v>199</v>
      </c>
      <c r="AR109" s="4">
        <f t="shared" si="23"/>
        <v>0.2126068376068376</v>
      </c>
      <c r="AS109" s="18">
        <f t="shared" si="25"/>
        <v>272.52800000000002</v>
      </c>
      <c r="AT109">
        <f t="shared" si="22"/>
        <v>1.3694874371859298</v>
      </c>
      <c r="AU109">
        <f t="shared" si="24"/>
        <v>181.6</v>
      </c>
      <c r="AV109" s="9">
        <f t="shared" si="15"/>
        <v>0.91256281407035178</v>
      </c>
      <c r="AW109" t="s">
        <v>194</v>
      </c>
    </row>
    <row r="110" spans="1:49" x14ac:dyDescent="0.3">
      <c r="A110" s="23">
        <v>350</v>
      </c>
      <c r="B110" t="s">
        <v>42</v>
      </c>
      <c r="C110" s="1">
        <v>11222</v>
      </c>
      <c r="D110" t="s">
        <v>85</v>
      </c>
      <c r="E110" t="s">
        <v>86</v>
      </c>
      <c r="F110" t="s">
        <v>86</v>
      </c>
      <c r="G110" s="2">
        <v>1963</v>
      </c>
      <c r="H110" s="2" t="s">
        <v>57</v>
      </c>
      <c r="I110" s="2" t="str">
        <f t="shared" si="16"/>
        <v>1950-1980</v>
      </c>
      <c r="J110" s="2">
        <v>34</v>
      </c>
      <c r="K110" s="2">
        <f t="shared" si="13"/>
        <v>30</v>
      </c>
      <c r="L110" s="2">
        <v>136</v>
      </c>
      <c r="M110" s="2">
        <v>102</v>
      </c>
      <c r="N110" s="2">
        <v>4</v>
      </c>
      <c r="O110" s="2">
        <v>0</v>
      </c>
      <c r="P110" s="2">
        <v>3</v>
      </c>
      <c r="Q110" s="2">
        <v>1</v>
      </c>
      <c r="R110" s="2">
        <v>15</v>
      </c>
      <c r="S110" s="2">
        <v>15</v>
      </c>
      <c r="T110" s="2">
        <v>11.3</v>
      </c>
      <c r="U110" s="2">
        <v>41.4</v>
      </c>
      <c r="V110" s="1">
        <v>454</v>
      </c>
      <c r="W110" s="2">
        <v>1750.6</v>
      </c>
      <c r="X110" s="2">
        <v>416.1</v>
      </c>
      <c r="Y110" s="1">
        <v>1457</v>
      </c>
      <c r="Z110" s="2" t="s">
        <v>70</v>
      </c>
      <c r="AA110" s="2">
        <v>4</v>
      </c>
      <c r="AB110" s="2">
        <v>0</v>
      </c>
      <c r="AD110" s="3" t="s">
        <v>126</v>
      </c>
      <c r="AE110" s="3" t="s">
        <v>115</v>
      </c>
      <c r="AF110" s="3" t="s">
        <v>50</v>
      </c>
      <c r="AG110" s="3" t="s">
        <v>60</v>
      </c>
      <c r="AH110" s="3" t="s">
        <v>75</v>
      </c>
      <c r="AI110" s="2">
        <v>0</v>
      </c>
      <c r="AJ110" s="2">
        <v>1</v>
      </c>
      <c r="AK110" s="2">
        <v>0</v>
      </c>
      <c r="AL110" s="2">
        <v>0</v>
      </c>
      <c r="AM110" s="2">
        <v>0</v>
      </c>
      <c r="AN110" s="2">
        <v>1</v>
      </c>
      <c r="AO110" s="2" t="s">
        <v>76</v>
      </c>
      <c r="AP110" s="1">
        <v>1052.9000000000001</v>
      </c>
      <c r="AQ110" s="1">
        <f>136.3+126.2+18.6*2</f>
        <v>299.7</v>
      </c>
      <c r="AR110" s="4">
        <f t="shared" si="23"/>
        <v>0.22157326630193697</v>
      </c>
      <c r="AS110" s="18">
        <f t="shared" si="25"/>
        <v>233.12</v>
      </c>
      <c r="AT110">
        <f t="shared" si="22"/>
        <v>0.77784451117784459</v>
      </c>
      <c r="AU110">
        <f t="shared" si="24"/>
        <v>231.54</v>
      </c>
      <c r="AV110" s="9">
        <f t="shared" si="15"/>
        <v>0.77257257257257261</v>
      </c>
    </row>
    <row r="111" spans="1:49" x14ac:dyDescent="0.3">
      <c r="A111" s="23">
        <v>77</v>
      </c>
      <c r="B111" t="s">
        <v>42</v>
      </c>
      <c r="C111" s="1">
        <v>11222</v>
      </c>
      <c r="D111" t="s">
        <v>85</v>
      </c>
      <c r="E111" t="s">
        <v>225</v>
      </c>
      <c r="F111" t="s">
        <v>228</v>
      </c>
      <c r="G111" s="2">
        <v>1987</v>
      </c>
      <c r="H111" s="2" t="s">
        <v>131</v>
      </c>
      <c r="I111" s="2" t="str">
        <f t="shared" si="16"/>
        <v>&gt;1980</v>
      </c>
      <c r="J111" s="2">
        <v>18</v>
      </c>
      <c r="K111" s="2">
        <f t="shared" si="13"/>
        <v>20</v>
      </c>
      <c r="L111" s="2">
        <v>85</v>
      </c>
      <c r="M111" s="2">
        <v>67</v>
      </c>
      <c r="N111" s="2">
        <v>3</v>
      </c>
      <c r="O111" s="2">
        <v>0</v>
      </c>
      <c r="P111" s="2">
        <v>3</v>
      </c>
      <c r="Q111" s="2">
        <v>1</v>
      </c>
      <c r="R111" s="2">
        <v>13.1</v>
      </c>
      <c r="S111" s="2">
        <v>13</v>
      </c>
      <c r="T111" s="2">
        <v>11.4</v>
      </c>
      <c r="U111" s="2">
        <v>51.9</v>
      </c>
      <c r="V111" s="1">
        <v>558.1</v>
      </c>
      <c r="W111" s="2">
        <v>1677.1</v>
      </c>
      <c r="X111" s="2">
        <v>137.9</v>
      </c>
      <c r="Y111" s="1">
        <v>1171.5999999999999</v>
      </c>
      <c r="Z111" s="2" t="s">
        <v>70</v>
      </c>
      <c r="AA111" s="2">
        <v>4</v>
      </c>
      <c r="AB111" s="2">
        <v>0</v>
      </c>
      <c r="AD111" s="3" t="s">
        <v>229</v>
      </c>
      <c r="AE111" s="3" t="s">
        <v>139</v>
      </c>
      <c r="AF111" s="3" t="s">
        <v>50</v>
      </c>
      <c r="AG111" s="3" t="s">
        <v>67</v>
      </c>
      <c r="AH111" s="3" t="s">
        <v>81</v>
      </c>
      <c r="AI111" s="2">
        <v>0</v>
      </c>
      <c r="AJ111" s="2">
        <v>1</v>
      </c>
      <c r="AK111" s="2">
        <v>0</v>
      </c>
      <c r="AL111" s="2">
        <v>1</v>
      </c>
      <c r="AM111" s="2">
        <v>0</v>
      </c>
      <c r="AN111" s="2">
        <v>1</v>
      </c>
      <c r="AO111" s="2" t="s">
        <v>61</v>
      </c>
      <c r="AP111" s="1">
        <f>1084</f>
        <v>1084</v>
      </c>
      <c r="AQ111" s="1">
        <f>121+126</f>
        <v>247</v>
      </c>
      <c r="AR111" s="4">
        <f t="shared" si="23"/>
        <v>0.1855747558226897</v>
      </c>
      <c r="AS111" s="18">
        <f t="shared" si="25"/>
        <v>187.45599999999999</v>
      </c>
      <c r="AT111">
        <f t="shared" si="22"/>
        <v>0.75893117408906874</v>
      </c>
      <c r="AU111">
        <f t="shared" si="24"/>
        <v>152.09</v>
      </c>
      <c r="AV111" s="9">
        <f t="shared" si="15"/>
        <v>0.61574898785425103</v>
      </c>
    </row>
    <row r="112" spans="1:49" x14ac:dyDescent="0.3">
      <c r="A112" s="23">
        <v>228</v>
      </c>
      <c r="B112" t="s">
        <v>42</v>
      </c>
      <c r="C112" s="1">
        <v>11222</v>
      </c>
      <c r="D112" t="s">
        <v>85</v>
      </c>
      <c r="E112" t="s">
        <v>86</v>
      </c>
      <c r="F112" t="s">
        <v>86</v>
      </c>
      <c r="G112" s="2">
        <v>1988</v>
      </c>
      <c r="H112" s="2" t="s">
        <v>131</v>
      </c>
      <c r="I112" s="2" t="str">
        <f t="shared" si="16"/>
        <v>&gt;1980</v>
      </c>
      <c r="J112" s="2">
        <v>15</v>
      </c>
      <c r="K112" s="2">
        <f t="shared" si="13"/>
        <v>20</v>
      </c>
      <c r="L112" s="2">
        <v>61</v>
      </c>
      <c r="M112" s="2">
        <v>46</v>
      </c>
      <c r="N112" s="2">
        <v>3</v>
      </c>
      <c r="O112" s="2">
        <v>0</v>
      </c>
      <c r="P112" s="2">
        <v>3</v>
      </c>
      <c r="Q112" s="2">
        <v>1</v>
      </c>
      <c r="R112" s="2">
        <v>9.6999999999999993</v>
      </c>
      <c r="S112" s="2">
        <v>9.5</v>
      </c>
      <c r="T112" s="2">
        <v>11.3</v>
      </c>
      <c r="U112" s="2">
        <v>55.3</v>
      </c>
      <c r="V112" s="1">
        <v>547</v>
      </c>
      <c r="W112" s="2">
        <v>1207.3</v>
      </c>
      <c r="X112" s="2">
        <v>264.89999999999998</v>
      </c>
      <c r="Y112" s="1">
        <v>942.4</v>
      </c>
      <c r="Z112" s="2" t="s">
        <v>70</v>
      </c>
      <c r="AA112" s="2">
        <v>10</v>
      </c>
      <c r="AB112" s="2">
        <f>6</f>
        <v>6</v>
      </c>
      <c r="AD112" s="3" t="s">
        <v>126</v>
      </c>
      <c r="AE112" s="3" t="s">
        <v>115</v>
      </c>
      <c r="AF112" s="3" t="s">
        <v>50</v>
      </c>
      <c r="AG112" s="3" t="s">
        <v>74</v>
      </c>
      <c r="AH112" s="3" t="s">
        <v>75</v>
      </c>
      <c r="AI112" s="2">
        <v>1</v>
      </c>
      <c r="AJ112" s="2">
        <v>0</v>
      </c>
      <c r="AK112" s="2">
        <v>0</v>
      </c>
      <c r="AL112" s="2">
        <v>1</v>
      </c>
      <c r="AM112" s="2">
        <v>0</v>
      </c>
      <c r="AN112" s="2">
        <v>0</v>
      </c>
      <c r="AO112" s="2" t="s">
        <v>76</v>
      </c>
      <c r="AP112" s="1">
        <f>873.8+147.6</f>
        <v>1021.4</v>
      </c>
      <c r="AQ112" s="1">
        <f>42.3+108.8</f>
        <v>151.1</v>
      </c>
      <c r="AR112" s="4">
        <f t="shared" si="23"/>
        <v>0.12886993603411515</v>
      </c>
      <c r="AS112" s="18">
        <f t="shared" si="25"/>
        <v>150.78399999999999</v>
      </c>
      <c r="AT112">
        <f t="shared" si="22"/>
        <v>0.99790866975512904</v>
      </c>
      <c r="AU112">
        <f t="shared" si="24"/>
        <v>104.42</v>
      </c>
      <c r="AV112" s="9">
        <f t="shared" si="15"/>
        <v>0.69106551952349438</v>
      </c>
    </row>
    <row r="113" spans="1:49" x14ac:dyDescent="0.3">
      <c r="A113" s="23">
        <v>32</v>
      </c>
      <c r="B113" t="s">
        <v>42</v>
      </c>
      <c r="C113" s="1">
        <v>11222</v>
      </c>
      <c r="D113" t="s">
        <v>85</v>
      </c>
      <c r="E113" t="s">
        <v>118</v>
      </c>
      <c r="F113" t="s">
        <v>119</v>
      </c>
      <c r="G113" s="2">
        <v>1975</v>
      </c>
      <c r="H113" s="2" t="s">
        <v>69</v>
      </c>
      <c r="I113" s="2" t="str">
        <f t="shared" si="16"/>
        <v>1950-1980</v>
      </c>
      <c r="J113" s="2">
        <v>18</v>
      </c>
      <c r="K113" s="2">
        <f t="shared" si="13"/>
        <v>20</v>
      </c>
      <c r="L113" s="2">
        <v>87</v>
      </c>
      <c r="M113" s="2">
        <v>69</v>
      </c>
      <c r="N113" s="2">
        <v>3</v>
      </c>
      <c r="O113" s="2">
        <v>0</v>
      </c>
      <c r="P113" s="2">
        <v>3</v>
      </c>
      <c r="Q113" s="2">
        <v>1</v>
      </c>
      <c r="R113" s="2">
        <v>10.6</v>
      </c>
      <c r="S113" s="2">
        <v>10.5</v>
      </c>
      <c r="T113" s="2">
        <v>10.4</v>
      </c>
      <c r="U113" s="2">
        <v>48.3</v>
      </c>
      <c r="V113" s="1">
        <v>498</v>
      </c>
      <c r="W113" s="2">
        <v>1508.3</v>
      </c>
      <c r="X113" s="2">
        <v>449.2</v>
      </c>
      <c r="Y113" s="1">
        <v>1220.4000000000001</v>
      </c>
      <c r="Z113" s="2" t="s">
        <v>70</v>
      </c>
      <c r="AA113" s="2">
        <v>4</v>
      </c>
      <c r="AB113" s="2">
        <v>0</v>
      </c>
      <c r="AC113" s="2">
        <v>0</v>
      </c>
      <c r="AD113" s="3" t="s">
        <v>232</v>
      </c>
      <c r="AE113" s="3" t="s">
        <v>233</v>
      </c>
      <c r="AF113" s="3" t="s">
        <v>50</v>
      </c>
      <c r="AG113" s="3" t="s">
        <v>74</v>
      </c>
      <c r="AH113" s="3" t="s">
        <v>75</v>
      </c>
      <c r="AI113" s="2">
        <v>1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 t="s">
        <v>84</v>
      </c>
      <c r="AP113" s="1">
        <v>656</v>
      </c>
      <c r="AQ113" s="1">
        <f>66+67</f>
        <v>133</v>
      </c>
      <c r="AR113" s="4">
        <f t="shared" si="23"/>
        <v>0.16856780735107732</v>
      </c>
      <c r="AS113" s="18">
        <f t="shared" si="25"/>
        <v>195.26400000000001</v>
      </c>
      <c r="AT113">
        <f t="shared" si="22"/>
        <v>1.4681503759398498</v>
      </c>
      <c r="AU113">
        <f t="shared" si="24"/>
        <v>156.63</v>
      </c>
      <c r="AV113" s="9">
        <f t="shared" si="15"/>
        <v>1.1776691729323308</v>
      </c>
    </row>
    <row r="114" spans="1:49" x14ac:dyDescent="0.3">
      <c r="A114" s="23">
        <v>364</v>
      </c>
      <c r="B114" t="s">
        <v>42</v>
      </c>
      <c r="C114" s="1">
        <v>12339</v>
      </c>
      <c r="D114" t="s">
        <v>85</v>
      </c>
      <c r="E114" t="s">
        <v>86</v>
      </c>
      <c r="F114" t="s">
        <v>86</v>
      </c>
      <c r="G114" s="2">
        <v>1961</v>
      </c>
      <c r="H114" s="2" t="s">
        <v>57</v>
      </c>
      <c r="I114" s="2" t="str">
        <f t="shared" si="16"/>
        <v>1950-1980</v>
      </c>
      <c r="J114" s="2">
        <v>44</v>
      </c>
      <c r="K114" s="2">
        <f>MROUND(J114,10)</f>
        <v>40</v>
      </c>
      <c r="L114" s="2">
        <v>160</v>
      </c>
      <c r="M114" s="2">
        <v>116</v>
      </c>
      <c r="N114" s="2">
        <v>4</v>
      </c>
      <c r="O114" s="2">
        <v>0</v>
      </c>
      <c r="P114" s="2">
        <v>3</v>
      </c>
      <c r="Q114" s="2">
        <v>1</v>
      </c>
      <c r="R114" s="2">
        <v>16.100000000000001</v>
      </c>
      <c r="S114" s="2">
        <v>16</v>
      </c>
      <c r="T114" s="2">
        <v>11.3</v>
      </c>
      <c r="U114" s="2">
        <v>49.7</v>
      </c>
      <c r="V114" s="1">
        <v>534</v>
      </c>
      <c r="W114" s="2">
        <v>2075.1</v>
      </c>
      <c r="X114" s="2">
        <v>519.4</v>
      </c>
      <c r="Y114" s="1">
        <v>2075.1</v>
      </c>
      <c r="Z114" s="2" t="s">
        <v>70</v>
      </c>
      <c r="AA114" s="2">
        <v>4</v>
      </c>
      <c r="AB114" s="2">
        <v>0</v>
      </c>
      <c r="AD114" s="3" t="s">
        <v>91</v>
      </c>
      <c r="AE114" s="3" t="s">
        <v>58</v>
      </c>
      <c r="AF114" s="3" t="s">
        <v>139</v>
      </c>
      <c r="AG114" s="3" t="s">
        <v>139</v>
      </c>
      <c r="AH114" s="3" t="s">
        <v>75</v>
      </c>
      <c r="AI114" s="2">
        <v>0</v>
      </c>
      <c r="AJ114" s="2">
        <v>1</v>
      </c>
      <c r="AK114" s="2">
        <v>0</v>
      </c>
      <c r="AL114" s="2">
        <v>0</v>
      </c>
      <c r="AM114" s="2">
        <v>0</v>
      </c>
      <c r="AN114" s="2">
        <v>1</v>
      </c>
      <c r="AO114" s="2" t="s">
        <v>88</v>
      </c>
      <c r="AP114" s="1">
        <f>898.1+242.7</f>
        <v>1140.8</v>
      </c>
      <c r="AQ114" s="1">
        <f>235.6+188.8+21.7*2</f>
        <v>467.79999999999995</v>
      </c>
      <c r="AR114" s="4">
        <f t="shared" si="23"/>
        <v>0.2908118861121472</v>
      </c>
      <c r="AS114" s="18">
        <f t="shared" si="25"/>
        <v>332.01599999999996</v>
      </c>
      <c r="AT114">
        <f t="shared" si="22"/>
        <v>0.70973920478837105</v>
      </c>
      <c r="AU114">
        <f t="shared" si="24"/>
        <v>263.32</v>
      </c>
      <c r="AV114" s="9">
        <f t="shared" si="15"/>
        <v>0.5628901239846088</v>
      </c>
    </row>
    <row r="115" spans="1:49" x14ac:dyDescent="0.3">
      <c r="A115" s="23">
        <v>213</v>
      </c>
      <c r="B115" t="s">
        <v>42</v>
      </c>
      <c r="C115" s="1">
        <v>11222</v>
      </c>
      <c r="D115" t="s">
        <v>180</v>
      </c>
      <c r="E115" t="s">
        <v>181</v>
      </c>
      <c r="F115" t="s">
        <v>182</v>
      </c>
      <c r="G115" s="2">
        <v>1988</v>
      </c>
      <c r="H115" s="2" t="s">
        <v>131</v>
      </c>
      <c r="I115" s="2" t="str">
        <f t="shared" si="16"/>
        <v>&gt;1980</v>
      </c>
      <c r="J115" s="2">
        <v>18</v>
      </c>
      <c r="K115" s="2">
        <f t="shared" si="13"/>
        <v>20</v>
      </c>
      <c r="L115" s="2">
        <v>84</v>
      </c>
      <c r="M115" s="2">
        <v>66</v>
      </c>
      <c r="N115" s="2">
        <v>3</v>
      </c>
      <c r="O115" s="2">
        <v>0</v>
      </c>
      <c r="P115" s="2">
        <v>3</v>
      </c>
      <c r="Q115" s="2">
        <v>1</v>
      </c>
      <c r="R115" s="2">
        <v>10</v>
      </c>
      <c r="S115" s="2">
        <v>10</v>
      </c>
      <c r="T115" s="2">
        <v>11</v>
      </c>
      <c r="U115" s="2">
        <v>51.8</v>
      </c>
      <c r="V115" s="1">
        <v>531</v>
      </c>
      <c r="W115" s="2">
        <v>1661.4</v>
      </c>
      <c r="X115" s="2">
        <v>508.7</v>
      </c>
      <c r="Y115" s="1">
        <v>1152.7</v>
      </c>
      <c r="Z115" s="2" t="s">
        <v>70</v>
      </c>
      <c r="AA115" s="2">
        <v>18</v>
      </c>
      <c r="AB115" s="2">
        <v>14</v>
      </c>
      <c r="AC115" s="2">
        <v>4</v>
      </c>
      <c r="AD115" s="3" t="s">
        <v>126</v>
      </c>
      <c r="AE115" s="3" t="s">
        <v>115</v>
      </c>
      <c r="AF115" s="3" t="s">
        <v>50</v>
      </c>
      <c r="AG115" s="3" t="s">
        <v>67</v>
      </c>
      <c r="AH115" s="3" t="s">
        <v>127</v>
      </c>
      <c r="AI115" s="2">
        <v>0</v>
      </c>
      <c r="AJ115" s="2">
        <v>1</v>
      </c>
      <c r="AK115" s="2">
        <v>0</v>
      </c>
      <c r="AL115" s="2">
        <v>1</v>
      </c>
      <c r="AM115" s="2">
        <v>0</v>
      </c>
      <c r="AN115" s="2" t="s">
        <v>152</v>
      </c>
      <c r="AO115" s="2" t="s">
        <v>84</v>
      </c>
      <c r="AP115" s="1">
        <f>523.7+237.5+286.1</f>
        <v>1047.3000000000002</v>
      </c>
      <c r="AQ115" s="1">
        <f>86.9+89.8+1.1*2</f>
        <v>178.89999999999998</v>
      </c>
      <c r="AR115" s="4">
        <f t="shared" si="23"/>
        <v>0.14589789593867228</v>
      </c>
      <c r="AS115" s="18">
        <f t="shared" si="25"/>
        <v>184.43200000000002</v>
      </c>
      <c r="AT115">
        <f t="shared" si="22"/>
        <v>1.0309223029625492</v>
      </c>
      <c r="AU115">
        <f t="shared" si="24"/>
        <v>149.82</v>
      </c>
      <c r="AV115" s="9">
        <f t="shared" si="15"/>
        <v>0.83745108999441031</v>
      </c>
    </row>
    <row r="116" spans="1:49" x14ac:dyDescent="0.3">
      <c r="A116" s="23">
        <v>162</v>
      </c>
      <c r="B116" t="s">
        <v>42</v>
      </c>
      <c r="C116" s="1">
        <v>11222</v>
      </c>
      <c r="D116" t="s">
        <v>180</v>
      </c>
      <c r="E116" t="s">
        <v>181</v>
      </c>
      <c r="F116" t="s">
        <v>198</v>
      </c>
      <c r="G116" s="2">
        <v>1976</v>
      </c>
      <c r="H116" s="2" t="s">
        <v>69</v>
      </c>
      <c r="I116" s="2" t="str">
        <f t="shared" si="16"/>
        <v>1950-1980</v>
      </c>
      <c r="J116" s="2">
        <v>18</v>
      </c>
      <c r="K116" s="2">
        <f t="shared" si="13"/>
        <v>20</v>
      </c>
      <c r="L116" s="2">
        <v>87</v>
      </c>
      <c r="M116" s="2">
        <v>69</v>
      </c>
      <c r="N116" s="2">
        <v>3</v>
      </c>
      <c r="O116" s="2">
        <v>0</v>
      </c>
      <c r="P116" s="2">
        <v>3</v>
      </c>
      <c r="Q116" s="2">
        <v>1</v>
      </c>
      <c r="R116" s="2">
        <v>10.6</v>
      </c>
      <c r="S116" s="2">
        <v>10.5</v>
      </c>
      <c r="T116" s="2">
        <v>8.4</v>
      </c>
      <c r="U116" s="2">
        <v>48.8</v>
      </c>
      <c r="V116" s="1">
        <v>442</v>
      </c>
      <c r="W116" s="2">
        <v>1311.6</v>
      </c>
      <c r="X116" s="2">
        <v>421.9</v>
      </c>
      <c r="Y116" s="1">
        <v>935</v>
      </c>
      <c r="Z116" s="2" t="s">
        <v>70</v>
      </c>
      <c r="AA116" s="2">
        <v>4</v>
      </c>
      <c r="AB116" s="2">
        <v>0</v>
      </c>
      <c r="AC116" s="2">
        <v>0</v>
      </c>
      <c r="AD116" s="3" t="s">
        <v>126</v>
      </c>
      <c r="AE116" s="3" t="s">
        <v>115</v>
      </c>
      <c r="AF116" s="3" t="s">
        <v>50</v>
      </c>
      <c r="AG116" s="3" t="s">
        <v>74</v>
      </c>
      <c r="AH116" s="3" t="s">
        <v>81</v>
      </c>
      <c r="AI116" s="2">
        <v>0</v>
      </c>
      <c r="AJ116" s="2">
        <v>0</v>
      </c>
      <c r="AK116" s="2">
        <v>1</v>
      </c>
      <c r="AL116" s="2">
        <v>0</v>
      </c>
      <c r="AM116" s="2">
        <v>0</v>
      </c>
      <c r="AN116" s="2">
        <v>1</v>
      </c>
      <c r="AO116" s="2" t="s">
        <v>76</v>
      </c>
      <c r="AP116" s="1">
        <v>741.9</v>
      </c>
      <c r="AQ116" s="1">
        <f>110.1+92.5</f>
        <v>202.6</v>
      </c>
      <c r="AR116" s="4">
        <f t="shared" si="23"/>
        <v>0.21450502911593436</v>
      </c>
      <c r="AS116" s="18">
        <f t="shared" si="25"/>
        <v>149.6</v>
      </c>
      <c r="AT116">
        <f t="shared" si="22"/>
        <v>0.7384007897334649</v>
      </c>
      <c r="AU116">
        <f t="shared" si="24"/>
        <v>156.63</v>
      </c>
      <c r="AV116" s="9">
        <f t="shared" si="15"/>
        <v>0.77309970384995064</v>
      </c>
    </row>
    <row r="117" spans="1:49" x14ac:dyDescent="0.3">
      <c r="A117" s="23">
        <v>337</v>
      </c>
      <c r="B117" t="s">
        <v>42</v>
      </c>
      <c r="C117" s="1">
        <v>11222</v>
      </c>
      <c r="D117" t="s">
        <v>54</v>
      </c>
      <c r="E117" t="s">
        <v>110</v>
      </c>
      <c r="F117" t="s">
        <v>110</v>
      </c>
      <c r="G117" s="2">
        <v>1974</v>
      </c>
      <c r="H117" s="2" t="s">
        <v>69</v>
      </c>
      <c r="I117" s="2" t="str">
        <f t="shared" si="16"/>
        <v>1950-1980</v>
      </c>
      <c r="J117" s="2">
        <v>24</v>
      </c>
      <c r="K117" s="2">
        <f t="shared" si="13"/>
        <v>20</v>
      </c>
      <c r="L117" s="2">
        <v>134</v>
      </c>
      <c r="M117" s="2">
        <v>110</v>
      </c>
      <c r="N117" s="2">
        <v>4</v>
      </c>
      <c r="O117" s="2">
        <v>0</v>
      </c>
      <c r="P117" s="2">
        <v>3</v>
      </c>
      <c r="Q117" s="2">
        <v>1</v>
      </c>
      <c r="R117" s="2">
        <v>13.1</v>
      </c>
      <c r="S117" s="2">
        <v>13</v>
      </c>
      <c r="T117" s="2">
        <v>14.1</v>
      </c>
      <c r="U117" s="2">
        <v>56.5</v>
      </c>
      <c r="V117" s="1">
        <v>732</v>
      </c>
      <c r="W117" s="2">
        <v>2546.1</v>
      </c>
      <c r="X117" s="2">
        <v>613.79999999999995</v>
      </c>
      <c r="Y117" s="1">
        <v>2030.5</v>
      </c>
      <c r="Z117" s="2" t="s">
        <v>70</v>
      </c>
      <c r="AA117" s="2">
        <v>4</v>
      </c>
      <c r="AB117" s="2">
        <v>0</v>
      </c>
      <c r="AD117" s="3" t="s">
        <v>219</v>
      </c>
      <c r="AE117" s="3" t="s">
        <v>115</v>
      </c>
      <c r="AF117" s="3" t="s">
        <v>83</v>
      </c>
      <c r="AG117" s="3" t="s">
        <v>74</v>
      </c>
      <c r="AH117" s="3" t="s">
        <v>75</v>
      </c>
      <c r="AI117" s="2">
        <v>1</v>
      </c>
      <c r="AJ117" s="2">
        <v>0</v>
      </c>
      <c r="AK117" s="2">
        <v>0</v>
      </c>
      <c r="AL117" s="2">
        <v>1</v>
      </c>
      <c r="AM117" s="2">
        <v>0</v>
      </c>
      <c r="AN117" s="2">
        <v>0</v>
      </c>
      <c r="AO117" s="2" t="s">
        <v>123</v>
      </c>
      <c r="AP117" s="16">
        <v>1082</v>
      </c>
      <c r="AQ117" s="16">
        <f>247.66+235.96</f>
        <v>483.62</v>
      </c>
      <c r="AR117" s="4">
        <f t="shared" si="23"/>
        <v>0.3088999885029573</v>
      </c>
      <c r="AS117" s="18">
        <f t="shared" si="25"/>
        <v>324.88</v>
      </c>
      <c r="AT117">
        <f t="shared" si="22"/>
        <v>0.67176708986394273</v>
      </c>
      <c r="AU117">
        <f t="shared" si="24"/>
        <v>249.7</v>
      </c>
      <c r="AV117" s="9">
        <f t="shared" si="15"/>
        <v>0.5163144617675034</v>
      </c>
    </row>
    <row r="118" spans="1:49" x14ac:dyDescent="0.3">
      <c r="A118" s="24" t="s">
        <v>314</v>
      </c>
      <c r="B118" t="s">
        <v>42</v>
      </c>
      <c r="C118" s="2">
        <v>11222</v>
      </c>
      <c r="D118" t="s">
        <v>54</v>
      </c>
      <c r="E118" t="s">
        <v>110</v>
      </c>
      <c r="F118" t="s">
        <v>110</v>
      </c>
      <c r="G118" s="2">
        <v>1968</v>
      </c>
      <c r="H118" s="2" t="s">
        <v>57</v>
      </c>
      <c r="I118" s="2" t="str">
        <f t="shared" si="16"/>
        <v>1950-1980</v>
      </c>
      <c r="J118" s="14">
        <v>38</v>
      </c>
      <c r="K118" s="2">
        <f t="shared" si="13"/>
        <v>40</v>
      </c>
      <c r="L118" s="14">
        <f>85+38*2</f>
        <v>161</v>
      </c>
      <c r="M118" s="14">
        <f>85+38</f>
        <v>123</v>
      </c>
      <c r="N118" s="2">
        <v>4</v>
      </c>
      <c r="O118" s="2">
        <v>0</v>
      </c>
      <c r="P118" s="2">
        <v>3</v>
      </c>
      <c r="Q118" s="2">
        <v>1</v>
      </c>
      <c r="R118" s="2">
        <v>16.2</v>
      </c>
      <c r="S118" s="2">
        <v>16</v>
      </c>
      <c r="T118" s="2">
        <v>14.1</v>
      </c>
      <c r="U118" s="2">
        <v>61.1</v>
      </c>
      <c r="V118" s="2">
        <v>706.1</v>
      </c>
      <c r="W118" s="2">
        <v>2617.8000000000002</v>
      </c>
      <c r="Y118" s="2">
        <v>2206.3000000000002</v>
      </c>
      <c r="Z118" s="2" t="s">
        <v>70</v>
      </c>
      <c r="AA118">
        <v>4</v>
      </c>
      <c r="AB118" s="2">
        <v>0</v>
      </c>
      <c r="AC118"/>
      <c r="AD118" s="3" t="s">
        <v>91</v>
      </c>
      <c r="AE118" s="3" t="s">
        <v>92</v>
      </c>
      <c r="AF118" s="3" t="s">
        <v>282</v>
      </c>
      <c r="AG118" s="3" t="s">
        <v>156</v>
      </c>
      <c r="AH118" s="3" t="s">
        <v>75</v>
      </c>
      <c r="AI118" s="2">
        <v>0</v>
      </c>
      <c r="AJ118" s="2">
        <v>1</v>
      </c>
      <c r="AK118" s="2">
        <v>0</v>
      </c>
      <c r="AL118" s="2">
        <v>0</v>
      </c>
      <c r="AM118" s="2">
        <v>0</v>
      </c>
      <c r="AN118" s="2">
        <v>1</v>
      </c>
      <c r="AO118" s="2" t="s">
        <v>76</v>
      </c>
      <c r="AP118" s="2">
        <v>1056.7</v>
      </c>
      <c r="AQ118" s="2">
        <v>430.9</v>
      </c>
      <c r="AR118" s="4">
        <f t="shared" si="23"/>
        <v>0.28966119924710942</v>
      </c>
      <c r="AS118" s="18">
        <f t="shared" si="25"/>
        <v>353.00800000000004</v>
      </c>
      <c r="AT118">
        <f t="shared" si="22"/>
        <v>0.81923416105825031</v>
      </c>
      <c r="AU118">
        <f t="shared" si="24"/>
        <v>279.20999999999998</v>
      </c>
      <c r="AV118" s="9">
        <f t="shared" si="15"/>
        <v>0.64796936644232994</v>
      </c>
      <c r="AW118" t="s">
        <v>243</v>
      </c>
    </row>
    <row r="119" spans="1:49" x14ac:dyDescent="0.3">
      <c r="A119" s="24" t="s">
        <v>292</v>
      </c>
      <c r="B119" t="s">
        <v>42</v>
      </c>
      <c r="C119" s="2">
        <v>11222</v>
      </c>
      <c r="D119" t="s">
        <v>54</v>
      </c>
      <c r="E119" t="s">
        <v>110</v>
      </c>
      <c r="F119" t="s">
        <v>110</v>
      </c>
      <c r="G119" s="2">
        <v>1986</v>
      </c>
      <c r="H119" s="2" t="s">
        <v>131</v>
      </c>
      <c r="I119" s="2" t="str">
        <f t="shared" si="16"/>
        <v>&gt;1980</v>
      </c>
      <c r="J119" s="14">
        <v>27</v>
      </c>
      <c r="K119" s="2">
        <f t="shared" si="13"/>
        <v>30</v>
      </c>
      <c r="L119" s="14">
        <f>69+27*2</f>
        <v>123</v>
      </c>
      <c r="M119" s="14">
        <f>69+27</f>
        <v>96</v>
      </c>
      <c r="N119" s="2">
        <v>3</v>
      </c>
      <c r="O119" s="2">
        <v>0</v>
      </c>
      <c r="P119" s="2">
        <v>3</v>
      </c>
      <c r="Q119" s="2">
        <v>0</v>
      </c>
      <c r="R119" s="2">
        <v>9.8000000000000007</v>
      </c>
      <c r="S119" s="2">
        <v>10</v>
      </c>
      <c r="T119" s="15">
        <v>12.94</v>
      </c>
      <c r="U119" s="15">
        <v>59.19</v>
      </c>
      <c r="V119" s="2">
        <v>766</v>
      </c>
      <c r="W119" s="2">
        <v>2297</v>
      </c>
      <c r="X119" s="2">
        <v>0</v>
      </c>
      <c r="Y119" s="2">
        <v>1796.9</v>
      </c>
      <c r="Z119" s="2" t="s">
        <v>70</v>
      </c>
      <c r="AA119">
        <v>10</v>
      </c>
      <c r="AB119" s="2">
        <v>6</v>
      </c>
      <c r="AC119"/>
      <c r="AD119" s="3" t="s">
        <v>91</v>
      </c>
      <c r="AE119" s="3" t="s">
        <v>92</v>
      </c>
      <c r="AF119" s="3" t="s">
        <v>50</v>
      </c>
      <c r="AG119" s="3" t="s">
        <v>74</v>
      </c>
      <c r="AH119" s="3" t="s">
        <v>203</v>
      </c>
      <c r="AI119" s="2">
        <v>1</v>
      </c>
      <c r="AJ119" s="2">
        <v>0</v>
      </c>
      <c r="AK119" s="2">
        <v>0</v>
      </c>
      <c r="AL119" s="2">
        <v>1</v>
      </c>
      <c r="AM119" s="2">
        <v>0</v>
      </c>
      <c r="AN119" s="2">
        <v>1</v>
      </c>
      <c r="AO119" s="2" t="s">
        <v>76</v>
      </c>
      <c r="AP119" s="2">
        <v>1121</v>
      </c>
      <c r="AQ119" s="2">
        <v>274.5</v>
      </c>
      <c r="AR119" s="4">
        <f t="shared" si="23"/>
        <v>0.19670369043353636</v>
      </c>
      <c r="AS119" s="18">
        <f t="shared" si="25"/>
        <v>287.50400000000002</v>
      </c>
      <c r="AT119">
        <f t="shared" si="22"/>
        <v>1.0473734061930784</v>
      </c>
      <c r="AU119">
        <f t="shared" si="24"/>
        <v>217.92000000000002</v>
      </c>
      <c r="AV119" s="9">
        <f t="shared" si="15"/>
        <v>0.7938797814207651</v>
      </c>
      <c r="AW119" t="s">
        <v>244</v>
      </c>
    </row>
    <row r="120" spans="1:49" x14ac:dyDescent="0.3">
      <c r="A120" s="23">
        <v>204</v>
      </c>
      <c r="B120" t="s">
        <v>42</v>
      </c>
      <c r="C120" s="1">
        <v>11222</v>
      </c>
      <c r="D120" t="s">
        <v>54</v>
      </c>
      <c r="E120" t="s">
        <v>110</v>
      </c>
      <c r="F120" t="s">
        <v>110</v>
      </c>
      <c r="G120" s="2">
        <v>1989</v>
      </c>
      <c r="H120" s="2" t="s">
        <v>131</v>
      </c>
      <c r="I120" s="2" t="str">
        <f t="shared" si="16"/>
        <v>&gt;1980</v>
      </c>
      <c r="J120" s="2">
        <v>27</v>
      </c>
      <c r="K120" s="2">
        <f t="shared" si="13"/>
        <v>30</v>
      </c>
      <c r="L120" s="2">
        <v>110</v>
      </c>
      <c r="M120" s="2">
        <v>83</v>
      </c>
      <c r="N120" s="2">
        <v>3</v>
      </c>
      <c r="O120" s="2">
        <v>0</v>
      </c>
      <c r="P120" s="2">
        <v>3</v>
      </c>
      <c r="Q120" s="2">
        <v>1</v>
      </c>
      <c r="R120" s="2">
        <v>11.3</v>
      </c>
      <c r="S120" s="2">
        <v>11.5</v>
      </c>
      <c r="T120" s="2">
        <v>26.2</v>
      </c>
      <c r="U120" s="2">
        <v>46</v>
      </c>
      <c r="V120" s="1">
        <v>670.1</v>
      </c>
      <c r="W120" s="2">
        <v>1924.7</v>
      </c>
      <c r="X120" s="2">
        <v>429.3</v>
      </c>
      <c r="Y120" s="1">
        <v>1453.5</v>
      </c>
      <c r="Z120" s="2" t="s">
        <v>70</v>
      </c>
      <c r="AA120" s="2">
        <v>6</v>
      </c>
      <c r="AB120" s="2">
        <v>2</v>
      </c>
      <c r="AD120" s="3" t="s">
        <v>91</v>
      </c>
      <c r="AE120" s="3" t="s">
        <v>115</v>
      </c>
      <c r="AF120" s="3" t="s">
        <v>202</v>
      </c>
      <c r="AG120" s="3" t="s">
        <v>74</v>
      </c>
      <c r="AH120" s="3" t="s">
        <v>75</v>
      </c>
      <c r="AI120" s="2">
        <v>1</v>
      </c>
      <c r="AJ120" s="2">
        <v>0</v>
      </c>
      <c r="AK120" s="2">
        <v>0</v>
      </c>
      <c r="AL120" s="2">
        <v>1</v>
      </c>
      <c r="AM120" s="2">
        <v>0</v>
      </c>
      <c r="AN120" s="2">
        <v>0</v>
      </c>
      <c r="AO120" s="2" t="s">
        <v>76</v>
      </c>
      <c r="AP120" s="1">
        <v>789</v>
      </c>
      <c r="AQ120" s="1">
        <f>69+74+11+11+90</f>
        <v>255</v>
      </c>
      <c r="AR120" s="4">
        <f t="shared" si="23"/>
        <v>0.2442528735632184</v>
      </c>
      <c r="AS120" s="18">
        <f t="shared" si="25"/>
        <v>232.56</v>
      </c>
      <c r="AT120">
        <f t="shared" si="22"/>
        <v>0.91200000000000003</v>
      </c>
      <c r="AU120">
        <f t="shared" si="24"/>
        <v>188.41</v>
      </c>
      <c r="AV120" s="9">
        <f t="shared" si="15"/>
        <v>0.73886274509803918</v>
      </c>
    </row>
    <row r="121" spans="1:49" x14ac:dyDescent="0.3">
      <c r="A121" s="23">
        <v>360</v>
      </c>
      <c r="B121" t="s">
        <v>42</v>
      </c>
      <c r="C121" s="1">
        <v>11222</v>
      </c>
      <c r="D121" t="s">
        <v>54</v>
      </c>
      <c r="E121" t="s">
        <v>110</v>
      </c>
      <c r="F121" t="s">
        <v>110</v>
      </c>
      <c r="G121" s="2">
        <v>1966</v>
      </c>
      <c r="H121" s="2" t="s">
        <v>57</v>
      </c>
      <c r="I121" s="2" t="str">
        <f t="shared" si="16"/>
        <v>1950-1980</v>
      </c>
      <c r="J121" s="2">
        <v>48</v>
      </c>
      <c r="K121" s="2">
        <f t="shared" si="13"/>
        <v>50</v>
      </c>
      <c r="L121" s="2">
        <v>204</v>
      </c>
      <c r="M121" s="2">
        <v>156</v>
      </c>
      <c r="N121" s="2">
        <v>4</v>
      </c>
      <c r="O121" s="2">
        <v>0</v>
      </c>
      <c r="P121" s="2">
        <v>3</v>
      </c>
      <c r="Q121" s="2">
        <v>1</v>
      </c>
      <c r="R121" s="2">
        <v>14.7</v>
      </c>
      <c r="S121" s="2">
        <v>14.5</v>
      </c>
      <c r="T121" s="2">
        <v>11.7</v>
      </c>
      <c r="U121" s="2">
        <v>61.2</v>
      </c>
      <c r="V121" s="1">
        <v>700.4</v>
      </c>
      <c r="W121" s="2">
        <v>2539.5</v>
      </c>
      <c r="X121" s="2">
        <v>41.5</v>
      </c>
      <c r="Y121" s="1">
        <v>2119</v>
      </c>
      <c r="Z121" s="2" t="s">
        <v>70</v>
      </c>
      <c r="AA121" s="2">
        <v>4</v>
      </c>
      <c r="AB121" s="2">
        <v>0</v>
      </c>
      <c r="AD121" s="3" t="s">
        <v>204</v>
      </c>
      <c r="AE121" s="3" t="s">
        <v>115</v>
      </c>
      <c r="AF121" s="3" t="s">
        <v>83</v>
      </c>
      <c r="AG121" s="3" t="s">
        <v>51</v>
      </c>
      <c r="AH121" s="3" t="s">
        <v>75</v>
      </c>
      <c r="AI121" s="2">
        <v>0</v>
      </c>
      <c r="AJ121" s="2">
        <v>1</v>
      </c>
      <c r="AK121" s="2">
        <v>0</v>
      </c>
      <c r="AL121" s="2">
        <v>0</v>
      </c>
      <c r="AM121" s="2">
        <v>0</v>
      </c>
      <c r="AN121" s="2">
        <v>1</v>
      </c>
      <c r="AO121" s="2" t="s">
        <v>76</v>
      </c>
      <c r="AP121" s="1">
        <f>1081.6+13</f>
        <v>1094.5999999999999</v>
      </c>
      <c r="AQ121" s="1">
        <f>189.7+16.6*2+176.8</f>
        <v>399.7</v>
      </c>
      <c r="AR121" s="4">
        <f t="shared" si="23"/>
        <v>0.26748310245599949</v>
      </c>
      <c r="AS121" s="18">
        <f t="shared" si="25"/>
        <v>339.04</v>
      </c>
      <c r="AT121">
        <f t="shared" si="22"/>
        <v>0.84823617713284971</v>
      </c>
      <c r="AU121">
        <f t="shared" si="24"/>
        <v>354.12</v>
      </c>
      <c r="AV121" s="9">
        <f t="shared" si="15"/>
        <v>0.88596447335501627</v>
      </c>
    </row>
    <row r="122" spans="1:49" x14ac:dyDescent="0.3">
      <c r="A122" s="24" t="s">
        <v>249</v>
      </c>
      <c r="B122" t="s">
        <v>42</v>
      </c>
      <c r="C122" s="2">
        <v>11222</v>
      </c>
      <c r="D122" t="s">
        <v>54</v>
      </c>
      <c r="E122" t="s">
        <v>55</v>
      </c>
      <c r="F122" t="s">
        <v>56</v>
      </c>
      <c r="G122" s="2">
        <v>1973</v>
      </c>
      <c r="H122" s="2" t="s">
        <v>69</v>
      </c>
      <c r="I122" s="2" t="str">
        <f t="shared" si="16"/>
        <v>1950-1980</v>
      </c>
      <c r="J122" s="14">
        <v>27</v>
      </c>
      <c r="K122" s="2">
        <f t="shared" si="13"/>
        <v>30</v>
      </c>
      <c r="L122" s="14">
        <f>54+27*2</f>
        <v>108</v>
      </c>
      <c r="M122" s="14">
        <f>54+27</f>
        <v>81</v>
      </c>
      <c r="N122" s="2">
        <v>3</v>
      </c>
      <c r="O122" s="2">
        <v>0</v>
      </c>
      <c r="P122" s="2">
        <v>3</v>
      </c>
      <c r="Q122" s="2">
        <v>1</v>
      </c>
      <c r="R122" s="2">
        <v>11.3</v>
      </c>
      <c r="S122" s="2">
        <v>11.5</v>
      </c>
      <c r="T122" s="15">
        <v>13.3</v>
      </c>
      <c r="U122" s="15">
        <v>50.18</v>
      </c>
      <c r="V122" s="2">
        <v>783</v>
      </c>
      <c r="W122" s="2">
        <v>1817.5</v>
      </c>
      <c r="X122" s="2">
        <v>500</v>
      </c>
      <c r="Y122" s="2">
        <v>1344.5</v>
      </c>
      <c r="Z122" s="2" t="s">
        <v>70</v>
      </c>
      <c r="AA122">
        <v>4</v>
      </c>
      <c r="AB122" s="2">
        <v>0</v>
      </c>
      <c r="AC122"/>
      <c r="AD122" s="3" t="s">
        <v>126</v>
      </c>
      <c r="AE122" s="3" t="s">
        <v>115</v>
      </c>
      <c r="AF122" s="3" t="s">
        <v>50</v>
      </c>
      <c r="AG122" s="3" t="s">
        <v>250</v>
      </c>
      <c r="AH122" s="3" t="s">
        <v>75</v>
      </c>
      <c r="AI122" s="2">
        <v>0</v>
      </c>
      <c r="AJ122" s="2">
        <v>1</v>
      </c>
      <c r="AK122" s="2">
        <v>0</v>
      </c>
      <c r="AL122" s="2">
        <v>0</v>
      </c>
      <c r="AM122" s="2">
        <v>0</v>
      </c>
      <c r="AN122" s="2">
        <v>0</v>
      </c>
      <c r="AO122" s="2" t="s">
        <v>61</v>
      </c>
      <c r="AP122" s="2">
        <v>692</v>
      </c>
      <c r="AQ122" s="2">
        <v>291</v>
      </c>
      <c r="AR122" s="4">
        <f t="shared" si="23"/>
        <v>0.29603255340793488</v>
      </c>
      <c r="AS122" s="18">
        <f t="shared" si="25"/>
        <v>215.12</v>
      </c>
      <c r="AT122">
        <f t="shared" si="22"/>
        <v>0.73924398625429555</v>
      </c>
      <c r="AU122">
        <f t="shared" si="24"/>
        <v>183.87</v>
      </c>
      <c r="AV122" s="9">
        <f t="shared" si="15"/>
        <v>0.63185567010309285</v>
      </c>
      <c r="AW122" t="s">
        <v>245</v>
      </c>
    </row>
    <row r="123" spans="1:49" x14ac:dyDescent="0.3">
      <c r="A123" s="23">
        <v>153</v>
      </c>
      <c r="B123" t="s">
        <v>42</v>
      </c>
      <c r="C123" s="1">
        <v>11222</v>
      </c>
      <c r="D123" t="s">
        <v>54</v>
      </c>
      <c r="E123" t="s">
        <v>55</v>
      </c>
      <c r="F123" t="s">
        <v>56</v>
      </c>
      <c r="G123" s="2">
        <v>1986</v>
      </c>
      <c r="H123" s="2" t="s">
        <v>131</v>
      </c>
      <c r="I123" s="2" t="str">
        <f t="shared" si="16"/>
        <v>&gt;1980</v>
      </c>
      <c r="J123" s="2">
        <v>18</v>
      </c>
      <c r="K123" s="2">
        <f t="shared" si="13"/>
        <v>20</v>
      </c>
      <c r="L123" s="2">
        <v>84</v>
      </c>
      <c r="M123" s="2">
        <v>66</v>
      </c>
      <c r="N123" s="2">
        <v>3</v>
      </c>
      <c r="O123" s="2">
        <v>0</v>
      </c>
      <c r="P123" s="2">
        <v>3</v>
      </c>
      <c r="Q123" s="2">
        <v>1</v>
      </c>
      <c r="R123" s="2">
        <v>11.3</v>
      </c>
      <c r="S123" s="2">
        <v>11.5</v>
      </c>
      <c r="T123" s="2">
        <v>11.7</v>
      </c>
      <c r="U123" s="2">
        <v>52.2</v>
      </c>
      <c r="V123" s="1">
        <v>533</v>
      </c>
      <c r="W123" s="2">
        <v>1648.1</v>
      </c>
      <c r="X123" s="2">
        <v>518.9</v>
      </c>
      <c r="Y123" s="1">
        <v>1250.7</v>
      </c>
      <c r="Z123" s="11" t="s">
        <v>70</v>
      </c>
      <c r="AA123" s="2">
        <v>4</v>
      </c>
      <c r="AB123" s="2">
        <v>0</v>
      </c>
      <c r="AC123" s="2">
        <v>2</v>
      </c>
      <c r="AD123" s="3" t="s">
        <v>219</v>
      </c>
      <c r="AE123" s="3" t="s">
        <v>115</v>
      </c>
      <c r="AF123" s="3" t="s">
        <v>50</v>
      </c>
      <c r="AG123" s="3" t="s">
        <v>174</v>
      </c>
      <c r="AH123" s="3" t="s">
        <v>75</v>
      </c>
      <c r="AI123" s="2">
        <v>0</v>
      </c>
      <c r="AJ123" s="2">
        <v>1</v>
      </c>
      <c r="AK123" s="2">
        <v>0</v>
      </c>
      <c r="AL123" s="2">
        <v>1</v>
      </c>
      <c r="AM123" s="2">
        <v>0</v>
      </c>
      <c r="AN123" s="2">
        <v>0</v>
      </c>
      <c r="AO123" s="2" t="s">
        <v>76</v>
      </c>
      <c r="AP123" s="1">
        <v>1252</v>
      </c>
      <c r="AQ123" s="1">
        <f>204.7</f>
        <v>204.7</v>
      </c>
      <c r="AR123" s="4">
        <f t="shared" si="23"/>
        <v>0.1405231001578911</v>
      </c>
      <c r="AS123" s="18">
        <f t="shared" si="25"/>
        <v>200.11199999999999</v>
      </c>
      <c r="AT123">
        <f t="shared" si="22"/>
        <v>0.97758671226184668</v>
      </c>
      <c r="AU123">
        <f t="shared" si="24"/>
        <v>149.82</v>
      </c>
      <c r="AV123" s="9">
        <f t="shared" si="15"/>
        <v>0.73190034196384957</v>
      </c>
    </row>
    <row r="124" spans="1:49" x14ac:dyDescent="0.3">
      <c r="A124" s="23">
        <v>368</v>
      </c>
      <c r="B124" t="s">
        <v>42</v>
      </c>
      <c r="C124" s="1">
        <v>11222</v>
      </c>
      <c r="D124" t="s">
        <v>54</v>
      </c>
      <c r="E124" t="s">
        <v>89</v>
      </c>
      <c r="F124" t="s">
        <v>254</v>
      </c>
      <c r="G124" s="2">
        <v>1982</v>
      </c>
      <c r="H124" s="2" t="s">
        <v>131</v>
      </c>
      <c r="I124" s="2" t="str">
        <f t="shared" si="16"/>
        <v>&gt;1980</v>
      </c>
      <c r="J124" s="2">
        <v>21</v>
      </c>
      <c r="K124" s="2">
        <f t="shared" si="13"/>
        <v>20</v>
      </c>
      <c r="L124" s="2">
        <v>105</v>
      </c>
      <c r="M124" s="2">
        <v>84</v>
      </c>
      <c r="N124" s="2">
        <v>3</v>
      </c>
      <c r="O124" s="2">
        <v>0</v>
      </c>
      <c r="P124" s="2">
        <v>3</v>
      </c>
      <c r="Q124" s="2">
        <v>1</v>
      </c>
      <c r="R124" s="2">
        <v>13</v>
      </c>
      <c r="S124" s="2">
        <v>13</v>
      </c>
      <c r="V124" s="1">
        <v>667</v>
      </c>
      <c r="W124" s="2">
        <v>2035</v>
      </c>
      <c r="X124" s="2">
        <v>472.1</v>
      </c>
      <c r="Y124" s="1">
        <v>1392.4</v>
      </c>
      <c r="Z124" s="2" t="s">
        <v>70</v>
      </c>
      <c r="AA124" s="2">
        <v>18</v>
      </c>
      <c r="AB124" s="2">
        <v>14</v>
      </c>
      <c r="AC124" s="2">
        <v>0</v>
      </c>
      <c r="AD124" s="3" t="s">
        <v>197</v>
      </c>
      <c r="AE124" s="3" t="s">
        <v>255</v>
      </c>
      <c r="AF124" s="3" t="s">
        <v>202</v>
      </c>
      <c r="AG124" s="3" t="s">
        <v>74</v>
      </c>
      <c r="AH124" s="3" t="s">
        <v>100</v>
      </c>
      <c r="AI124" s="2">
        <v>1</v>
      </c>
      <c r="AJ124" s="2">
        <v>0</v>
      </c>
      <c r="AK124" s="2">
        <v>0</v>
      </c>
      <c r="AL124" s="2">
        <v>1</v>
      </c>
      <c r="AM124" s="2">
        <v>0</v>
      </c>
      <c r="AN124" s="2">
        <v>1</v>
      </c>
      <c r="AO124" s="2" t="s">
        <v>76</v>
      </c>
      <c r="AP124" s="1">
        <v>994.2</v>
      </c>
      <c r="AQ124" s="1">
        <f>127.6+85.7+12.6+32.6</f>
        <v>258.5</v>
      </c>
      <c r="AR124" s="4">
        <f t="shared" si="23"/>
        <v>0.20635427476650434</v>
      </c>
      <c r="AS124" s="18">
        <f t="shared" si="25"/>
        <v>222.78400000000002</v>
      </c>
      <c r="AT124">
        <f t="shared" si="22"/>
        <v>0.86183365570599624</v>
      </c>
      <c r="AU124">
        <f t="shared" si="24"/>
        <v>190.68</v>
      </c>
      <c r="AV124" s="9">
        <f t="shared" si="15"/>
        <v>0.7376402321083172</v>
      </c>
    </row>
    <row r="125" spans="1:49" x14ac:dyDescent="0.3">
      <c r="A125" s="23">
        <v>161</v>
      </c>
      <c r="B125" t="s">
        <v>42</v>
      </c>
      <c r="C125" s="1">
        <v>11222</v>
      </c>
      <c r="D125" t="s">
        <v>54</v>
      </c>
      <c r="E125" t="s">
        <v>89</v>
      </c>
      <c r="F125" t="s">
        <v>90</v>
      </c>
      <c r="G125" s="2">
        <v>1972</v>
      </c>
      <c r="H125" s="2" t="s">
        <v>69</v>
      </c>
      <c r="I125" s="2" t="str">
        <f t="shared" si="16"/>
        <v>1950-1980</v>
      </c>
      <c r="J125" s="2">
        <v>12</v>
      </c>
      <c r="K125" s="2">
        <f t="shared" si="13"/>
        <v>10</v>
      </c>
      <c r="L125" s="2">
        <v>48</v>
      </c>
      <c r="M125" s="2">
        <v>36</v>
      </c>
      <c r="N125" s="2">
        <v>2</v>
      </c>
      <c r="O125" s="2">
        <v>0</v>
      </c>
      <c r="P125" s="2">
        <v>3</v>
      </c>
      <c r="Q125" s="2">
        <v>1</v>
      </c>
      <c r="R125" s="2">
        <v>9.6999999999999993</v>
      </c>
      <c r="S125" s="2">
        <v>9.5</v>
      </c>
      <c r="T125" s="2">
        <v>11</v>
      </c>
      <c r="U125" s="2">
        <v>38.4</v>
      </c>
      <c r="V125" s="1">
        <v>397</v>
      </c>
      <c r="W125" s="2">
        <v>840.8</v>
      </c>
      <c r="X125" s="2">
        <v>162.19999999999999</v>
      </c>
      <c r="Y125" s="1">
        <v>573</v>
      </c>
      <c r="Z125" s="2" t="s">
        <v>70</v>
      </c>
      <c r="AA125" s="2">
        <v>10</v>
      </c>
      <c r="AB125" s="2">
        <v>6</v>
      </c>
      <c r="AC125" s="2">
        <v>0</v>
      </c>
      <c r="AD125" s="3" t="s">
        <v>91</v>
      </c>
      <c r="AE125" s="3" t="s">
        <v>92</v>
      </c>
      <c r="AF125" s="3" t="s">
        <v>50</v>
      </c>
      <c r="AG125" s="3" t="s">
        <v>67</v>
      </c>
      <c r="AH125" s="3" t="s">
        <v>52</v>
      </c>
      <c r="AI125" s="2">
        <v>0</v>
      </c>
      <c r="AJ125" s="2">
        <v>1</v>
      </c>
      <c r="AK125" s="2">
        <v>0</v>
      </c>
      <c r="AL125" s="2">
        <v>0</v>
      </c>
      <c r="AM125" s="2">
        <v>0</v>
      </c>
      <c r="AN125" s="2">
        <v>1</v>
      </c>
      <c r="AO125" s="2" t="s">
        <v>84</v>
      </c>
      <c r="AP125" s="1">
        <f>385.5</f>
        <v>385.5</v>
      </c>
      <c r="AQ125" s="1">
        <f>85+40.3</f>
        <v>125.3</v>
      </c>
      <c r="AR125" s="4">
        <f t="shared" si="23"/>
        <v>0.24530148786217695</v>
      </c>
      <c r="AS125" s="18">
        <f t="shared" si="25"/>
        <v>91.68</v>
      </c>
      <c r="AT125">
        <f t="shared" si="22"/>
        <v>0.73168395849960099</v>
      </c>
      <c r="AU125">
        <f t="shared" si="24"/>
        <v>81.72</v>
      </c>
      <c r="AV125" s="9">
        <f t="shared" si="15"/>
        <v>0.65219473264166006</v>
      </c>
    </row>
    <row r="126" spans="1:49" x14ac:dyDescent="0.3">
      <c r="A126" s="23">
        <v>2</v>
      </c>
      <c r="B126" t="s">
        <v>42</v>
      </c>
      <c r="C126" s="1">
        <v>11222</v>
      </c>
      <c r="D126" t="s">
        <v>132</v>
      </c>
      <c r="E126" t="s">
        <v>133</v>
      </c>
      <c r="F126" t="s">
        <v>166</v>
      </c>
      <c r="G126" s="2">
        <v>1967</v>
      </c>
      <c r="H126" s="2" t="s">
        <v>57</v>
      </c>
      <c r="I126" s="2" t="str">
        <f t="shared" si="16"/>
        <v>1950-1980</v>
      </c>
      <c r="J126" s="2">
        <v>48</v>
      </c>
      <c r="K126" s="2">
        <f t="shared" si="13"/>
        <v>50</v>
      </c>
      <c r="L126" s="2">
        <v>204</v>
      </c>
      <c r="M126" s="2">
        <v>156</v>
      </c>
      <c r="N126" s="2">
        <v>4</v>
      </c>
      <c r="O126" s="2">
        <v>0</v>
      </c>
      <c r="P126" s="2">
        <v>3</v>
      </c>
      <c r="Q126" s="2">
        <v>1</v>
      </c>
      <c r="R126" s="2">
        <v>12</v>
      </c>
      <c r="S126" s="2">
        <v>12</v>
      </c>
      <c r="V126" s="1">
        <v>685</v>
      </c>
      <c r="W126" s="2">
        <v>2590.4</v>
      </c>
      <c r="X126" s="2">
        <v>554.9</v>
      </c>
      <c r="Y126" s="1">
        <v>2035.5</v>
      </c>
      <c r="Z126" s="2" t="s">
        <v>70</v>
      </c>
      <c r="AA126" s="2">
        <v>4</v>
      </c>
      <c r="AB126" s="2">
        <v>0</v>
      </c>
      <c r="AD126" s="3" t="s">
        <v>126</v>
      </c>
      <c r="AE126" s="3" t="s">
        <v>115</v>
      </c>
      <c r="AF126" s="3" t="s">
        <v>83</v>
      </c>
      <c r="AG126" s="3" t="s">
        <v>51</v>
      </c>
      <c r="AH126" s="3" t="s">
        <v>75</v>
      </c>
      <c r="AI126" s="2">
        <v>0</v>
      </c>
      <c r="AJ126" s="2">
        <v>1</v>
      </c>
      <c r="AK126" s="2">
        <v>0</v>
      </c>
      <c r="AL126" s="2">
        <v>0</v>
      </c>
      <c r="AM126" s="2">
        <v>0</v>
      </c>
      <c r="AN126" s="2">
        <v>1</v>
      </c>
      <c r="AO126" s="2" t="s">
        <v>53</v>
      </c>
      <c r="AP126" s="16">
        <v>1259</v>
      </c>
      <c r="AQ126" s="16">
        <v>388</v>
      </c>
      <c r="AR126" s="4">
        <f t="shared" si="23"/>
        <v>0.23557984213721919</v>
      </c>
      <c r="AS126" s="18">
        <f t="shared" si="25"/>
        <v>325.68</v>
      </c>
      <c r="AT126">
        <f t="shared" si="22"/>
        <v>0.83938144329896913</v>
      </c>
      <c r="AU126">
        <f t="shared" si="24"/>
        <v>354.12</v>
      </c>
      <c r="AV126" s="9">
        <f t="shared" si="15"/>
        <v>0.91268041237113406</v>
      </c>
    </row>
    <row r="127" spans="1:49" x14ac:dyDescent="0.3">
      <c r="A127" s="24" t="s">
        <v>246</v>
      </c>
      <c r="B127" t="s">
        <v>42</v>
      </c>
      <c r="C127" s="2">
        <v>11222</v>
      </c>
      <c r="D127" t="s">
        <v>132</v>
      </c>
      <c r="E127" t="s">
        <v>247</v>
      </c>
      <c r="F127" t="s">
        <v>248</v>
      </c>
      <c r="G127" s="2">
        <v>1982</v>
      </c>
      <c r="H127" s="2" t="s">
        <v>131</v>
      </c>
      <c r="I127" s="2" t="str">
        <f t="shared" si="16"/>
        <v>&gt;1980</v>
      </c>
      <c r="J127" s="14">
        <v>18</v>
      </c>
      <c r="K127" s="2">
        <f t="shared" si="13"/>
        <v>20</v>
      </c>
      <c r="L127" s="14">
        <f>48+18*2</f>
        <v>84</v>
      </c>
      <c r="M127" s="14">
        <f>48+18</f>
        <v>66</v>
      </c>
      <c r="N127" s="2">
        <v>3</v>
      </c>
      <c r="O127" s="2">
        <v>0</v>
      </c>
      <c r="P127" s="2">
        <v>3</v>
      </c>
      <c r="Q127" s="2">
        <v>0</v>
      </c>
      <c r="R127" s="15">
        <v>10.199999999999999</v>
      </c>
      <c r="S127" s="2">
        <v>10</v>
      </c>
      <c r="T127" s="15">
        <v>11.5</v>
      </c>
      <c r="U127" s="15">
        <v>52.47</v>
      </c>
      <c r="V127" s="2">
        <v>525</v>
      </c>
      <c r="W127" s="2">
        <v>1578.3</v>
      </c>
      <c r="Y127" s="2">
        <v>1323.1</v>
      </c>
      <c r="Z127" s="2" t="s">
        <v>70</v>
      </c>
      <c r="AA127">
        <v>4</v>
      </c>
      <c r="AB127" s="2">
        <v>0</v>
      </c>
      <c r="AC127"/>
      <c r="AD127" s="3" t="s">
        <v>91</v>
      </c>
      <c r="AE127" s="3" t="s">
        <v>92</v>
      </c>
      <c r="AF127" s="3" t="s">
        <v>50</v>
      </c>
      <c r="AG127" s="3" t="s">
        <v>60</v>
      </c>
      <c r="AH127" s="3" t="s">
        <v>52</v>
      </c>
      <c r="AI127" s="2">
        <v>0</v>
      </c>
      <c r="AJ127" s="2">
        <v>1</v>
      </c>
      <c r="AK127" s="2">
        <v>0</v>
      </c>
      <c r="AL127" s="2">
        <v>1</v>
      </c>
      <c r="AM127" s="2">
        <v>0</v>
      </c>
      <c r="AN127" s="2">
        <v>0</v>
      </c>
      <c r="AO127" s="2" t="s">
        <v>123</v>
      </c>
      <c r="AP127" s="2">
        <v>893.4</v>
      </c>
      <c r="AQ127" s="2">
        <v>210</v>
      </c>
      <c r="AR127" s="4">
        <f t="shared" si="23"/>
        <v>0.19032082653616095</v>
      </c>
      <c r="AS127" s="18">
        <f t="shared" si="25"/>
        <v>211.696</v>
      </c>
      <c r="AT127">
        <f t="shared" si="22"/>
        <v>1.0080761904761906</v>
      </c>
      <c r="AU127">
        <f t="shared" si="24"/>
        <v>149.82</v>
      </c>
      <c r="AV127" s="9">
        <f t="shared" si="15"/>
        <v>0.71342857142857141</v>
      </c>
      <c r="AW127" t="s">
        <v>251</v>
      </c>
    </row>
    <row r="128" spans="1:49" x14ac:dyDescent="0.3">
      <c r="A128" s="23">
        <v>150</v>
      </c>
      <c r="B128" t="s">
        <v>42</v>
      </c>
      <c r="C128" s="1">
        <v>11222</v>
      </c>
      <c r="D128" t="s">
        <v>211</v>
      </c>
      <c r="E128" t="s">
        <v>212</v>
      </c>
      <c r="F128" t="s">
        <v>213</v>
      </c>
      <c r="G128" s="2">
        <v>1972</v>
      </c>
      <c r="H128" s="2" t="s">
        <v>69</v>
      </c>
      <c r="I128" s="2" t="str">
        <f t="shared" si="16"/>
        <v>1950-1980</v>
      </c>
      <c r="J128" s="2">
        <v>36</v>
      </c>
      <c r="K128" s="2">
        <f t="shared" si="13"/>
        <v>40</v>
      </c>
      <c r="L128" s="2">
        <v>144</v>
      </c>
      <c r="M128" s="2">
        <v>108</v>
      </c>
      <c r="N128" s="2">
        <v>4</v>
      </c>
      <c r="O128" s="2">
        <v>0</v>
      </c>
      <c r="P128" s="2">
        <v>3</v>
      </c>
      <c r="Q128" s="2">
        <v>1</v>
      </c>
      <c r="R128" s="2">
        <v>15.3</v>
      </c>
      <c r="S128" s="2">
        <v>15.5</v>
      </c>
      <c r="T128" s="2">
        <v>11.2</v>
      </c>
      <c r="U128" s="2">
        <v>49.3</v>
      </c>
      <c r="V128" s="1">
        <v>548</v>
      </c>
      <c r="W128" s="2">
        <v>2025.9</v>
      </c>
      <c r="X128" s="2">
        <v>447.1</v>
      </c>
      <c r="Y128" s="1">
        <v>2025.9</v>
      </c>
      <c r="Z128" s="2" t="s">
        <v>70</v>
      </c>
      <c r="AA128" s="2">
        <v>4</v>
      </c>
      <c r="AB128" s="2">
        <v>0</v>
      </c>
      <c r="AD128" s="3" t="s">
        <v>126</v>
      </c>
      <c r="AE128" s="3" t="s">
        <v>115</v>
      </c>
      <c r="AF128" s="3" t="s">
        <v>50</v>
      </c>
      <c r="AG128" s="3" t="s">
        <v>51</v>
      </c>
      <c r="AH128" s="3" t="s">
        <v>177</v>
      </c>
      <c r="AI128" s="2">
        <v>0</v>
      </c>
      <c r="AJ128" s="2">
        <v>1</v>
      </c>
      <c r="AK128" s="2">
        <v>0</v>
      </c>
      <c r="AL128" s="2">
        <v>0</v>
      </c>
      <c r="AM128" s="2">
        <v>1</v>
      </c>
      <c r="AN128" s="2" t="s">
        <v>152</v>
      </c>
      <c r="AO128" s="2" t="s">
        <v>84</v>
      </c>
      <c r="AP128" s="1">
        <f>1215.4</f>
        <v>1215.4000000000001</v>
      </c>
      <c r="AQ128" s="1">
        <f>174+162</f>
        <v>336</v>
      </c>
      <c r="AR128" s="4">
        <f t="shared" si="23"/>
        <v>0.21657857419105322</v>
      </c>
      <c r="AS128" s="18">
        <f t="shared" si="25"/>
        <v>324.14400000000001</v>
      </c>
      <c r="AT128">
        <f t="shared" si="22"/>
        <v>0.96471428571428575</v>
      </c>
      <c r="AU128">
        <f t="shared" si="24"/>
        <v>245.16</v>
      </c>
      <c r="AV128" s="9">
        <f t="shared" si="15"/>
        <v>0.72964285714285715</v>
      </c>
    </row>
    <row r="129" spans="1:49" x14ac:dyDescent="0.3">
      <c r="A129" s="23">
        <v>163</v>
      </c>
      <c r="B129" t="s">
        <v>42</v>
      </c>
      <c r="C129" s="1">
        <v>11222</v>
      </c>
      <c r="D129" t="s">
        <v>77</v>
      </c>
      <c r="E129" t="s">
        <v>78</v>
      </c>
      <c r="F129" t="s">
        <v>79</v>
      </c>
      <c r="G129" s="2">
        <v>1971</v>
      </c>
      <c r="H129" s="2" t="s">
        <v>69</v>
      </c>
      <c r="I129" s="2" t="str">
        <f t="shared" si="16"/>
        <v>1950-1980</v>
      </c>
      <c r="J129" s="2">
        <v>18</v>
      </c>
      <c r="K129" s="2">
        <f t="shared" si="13"/>
        <v>20</v>
      </c>
      <c r="L129" s="2">
        <v>87</v>
      </c>
      <c r="M129" s="2">
        <v>69</v>
      </c>
      <c r="N129" s="2">
        <v>3</v>
      </c>
      <c r="O129" s="2">
        <v>0</v>
      </c>
      <c r="P129" s="2">
        <v>3</v>
      </c>
      <c r="Q129" s="2">
        <v>1</v>
      </c>
      <c r="R129" s="2">
        <v>10</v>
      </c>
      <c r="S129" s="2">
        <v>10</v>
      </c>
      <c r="T129" s="2">
        <v>9</v>
      </c>
      <c r="U129" s="2">
        <v>40</v>
      </c>
      <c r="V129" s="1">
        <v>423</v>
      </c>
      <c r="W129" s="2">
        <v>1264.5</v>
      </c>
      <c r="X129" s="2">
        <v>73.400000000000006</v>
      </c>
      <c r="Y129" s="1">
        <v>1020</v>
      </c>
      <c r="Z129" s="2" t="s">
        <v>70</v>
      </c>
      <c r="AA129" s="2">
        <v>4</v>
      </c>
      <c r="AB129" s="2">
        <v>0</v>
      </c>
      <c r="AC129" s="2">
        <v>0</v>
      </c>
      <c r="AD129" s="3" t="s">
        <v>58</v>
      </c>
      <c r="AE129" s="3" t="s">
        <v>139</v>
      </c>
      <c r="AF129" s="3" t="s">
        <v>115</v>
      </c>
      <c r="AG129" s="3" t="s">
        <v>74</v>
      </c>
      <c r="AH129" s="3" t="s">
        <v>81</v>
      </c>
      <c r="AI129" s="2">
        <v>1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 t="s">
        <v>123</v>
      </c>
      <c r="AP129" s="1">
        <f>533+132</f>
        <v>665</v>
      </c>
      <c r="AQ129" s="1">
        <f>140+117</f>
        <v>257</v>
      </c>
      <c r="AR129" s="4">
        <f t="shared" si="23"/>
        <v>0.27874186550976138</v>
      </c>
      <c r="AS129" s="18">
        <f t="shared" si="25"/>
        <v>163.19999999999999</v>
      </c>
      <c r="AT129">
        <f t="shared" si="22"/>
        <v>0.63501945525291825</v>
      </c>
      <c r="AU129">
        <f t="shared" si="24"/>
        <v>156.63</v>
      </c>
      <c r="AV129" s="9">
        <f t="shared" si="15"/>
        <v>0.60945525291828795</v>
      </c>
    </row>
    <row r="130" spans="1:49" x14ac:dyDescent="0.3">
      <c r="A130" s="23">
        <v>182</v>
      </c>
      <c r="B130" t="s">
        <v>42</v>
      </c>
      <c r="C130" s="1">
        <v>11222</v>
      </c>
      <c r="D130" t="s">
        <v>77</v>
      </c>
      <c r="E130" t="s">
        <v>78</v>
      </c>
      <c r="F130" t="s">
        <v>79</v>
      </c>
      <c r="G130" s="2">
        <v>1965</v>
      </c>
      <c r="H130" s="2" t="s">
        <v>57</v>
      </c>
      <c r="I130" s="2" t="str">
        <f t="shared" si="16"/>
        <v>1950-1980</v>
      </c>
      <c r="J130" s="2">
        <v>12</v>
      </c>
      <c r="K130" s="2">
        <f t="shared" ref="K130:K193" si="26">MROUND(J130,10)</f>
        <v>10</v>
      </c>
      <c r="L130" s="2">
        <v>47</v>
      </c>
      <c r="M130" s="2">
        <v>35</v>
      </c>
      <c r="N130" s="2">
        <v>2</v>
      </c>
      <c r="O130" s="2">
        <v>0</v>
      </c>
      <c r="P130" s="2">
        <v>3</v>
      </c>
      <c r="Q130" s="2">
        <v>1</v>
      </c>
      <c r="R130" s="2">
        <v>8.6</v>
      </c>
      <c r="S130" s="2">
        <v>8.5</v>
      </c>
      <c r="T130" s="2">
        <v>11.1</v>
      </c>
      <c r="U130" s="2">
        <v>38.200000000000003</v>
      </c>
      <c r="V130" s="1">
        <v>354</v>
      </c>
      <c r="W130" s="2">
        <v>796</v>
      </c>
      <c r="X130" s="2">
        <v>303.60000000000002</v>
      </c>
      <c r="Y130" s="1">
        <v>552</v>
      </c>
      <c r="Z130" s="2" t="s">
        <v>70</v>
      </c>
      <c r="AA130" s="2">
        <v>4</v>
      </c>
      <c r="AB130" s="2">
        <v>0</v>
      </c>
      <c r="AC130" s="2">
        <v>0</v>
      </c>
      <c r="AD130" s="3" t="s">
        <v>80</v>
      </c>
      <c r="AE130" s="3" t="s">
        <v>58</v>
      </c>
      <c r="AF130" s="3" t="s">
        <v>50</v>
      </c>
      <c r="AG130" s="3" t="s">
        <v>67</v>
      </c>
      <c r="AH130" s="3" t="s">
        <v>81</v>
      </c>
      <c r="AI130" s="2">
        <v>0</v>
      </c>
      <c r="AJ130" s="2">
        <v>1</v>
      </c>
      <c r="AK130" s="2">
        <v>0</v>
      </c>
      <c r="AL130" s="2">
        <v>0</v>
      </c>
      <c r="AM130" s="2">
        <v>0</v>
      </c>
      <c r="AN130" s="2">
        <v>1</v>
      </c>
      <c r="AO130" s="2" t="s">
        <v>76</v>
      </c>
      <c r="AP130" s="1">
        <v>547.5</v>
      </c>
      <c r="AQ130" s="1">
        <f>4.4+54.8+4.4+49.4</f>
        <v>113</v>
      </c>
      <c r="AR130" s="4">
        <f t="shared" si="23"/>
        <v>0.17108251324753973</v>
      </c>
      <c r="AS130" s="18">
        <f t="shared" si="25"/>
        <v>88.32</v>
      </c>
      <c r="AT130">
        <f t="shared" ref="AT130:AT143" si="27">IF(AQ130&lt;&gt;"",AS130/AQ130,"")</f>
        <v>0.7815929203539822</v>
      </c>
      <c r="AU130">
        <f t="shared" si="24"/>
        <v>79.45</v>
      </c>
      <c r="AV130" s="9">
        <f t="shared" ref="AV130:AV193" si="28">IF(AQ130&lt;&gt;"",AU130/AQ130,"")</f>
        <v>0.70309734513274336</v>
      </c>
    </row>
    <row r="131" spans="1:49" x14ac:dyDescent="0.3">
      <c r="A131" s="24" t="s">
        <v>93</v>
      </c>
      <c r="B131" t="s">
        <v>42</v>
      </c>
      <c r="C131" s="2">
        <v>11222</v>
      </c>
      <c r="D131" t="s">
        <v>77</v>
      </c>
      <c r="E131" t="s">
        <v>78</v>
      </c>
      <c r="F131" t="s">
        <v>79</v>
      </c>
      <c r="G131" s="2" t="s">
        <v>94</v>
      </c>
      <c r="H131" s="2" t="s">
        <v>69</v>
      </c>
      <c r="I131" s="2" t="str">
        <f t="shared" ref="I131:I194" si="29">IF(G131&lt;1951,"&lt;1950",IF(G131&lt;1981,"1950-1980","&gt;1980"))</f>
        <v>&gt;1980</v>
      </c>
      <c r="J131" s="14">
        <v>12</v>
      </c>
      <c r="K131" s="2">
        <f t="shared" si="26"/>
        <v>10</v>
      </c>
      <c r="L131" s="14">
        <f>24+12*2</f>
        <v>48</v>
      </c>
      <c r="M131" s="14">
        <f>24+12</f>
        <v>36</v>
      </c>
      <c r="N131" s="2">
        <v>2</v>
      </c>
      <c r="O131" s="2">
        <v>0</v>
      </c>
      <c r="P131" s="2">
        <v>3</v>
      </c>
      <c r="Q131" s="2">
        <v>1</v>
      </c>
      <c r="R131" s="2">
        <v>8.9</v>
      </c>
      <c r="S131" s="2">
        <v>9</v>
      </c>
      <c r="T131" s="2">
        <v>10.8</v>
      </c>
      <c r="U131" s="2">
        <v>38</v>
      </c>
      <c r="V131" s="2">
        <v>358</v>
      </c>
      <c r="W131" s="2">
        <v>800.4</v>
      </c>
      <c r="X131" s="2">
        <v>0</v>
      </c>
      <c r="Y131" s="2">
        <v>595.6</v>
      </c>
      <c r="Z131" s="2" t="s">
        <v>70</v>
      </c>
      <c r="AA131">
        <v>4</v>
      </c>
      <c r="AB131" s="2">
        <v>0</v>
      </c>
      <c r="AC131"/>
      <c r="AD131" s="3" t="s">
        <v>95</v>
      </c>
      <c r="AE131" s="3" t="s">
        <v>72</v>
      </c>
      <c r="AF131" s="3" t="s">
        <v>73</v>
      </c>
      <c r="AG131" s="3" t="s">
        <v>96</v>
      </c>
      <c r="AH131" s="3" t="s">
        <v>97</v>
      </c>
      <c r="AI131" s="2">
        <v>0</v>
      </c>
      <c r="AJ131" s="2">
        <v>1</v>
      </c>
      <c r="AK131" s="2">
        <v>0</v>
      </c>
      <c r="AL131" s="2">
        <v>0</v>
      </c>
      <c r="AM131" s="2">
        <v>0</v>
      </c>
      <c r="AN131" s="2">
        <v>1</v>
      </c>
      <c r="AO131" s="2" t="s">
        <v>76</v>
      </c>
      <c r="AP131" s="2">
        <v>382.3</v>
      </c>
      <c r="AQ131" s="2">
        <v>120.4</v>
      </c>
      <c r="AR131" s="4">
        <f t="shared" si="23"/>
        <v>0.23950666401432263</v>
      </c>
      <c r="AS131" s="18">
        <f t="shared" si="25"/>
        <v>95.296000000000006</v>
      </c>
      <c r="AT131">
        <f t="shared" si="27"/>
        <v>0.79149501661129573</v>
      </c>
      <c r="AU131">
        <f t="shared" si="24"/>
        <v>81.72</v>
      </c>
      <c r="AV131" s="9">
        <f t="shared" si="28"/>
        <v>0.67873754152823917</v>
      </c>
      <c r="AW131" t="s">
        <v>258</v>
      </c>
    </row>
    <row r="132" spans="1:49" x14ac:dyDescent="0.3">
      <c r="A132" s="23">
        <v>170</v>
      </c>
      <c r="B132" t="s">
        <v>42</v>
      </c>
      <c r="C132" s="1">
        <v>11222</v>
      </c>
      <c r="D132" t="s">
        <v>77</v>
      </c>
      <c r="E132" t="s">
        <v>78</v>
      </c>
      <c r="F132" t="s">
        <v>79</v>
      </c>
      <c r="G132" s="2">
        <v>1989</v>
      </c>
      <c r="H132" s="2" t="s">
        <v>131</v>
      </c>
      <c r="I132" s="2" t="str">
        <f t="shared" si="29"/>
        <v>&gt;1980</v>
      </c>
      <c r="J132" s="2">
        <v>24</v>
      </c>
      <c r="K132" s="2">
        <f t="shared" si="26"/>
        <v>20</v>
      </c>
      <c r="L132" s="2">
        <v>113</v>
      </c>
      <c r="M132" s="2">
        <v>89</v>
      </c>
      <c r="N132" s="2">
        <v>4</v>
      </c>
      <c r="O132" s="2">
        <v>0</v>
      </c>
      <c r="P132" s="2">
        <v>3</v>
      </c>
      <c r="Q132" s="2">
        <v>1</v>
      </c>
      <c r="R132" s="2">
        <v>13</v>
      </c>
      <c r="S132" s="2">
        <v>13</v>
      </c>
      <c r="T132" s="2">
        <v>11</v>
      </c>
      <c r="U132" s="2">
        <v>55</v>
      </c>
      <c r="V132" s="1">
        <v>560</v>
      </c>
      <c r="W132" s="2">
        <v>2011.6</v>
      </c>
      <c r="X132" s="2">
        <v>481.9</v>
      </c>
      <c r="Y132" s="1">
        <v>1640</v>
      </c>
      <c r="Z132" s="2" t="s">
        <v>70</v>
      </c>
      <c r="AA132" s="2">
        <v>4</v>
      </c>
      <c r="AB132" s="2">
        <v>0</v>
      </c>
      <c r="AC132" s="2">
        <v>0</v>
      </c>
      <c r="AD132" s="3" t="s">
        <v>91</v>
      </c>
      <c r="AE132" s="3" t="s">
        <v>92</v>
      </c>
      <c r="AF132" s="3" t="s">
        <v>50</v>
      </c>
      <c r="AG132" s="3" t="s">
        <v>74</v>
      </c>
      <c r="AH132" s="3" t="s">
        <v>75</v>
      </c>
      <c r="AI132" s="2">
        <v>1</v>
      </c>
      <c r="AJ132" s="2">
        <v>0</v>
      </c>
      <c r="AK132" s="2">
        <v>0</v>
      </c>
      <c r="AL132" s="2">
        <v>1</v>
      </c>
      <c r="AM132" s="2">
        <v>0</v>
      </c>
      <c r="AN132" s="2">
        <v>0</v>
      </c>
      <c r="AO132" s="2" t="s">
        <v>123</v>
      </c>
      <c r="AP132" s="16">
        <v>1173</v>
      </c>
      <c r="AQ132" s="16">
        <v>287.2</v>
      </c>
      <c r="AR132" s="4">
        <f t="shared" si="23"/>
        <v>0.19668538556362142</v>
      </c>
      <c r="AS132" s="18">
        <f t="shared" si="25"/>
        <v>262.39999999999998</v>
      </c>
      <c r="AT132">
        <f t="shared" si="27"/>
        <v>0.91364902506963785</v>
      </c>
      <c r="AU132">
        <f t="shared" si="24"/>
        <v>202.03</v>
      </c>
      <c r="AV132" s="9">
        <f t="shared" si="28"/>
        <v>0.7034470752089137</v>
      </c>
    </row>
    <row r="133" spans="1:49" x14ac:dyDescent="0.3">
      <c r="A133" s="23">
        <v>167</v>
      </c>
      <c r="B133" t="s">
        <v>42</v>
      </c>
      <c r="C133" s="1">
        <v>11222</v>
      </c>
      <c r="D133" t="s">
        <v>141</v>
      </c>
      <c r="E133" t="s">
        <v>183</v>
      </c>
      <c r="F133" t="s">
        <v>184</v>
      </c>
      <c r="G133" s="2">
        <v>1999</v>
      </c>
      <c r="H133" s="2" t="s">
        <v>167</v>
      </c>
      <c r="I133" s="2" t="str">
        <f t="shared" si="29"/>
        <v>&gt;1980</v>
      </c>
      <c r="J133" s="2">
        <v>12</v>
      </c>
      <c r="K133" s="2">
        <f t="shared" si="26"/>
        <v>10</v>
      </c>
      <c r="L133" s="2">
        <v>64</v>
      </c>
      <c r="M133" s="2">
        <v>52</v>
      </c>
      <c r="N133" s="2">
        <v>2</v>
      </c>
      <c r="O133" s="2">
        <v>0</v>
      </c>
      <c r="P133" s="2">
        <v>3</v>
      </c>
      <c r="Q133" s="2">
        <v>1</v>
      </c>
      <c r="R133" s="2">
        <v>8.3000000000000007</v>
      </c>
      <c r="S133" s="2">
        <v>8.5</v>
      </c>
      <c r="V133" s="1">
        <v>585</v>
      </c>
      <c r="W133" s="2">
        <v>1317.3</v>
      </c>
      <c r="X133" s="2">
        <v>475.1</v>
      </c>
      <c r="Y133" s="1">
        <v>871.1</v>
      </c>
      <c r="Z133" s="2" t="s">
        <v>70</v>
      </c>
      <c r="AA133" s="2">
        <v>4</v>
      </c>
      <c r="AB133" s="2">
        <v>0</v>
      </c>
      <c r="AD133" s="3" t="s">
        <v>91</v>
      </c>
      <c r="AE133" s="3" t="s">
        <v>115</v>
      </c>
      <c r="AF133" s="3" t="s">
        <v>50</v>
      </c>
      <c r="AG133" s="3" t="s">
        <v>60</v>
      </c>
      <c r="AH133" s="3" t="s">
        <v>75</v>
      </c>
      <c r="AI133" s="2">
        <v>0</v>
      </c>
      <c r="AJ133" s="2">
        <v>1</v>
      </c>
      <c r="AK133" s="2">
        <v>0</v>
      </c>
      <c r="AL133" s="2">
        <v>0</v>
      </c>
      <c r="AM133" s="2">
        <v>1</v>
      </c>
      <c r="AN133" s="2">
        <v>1</v>
      </c>
      <c r="AO133" s="2" t="s">
        <v>61</v>
      </c>
      <c r="AP133" s="1">
        <f>438.6+127.8</f>
        <v>566.4</v>
      </c>
      <c r="AQ133" s="1">
        <f>3.9+69.5+63.9+3.9</f>
        <v>141.20000000000002</v>
      </c>
      <c r="AR133" s="4">
        <f t="shared" si="23"/>
        <v>0.19954776710005653</v>
      </c>
      <c r="AS133" s="18">
        <f t="shared" si="25"/>
        <v>139.376</v>
      </c>
      <c r="AT133">
        <f t="shared" si="27"/>
        <v>0.98708215297450419</v>
      </c>
      <c r="AU133">
        <f t="shared" si="24"/>
        <v>118.04</v>
      </c>
      <c r="AV133" s="9">
        <f t="shared" si="28"/>
        <v>0.8359773371104815</v>
      </c>
    </row>
    <row r="134" spans="1:49" x14ac:dyDescent="0.3">
      <c r="A134" s="24" t="s">
        <v>222</v>
      </c>
      <c r="B134" t="s">
        <v>42</v>
      </c>
      <c r="C134" s="2">
        <v>11222</v>
      </c>
      <c r="D134" t="s">
        <v>141</v>
      </c>
      <c r="E134" t="s">
        <v>223</v>
      </c>
      <c r="F134" t="s">
        <v>223</v>
      </c>
      <c r="G134" s="2">
        <v>1982</v>
      </c>
      <c r="H134" s="2" t="s">
        <v>131</v>
      </c>
      <c r="I134" s="2" t="str">
        <f t="shared" si="29"/>
        <v>&gt;1980</v>
      </c>
      <c r="J134" s="14">
        <v>18</v>
      </c>
      <c r="K134" s="2">
        <f t="shared" si="26"/>
        <v>20</v>
      </c>
      <c r="L134" s="14">
        <f>51+18*2</f>
        <v>87</v>
      </c>
      <c r="M134" s="14">
        <f>51+18</f>
        <v>69</v>
      </c>
      <c r="N134" s="2">
        <v>3</v>
      </c>
      <c r="O134" s="2">
        <v>0</v>
      </c>
      <c r="P134" s="2">
        <v>3</v>
      </c>
      <c r="Q134" s="2">
        <v>1</v>
      </c>
      <c r="R134" s="2">
        <v>9.8000000000000007</v>
      </c>
      <c r="S134" s="2">
        <v>10</v>
      </c>
      <c r="T134" s="15">
        <v>9.67</v>
      </c>
      <c r="U134" s="15">
        <v>48.29</v>
      </c>
      <c r="V134" s="2">
        <v>482</v>
      </c>
      <c r="W134" s="2">
        <v>1428.1</v>
      </c>
      <c r="X134" s="2">
        <v>0</v>
      </c>
      <c r="Y134" s="2">
        <v>1136.4000000000001</v>
      </c>
      <c r="Z134" s="2" t="s">
        <v>70</v>
      </c>
      <c r="AA134">
        <v>4</v>
      </c>
      <c r="AB134" s="2">
        <v>0</v>
      </c>
      <c r="AC134"/>
      <c r="AD134" s="3" t="s">
        <v>126</v>
      </c>
      <c r="AE134" s="3" t="s">
        <v>115</v>
      </c>
      <c r="AF134" s="3" t="s">
        <v>50</v>
      </c>
      <c r="AG134" s="3" t="s">
        <v>139</v>
      </c>
      <c r="AH134" s="3" t="s">
        <v>127</v>
      </c>
      <c r="AI134" s="2">
        <v>1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 t="s">
        <v>76</v>
      </c>
      <c r="AP134" s="2">
        <v>679.8</v>
      </c>
      <c r="AQ134" s="2">
        <v>238</v>
      </c>
      <c r="AR134" s="4">
        <f t="shared" si="23"/>
        <v>0.25931575506646332</v>
      </c>
      <c r="AS134" s="18">
        <f t="shared" si="25"/>
        <v>181.82400000000001</v>
      </c>
      <c r="AT134">
        <f t="shared" si="27"/>
        <v>0.7639663865546219</v>
      </c>
      <c r="AU134">
        <f t="shared" si="24"/>
        <v>156.63</v>
      </c>
      <c r="AV134" s="9">
        <f t="shared" si="28"/>
        <v>0.65810924369747892</v>
      </c>
      <c r="AW134" t="s">
        <v>260</v>
      </c>
    </row>
    <row r="135" spans="1:49" x14ac:dyDescent="0.3">
      <c r="A135" s="23">
        <v>67</v>
      </c>
      <c r="B135" t="s">
        <v>42</v>
      </c>
      <c r="C135" s="1">
        <v>11222</v>
      </c>
      <c r="D135" t="s">
        <v>141</v>
      </c>
      <c r="E135" t="s">
        <v>223</v>
      </c>
      <c r="F135" t="s">
        <v>223</v>
      </c>
      <c r="G135" s="2">
        <v>1982</v>
      </c>
      <c r="H135" s="2" t="s">
        <v>131</v>
      </c>
      <c r="I135" s="2" t="str">
        <f t="shared" si="29"/>
        <v>&gt;1980</v>
      </c>
      <c r="J135" s="2">
        <v>18</v>
      </c>
      <c r="K135" s="2">
        <f t="shared" si="26"/>
        <v>20</v>
      </c>
      <c r="L135" s="2">
        <v>84</v>
      </c>
      <c r="M135" s="2">
        <v>66</v>
      </c>
      <c r="N135" s="2">
        <v>3</v>
      </c>
      <c r="O135" s="2">
        <v>0</v>
      </c>
      <c r="P135" s="2">
        <v>3</v>
      </c>
      <c r="Q135" s="2">
        <v>1</v>
      </c>
      <c r="R135" s="2">
        <v>10.5</v>
      </c>
      <c r="S135" s="2">
        <v>10.5</v>
      </c>
      <c r="T135" s="2">
        <v>11.7</v>
      </c>
      <c r="U135" s="2">
        <v>52.2</v>
      </c>
      <c r="V135" s="1">
        <v>561</v>
      </c>
      <c r="W135" s="2">
        <v>1644.3</v>
      </c>
      <c r="X135" s="2">
        <v>538.79999999999995</v>
      </c>
      <c r="Y135" s="1">
        <v>1225</v>
      </c>
      <c r="Z135" s="2" t="s">
        <v>70</v>
      </c>
      <c r="AA135" s="2">
        <v>4</v>
      </c>
      <c r="AB135" s="2">
        <v>0</v>
      </c>
      <c r="AD135" s="3" t="s">
        <v>204</v>
      </c>
      <c r="AE135" s="3" t="s">
        <v>115</v>
      </c>
      <c r="AF135" s="3" t="s">
        <v>50</v>
      </c>
      <c r="AG135" s="3" t="s">
        <v>139</v>
      </c>
      <c r="AH135" s="3" t="s">
        <v>75</v>
      </c>
      <c r="AI135" s="2">
        <v>1</v>
      </c>
      <c r="AJ135" s="2">
        <v>0</v>
      </c>
      <c r="AK135" s="2">
        <v>0</v>
      </c>
      <c r="AL135" s="2">
        <v>1</v>
      </c>
      <c r="AM135" s="2">
        <v>0</v>
      </c>
      <c r="AN135" s="2">
        <v>0</v>
      </c>
      <c r="AO135" s="2" t="s">
        <v>84</v>
      </c>
      <c r="AR135" s="4"/>
      <c r="AS135" s="18" t="str">
        <f t="shared" si="25"/>
        <v/>
      </c>
      <c r="AT135" t="str">
        <f t="shared" si="27"/>
        <v/>
      </c>
      <c r="AU135" t="str">
        <f>IF(AQ135&lt;&gt;"",2.3*M135,"")</f>
        <v/>
      </c>
      <c r="AV135" s="9" t="str">
        <f t="shared" si="28"/>
        <v/>
      </c>
    </row>
    <row r="136" spans="1:49" x14ac:dyDescent="0.3">
      <c r="A136" s="24" t="s">
        <v>140</v>
      </c>
      <c r="B136" t="s">
        <v>42</v>
      </c>
      <c r="C136" s="2">
        <v>11222</v>
      </c>
      <c r="D136" t="s">
        <v>141</v>
      </c>
      <c r="E136" t="s">
        <v>142</v>
      </c>
      <c r="F136" t="s">
        <v>143</v>
      </c>
      <c r="G136" s="2" t="s">
        <v>144</v>
      </c>
      <c r="H136" s="2" t="s">
        <v>69</v>
      </c>
      <c r="I136" s="2" t="str">
        <f t="shared" si="29"/>
        <v>&gt;1980</v>
      </c>
      <c r="J136" s="14">
        <v>12</v>
      </c>
      <c r="K136" s="2">
        <f t="shared" si="26"/>
        <v>10</v>
      </c>
      <c r="L136" s="14">
        <f>34+12*2</f>
        <v>58</v>
      </c>
      <c r="M136" s="14">
        <f>34+12</f>
        <v>46</v>
      </c>
      <c r="N136" s="2">
        <v>2</v>
      </c>
      <c r="O136" s="2">
        <v>0</v>
      </c>
      <c r="P136" s="2">
        <v>3</v>
      </c>
      <c r="Q136" s="2">
        <v>0</v>
      </c>
      <c r="R136" s="15">
        <v>7.55</v>
      </c>
      <c r="S136" s="2">
        <v>7.5</v>
      </c>
      <c r="T136" s="15">
        <v>9.25</v>
      </c>
      <c r="U136" s="15">
        <v>47.89</v>
      </c>
      <c r="V136" s="2">
        <v>477</v>
      </c>
      <c r="W136" s="2">
        <v>1120.7</v>
      </c>
      <c r="X136" s="2">
        <v>256.5</v>
      </c>
      <c r="Y136" s="2">
        <v>769.4</v>
      </c>
      <c r="Z136" s="2" t="s">
        <v>70</v>
      </c>
      <c r="AA136">
        <v>4</v>
      </c>
      <c r="AB136" s="2">
        <v>0</v>
      </c>
      <c r="AC136"/>
      <c r="AD136" s="3" t="s">
        <v>126</v>
      </c>
      <c r="AE136" s="3" t="s">
        <v>115</v>
      </c>
      <c r="AF136" s="3" t="s">
        <v>50</v>
      </c>
      <c r="AG136" s="3" t="s">
        <v>74</v>
      </c>
      <c r="AH136" s="3" t="s">
        <v>75</v>
      </c>
      <c r="AI136" s="2">
        <v>1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 t="s">
        <v>123</v>
      </c>
      <c r="AP136" s="2">
        <v>582.1</v>
      </c>
      <c r="AQ136" s="2">
        <v>136.1</v>
      </c>
      <c r="AR136" s="4">
        <f>AQ136/(AP136+AQ136)</f>
        <v>0.18950153160679475</v>
      </c>
      <c r="AS136" s="18">
        <f t="shared" ref="AS136:AS163" si="30">IF(AQ136&lt;&gt;"", Y136/6.25,"")</f>
        <v>123.104</v>
      </c>
      <c r="AT136">
        <f t="shared" si="27"/>
        <v>0.90451138868479064</v>
      </c>
      <c r="AU136">
        <f>IF(AQ136&lt;&gt;"",2.27*M136,"")</f>
        <v>104.42</v>
      </c>
      <c r="AV136" s="9">
        <f t="shared" si="28"/>
        <v>0.76722997795738435</v>
      </c>
      <c r="AW136" t="s">
        <v>260</v>
      </c>
    </row>
    <row r="137" spans="1:49" x14ac:dyDescent="0.3">
      <c r="A137" s="23">
        <v>60</v>
      </c>
      <c r="B137" t="s">
        <v>42</v>
      </c>
      <c r="C137" s="1">
        <v>11222</v>
      </c>
      <c r="D137" t="s">
        <v>106</v>
      </c>
      <c r="E137" t="s">
        <v>199</v>
      </c>
      <c r="F137" t="s">
        <v>389</v>
      </c>
      <c r="G137" s="2">
        <v>1969</v>
      </c>
      <c r="H137" s="2" t="s">
        <v>57</v>
      </c>
      <c r="I137" s="2" t="str">
        <f t="shared" si="29"/>
        <v>1950-1980</v>
      </c>
      <c r="J137" s="2">
        <v>12</v>
      </c>
      <c r="K137" s="2">
        <f t="shared" si="26"/>
        <v>10</v>
      </c>
      <c r="L137" s="2">
        <v>48</v>
      </c>
      <c r="M137" s="2">
        <v>36</v>
      </c>
      <c r="N137" s="2">
        <v>2</v>
      </c>
      <c r="O137" s="2">
        <v>0</v>
      </c>
      <c r="P137" s="2">
        <v>3</v>
      </c>
      <c r="Q137" s="2">
        <v>1</v>
      </c>
      <c r="R137" s="2">
        <v>8.3000000000000007</v>
      </c>
      <c r="S137" s="2">
        <v>8.5</v>
      </c>
      <c r="T137" s="2">
        <v>11.2</v>
      </c>
      <c r="U137" s="2">
        <v>37</v>
      </c>
      <c r="V137" s="1">
        <v>369</v>
      </c>
      <c r="W137" s="2">
        <v>826.3</v>
      </c>
      <c r="X137" s="2">
        <v>313.60000000000002</v>
      </c>
      <c r="Y137" s="1">
        <v>550.9</v>
      </c>
      <c r="Z137" s="2" t="s">
        <v>70</v>
      </c>
      <c r="AA137" s="2">
        <v>4</v>
      </c>
      <c r="AB137" s="2">
        <v>0</v>
      </c>
      <c r="AC137" s="2">
        <v>0</v>
      </c>
      <c r="AD137" s="3" t="s">
        <v>58</v>
      </c>
      <c r="AE137" s="3" t="s">
        <v>115</v>
      </c>
      <c r="AF137" s="3" t="s">
        <v>59</v>
      </c>
      <c r="AG137" s="3" t="s">
        <v>60</v>
      </c>
      <c r="AH137" s="3" t="s">
        <v>75</v>
      </c>
      <c r="AI137" s="2">
        <v>0</v>
      </c>
      <c r="AJ137" s="2">
        <v>1</v>
      </c>
      <c r="AK137" s="2">
        <v>0</v>
      </c>
      <c r="AL137" s="2">
        <v>0</v>
      </c>
      <c r="AM137" s="2">
        <v>0</v>
      </c>
      <c r="AN137" s="2">
        <v>0</v>
      </c>
      <c r="AR137" s="4"/>
      <c r="AS137" s="18" t="str">
        <f t="shared" si="30"/>
        <v/>
      </c>
      <c r="AT137" t="str">
        <f t="shared" si="27"/>
        <v/>
      </c>
      <c r="AU137" t="str">
        <f>IF(AQ137&lt;&gt;"",2.3*M137,"")</f>
        <v/>
      </c>
      <c r="AV137" s="9" t="str">
        <f t="shared" si="28"/>
        <v/>
      </c>
    </row>
    <row r="138" spans="1:49" x14ac:dyDescent="0.3">
      <c r="A138" s="23">
        <v>86</v>
      </c>
      <c r="B138" t="s">
        <v>42</v>
      </c>
      <c r="C138" s="1">
        <v>11222</v>
      </c>
      <c r="D138" t="s">
        <v>43</v>
      </c>
      <c r="E138" t="s">
        <v>101</v>
      </c>
      <c r="F138" t="s">
        <v>221</v>
      </c>
      <c r="G138" s="2">
        <v>1985</v>
      </c>
      <c r="H138" s="2" t="s">
        <v>131</v>
      </c>
      <c r="I138" s="2" t="str">
        <f t="shared" si="29"/>
        <v>&gt;1980</v>
      </c>
      <c r="J138" s="2">
        <v>18</v>
      </c>
      <c r="K138" s="2">
        <f t="shared" si="26"/>
        <v>20</v>
      </c>
      <c r="L138" s="2">
        <v>84</v>
      </c>
      <c r="M138" s="2">
        <v>66</v>
      </c>
      <c r="N138" s="2">
        <v>3</v>
      </c>
      <c r="O138" s="2">
        <v>0</v>
      </c>
      <c r="P138" s="2">
        <v>3</v>
      </c>
      <c r="Q138" s="2">
        <v>1</v>
      </c>
      <c r="R138" s="2">
        <v>10.8</v>
      </c>
      <c r="S138" s="2">
        <v>11</v>
      </c>
      <c r="T138" s="2">
        <v>12</v>
      </c>
      <c r="U138" s="2">
        <v>52</v>
      </c>
      <c r="V138" s="1">
        <v>616</v>
      </c>
      <c r="W138" s="2">
        <v>1594</v>
      </c>
      <c r="X138" s="2">
        <v>470.3</v>
      </c>
      <c r="Y138" s="1">
        <v>1123.7</v>
      </c>
      <c r="Z138" s="2" t="s">
        <v>70</v>
      </c>
      <c r="AA138" s="2">
        <v>4</v>
      </c>
      <c r="AB138" s="2">
        <v>0</v>
      </c>
      <c r="AD138" s="3" t="s">
        <v>204</v>
      </c>
      <c r="AE138" s="3" t="s">
        <v>115</v>
      </c>
      <c r="AF138" s="3" t="s">
        <v>83</v>
      </c>
      <c r="AG138" s="3" t="s">
        <v>74</v>
      </c>
      <c r="AH138" s="3" t="s">
        <v>81</v>
      </c>
      <c r="AI138" s="2">
        <v>1</v>
      </c>
      <c r="AJ138" s="2">
        <v>0</v>
      </c>
      <c r="AK138" s="2">
        <v>0</v>
      </c>
      <c r="AL138" s="2">
        <v>1</v>
      </c>
      <c r="AM138" s="2">
        <v>0</v>
      </c>
      <c r="AN138" s="2">
        <v>0</v>
      </c>
      <c r="AO138" s="2" t="s">
        <v>84</v>
      </c>
      <c r="AP138" s="1">
        <f>513.7+189.9</f>
        <v>703.6</v>
      </c>
      <c r="AQ138" s="1">
        <f>131.9+143.3</f>
        <v>275.20000000000005</v>
      </c>
      <c r="AR138" s="4">
        <f t="shared" ref="AR138:AR157" si="31">AQ138/(AP138+AQ138)</f>
        <v>0.28116060482223132</v>
      </c>
      <c r="AS138" s="18">
        <f t="shared" si="30"/>
        <v>179.792</v>
      </c>
      <c r="AT138">
        <f t="shared" si="27"/>
        <v>0.65331395348837196</v>
      </c>
      <c r="AU138">
        <f t="shared" ref="AU138:AU157" si="32">IF(AQ138&lt;&gt;"",2.27*M138,"")</f>
        <v>149.82</v>
      </c>
      <c r="AV138" s="9">
        <f t="shared" si="28"/>
        <v>0.54440406976744171</v>
      </c>
    </row>
    <row r="139" spans="1:49" x14ac:dyDescent="0.3">
      <c r="A139" s="23">
        <v>255</v>
      </c>
      <c r="B139" t="s">
        <v>42</v>
      </c>
      <c r="C139" s="1">
        <v>11222</v>
      </c>
      <c r="D139" t="s">
        <v>43</v>
      </c>
      <c r="E139" t="s">
        <v>104</v>
      </c>
      <c r="F139" t="s">
        <v>190</v>
      </c>
      <c r="G139" s="2">
        <v>1973</v>
      </c>
      <c r="H139" s="2" t="s">
        <v>69</v>
      </c>
      <c r="I139" s="2" t="str">
        <f t="shared" si="29"/>
        <v>1950-1980</v>
      </c>
      <c r="J139" s="2">
        <v>18</v>
      </c>
      <c r="K139" s="2">
        <f t="shared" si="26"/>
        <v>20</v>
      </c>
      <c r="L139" s="2">
        <v>87</v>
      </c>
      <c r="M139" s="2">
        <v>69</v>
      </c>
      <c r="N139" s="2">
        <v>3</v>
      </c>
      <c r="O139" s="2">
        <v>0</v>
      </c>
      <c r="P139" s="2">
        <v>3</v>
      </c>
      <c r="Q139" s="2">
        <v>1</v>
      </c>
      <c r="R139" s="2">
        <v>10.5</v>
      </c>
      <c r="S139" s="2">
        <v>10.5</v>
      </c>
      <c r="T139" s="2">
        <v>8.5</v>
      </c>
      <c r="U139" s="2">
        <v>48.9</v>
      </c>
      <c r="V139" s="1">
        <v>409</v>
      </c>
      <c r="W139" s="2">
        <v>1282.5</v>
      </c>
      <c r="X139" s="2">
        <v>357.4</v>
      </c>
      <c r="Y139" s="1">
        <v>903.1</v>
      </c>
      <c r="Z139" s="2" t="s">
        <v>70</v>
      </c>
      <c r="AA139" s="2">
        <v>4</v>
      </c>
      <c r="AB139" s="2">
        <v>0</v>
      </c>
      <c r="AC139" s="2">
        <v>0</v>
      </c>
      <c r="AD139" s="3" t="s">
        <v>58</v>
      </c>
      <c r="AE139" s="3" t="s">
        <v>191</v>
      </c>
      <c r="AF139" s="3" t="s">
        <v>83</v>
      </c>
      <c r="AG139" s="3" t="s">
        <v>74</v>
      </c>
      <c r="AH139" s="3" t="s">
        <v>75</v>
      </c>
      <c r="AI139" s="2">
        <v>1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 t="s">
        <v>53</v>
      </c>
      <c r="AP139" s="1">
        <f>530.6+123.2</f>
        <v>653.80000000000007</v>
      </c>
      <c r="AQ139" s="1">
        <f>111+132.1</f>
        <v>243.1</v>
      </c>
      <c r="AR139" s="4">
        <f t="shared" si="31"/>
        <v>0.27104470955513432</v>
      </c>
      <c r="AS139" s="18">
        <f t="shared" si="30"/>
        <v>144.49600000000001</v>
      </c>
      <c r="AT139">
        <f t="shared" si="27"/>
        <v>0.59438914027149325</v>
      </c>
      <c r="AU139">
        <f t="shared" si="32"/>
        <v>156.63</v>
      </c>
      <c r="AV139" s="9">
        <f t="shared" si="28"/>
        <v>0.6443027560674619</v>
      </c>
    </row>
    <row r="140" spans="1:49" x14ac:dyDescent="0.3">
      <c r="A140" s="23">
        <v>82</v>
      </c>
      <c r="B140" t="s">
        <v>42</v>
      </c>
      <c r="C140" s="1">
        <v>11222</v>
      </c>
      <c r="D140" t="s">
        <v>43</v>
      </c>
      <c r="E140" t="s">
        <v>104</v>
      </c>
      <c r="F140" t="s">
        <v>157</v>
      </c>
      <c r="G140" s="2">
        <v>1980</v>
      </c>
      <c r="H140" s="2" t="s">
        <v>69</v>
      </c>
      <c r="I140" s="2" t="str">
        <f t="shared" si="29"/>
        <v>1950-1980</v>
      </c>
      <c r="J140" s="2">
        <v>18</v>
      </c>
      <c r="K140" s="2">
        <f t="shared" si="26"/>
        <v>20</v>
      </c>
      <c r="L140" s="2">
        <v>82</v>
      </c>
      <c r="M140" s="2">
        <v>64</v>
      </c>
      <c r="N140" s="2">
        <v>3</v>
      </c>
      <c r="O140" s="2">
        <v>0</v>
      </c>
      <c r="P140" s="2">
        <v>3</v>
      </c>
      <c r="Q140" s="2">
        <v>1</v>
      </c>
      <c r="R140" s="2">
        <v>12</v>
      </c>
      <c r="S140" s="2">
        <v>12</v>
      </c>
      <c r="T140" s="2">
        <v>12</v>
      </c>
      <c r="U140" s="2">
        <v>52</v>
      </c>
      <c r="V140" s="1">
        <v>545</v>
      </c>
      <c r="W140" s="2">
        <v>1780.7</v>
      </c>
      <c r="X140" s="2">
        <v>656.1</v>
      </c>
      <c r="Y140" s="1">
        <v>1289</v>
      </c>
      <c r="Z140" s="2" t="s">
        <v>70</v>
      </c>
      <c r="AA140" s="2">
        <v>4</v>
      </c>
      <c r="AB140" s="2">
        <v>0</v>
      </c>
      <c r="AD140" s="3" t="s">
        <v>91</v>
      </c>
      <c r="AE140" s="3" t="s">
        <v>115</v>
      </c>
      <c r="AF140" s="3" t="s">
        <v>65</v>
      </c>
      <c r="AG140" s="3" t="s">
        <v>60</v>
      </c>
      <c r="AH140" s="3" t="s">
        <v>75</v>
      </c>
      <c r="AI140" s="2">
        <v>0</v>
      </c>
      <c r="AJ140" s="2">
        <v>1</v>
      </c>
      <c r="AK140" s="2">
        <v>0</v>
      </c>
      <c r="AL140" s="2">
        <v>1</v>
      </c>
      <c r="AM140" s="2">
        <v>0</v>
      </c>
      <c r="AN140" s="2">
        <v>0</v>
      </c>
      <c r="AO140" s="2" t="s">
        <v>76</v>
      </c>
      <c r="AP140" s="1">
        <f>694+141</f>
        <v>835</v>
      </c>
      <c r="AQ140" s="1">
        <f>136+108</f>
        <v>244</v>
      </c>
      <c r="AR140" s="4">
        <f t="shared" si="31"/>
        <v>0.22613531047265986</v>
      </c>
      <c r="AS140" s="18">
        <f t="shared" si="30"/>
        <v>206.24</v>
      </c>
      <c r="AT140">
        <f t="shared" si="27"/>
        <v>0.84524590163934432</v>
      </c>
      <c r="AU140">
        <f t="shared" si="32"/>
        <v>145.28</v>
      </c>
      <c r="AV140" s="9">
        <f t="shared" si="28"/>
        <v>0.59540983606557374</v>
      </c>
    </row>
    <row r="141" spans="1:49" x14ac:dyDescent="0.3">
      <c r="A141" s="23">
        <v>343</v>
      </c>
      <c r="B141" t="s">
        <v>42</v>
      </c>
      <c r="C141" s="1">
        <v>11222</v>
      </c>
      <c r="D141" t="s">
        <v>43</v>
      </c>
      <c r="E141" t="s">
        <v>112</v>
      </c>
      <c r="F141" t="s">
        <v>113</v>
      </c>
      <c r="G141" s="2">
        <v>1977</v>
      </c>
      <c r="H141" s="2" t="s">
        <v>69</v>
      </c>
      <c r="I141" s="2" t="str">
        <f t="shared" si="29"/>
        <v>1950-1980</v>
      </c>
      <c r="J141" s="2">
        <v>18</v>
      </c>
      <c r="K141" s="2">
        <f t="shared" si="26"/>
        <v>20</v>
      </c>
      <c r="L141" s="2">
        <v>84</v>
      </c>
      <c r="M141" s="2">
        <v>66</v>
      </c>
      <c r="N141" s="2">
        <v>3</v>
      </c>
      <c r="O141" s="2">
        <v>0</v>
      </c>
      <c r="P141" s="2">
        <v>3</v>
      </c>
      <c r="Q141" s="2">
        <v>1</v>
      </c>
      <c r="R141" s="2">
        <v>12.1</v>
      </c>
      <c r="S141" s="2">
        <v>12</v>
      </c>
      <c r="V141" s="1">
        <v>602.20000000000005</v>
      </c>
      <c r="W141" s="2">
        <v>1637.4</v>
      </c>
      <c r="X141" s="2">
        <v>522.79999999999995</v>
      </c>
      <c r="Y141" s="1">
        <v>1270</v>
      </c>
      <c r="Z141" s="2" t="s">
        <v>70</v>
      </c>
      <c r="AA141" s="2">
        <v>8</v>
      </c>
      <c r="AB141" s="2">
        <v>4</v>
      </c>
      <c r="AD141" s="3" t="s">
        <v>91</v>
      </c>
      <c r="AE141" s="3" t="s">
        <v>92</v>
      </c>
      <c r="AF141" s="3" t="s">
        <v>50</v>
      </c>
      <c r="AG141" s="3" t="s">
        <v>51</v>
      </c>
      <c r="AH141" s="3" t="s">
        <v>151</v>
      </c>
      <c r="AI141" s="2">
        <v>0</v>
      </c>
      <c r="AJ141" s="2">
        <v>1</v>
      </c>
      <c r="AK141" s="2">
        <v>0</v>
      </c>
      <c r="AL141" s="2">
        <v>1</v>
      </c>
      <c r="AM141" s="2">
        <v>0</v>
      </c>
      <c r="AN141" s="2">
        <v>0</v>
      </c>
      <c r="AO141" s="2" t="s">
        <v>76</v>
      </c>
      <c r="AP141" s="1">
        <v>836</v>
      </c>
      <c r="AQ141" s="1">
        <f>144+143</f>
        <v>287</v>
      </c>
      <c r="AR141" s="4">
        <f t="shared" si="31"/>
        <v>0.25556544968833483</v>
      </c>
      <c r="AS141" s="18">
        <f t="shared" si="30"/>
        <v>203.2</v>
      </c>
      <c r="AT141">
        <f t="shared" si="27"/>
        <v>0.70801393728222994</v>
      </c>
      <c r="AU141">
        <f t="shared" si="32"/>
        <v>149.82</v>
      </c>
      <c r="AV141" s="9">
        <f t="shared" si="28"/>
        <v>0.52202090592334494</v>
      </c>
    </row>
    <row r="142" spans="1:49" x14ac:dyDescent="0.3">
      <c r="A142" s="23">
        <v>4</v>
      </c>
      <c r="B142" t="s">
        <v>42</v>
      </c>
      <c r="C142" s="1">
        <v>11222</v>
      </c>
      <c r="D142" t="s">
        <v>43</v>
      </c>
      <c r="E142" t="s">
        <v>188</v>
      </c>
      <c r="F142" t="s">
        <v>189</v>
      </c>
      <c r="G142" s="2">
        <v>1986</v>
      </c>
      <c r="H142" s="2" t="s">
        <v>131</v>
      </c>
      <c r="I142" s="2" t="str">
        <f t="shared" si="29"/>
        <v>&gt;1980</v>
      </c>
      <c r="J142" s="2">
        <v>18</v>
      </c>
      <c r="K142" s="2">
        <f t="shared" si="26"/>
        <v>20</v>
      </c>
      <c r="L142" s="2">
        <v>85</v>
      </c>
      <c r="M142" s="2">
        <v>67</v>
      </c>
      <c r="N142" s="2">
        <v>3</v>
      </c>
      <c r="O142" s="2">
        <v>0</v>
      </c>
      <c r="P142" s="2">
        <v>3</v>
      </c>
      <c r="Q142" s="2">
        <v>1</v>
      </c>
      <c r="R142" s="2">
        <v>12.7</v>
      </c>
      <c r="S142" s="2">
        <v>12.5</v>
      </c>
      <c r="V142" s="1">
        <v>557</v>
      </c>
      <c r="W142" s="2">
        <v>1673.1</v>
      </c>
      <c r="X142" s="2">
        <v>531.29999999999995</v>
      </c>
      <c r="Y142" s="1">
        <v>1286</v>
      </c>
      <c r="Z142" s="2" t="s">
        <v>70</v>
      </c>
      <c r="AA142" s="2">
        <v>4</v>
      </c>
      <c r="AB142" s="2">
        <v>0</v>
      </c>
      <c r="AD142" s="3" t="s">
        <v>58</v>
      </c>
      <c r="AE142" s="3" t="s">
        <v>115</v>
      </c>
      <c r="AF142" s="3" t="s">
        <v>50</v>
      </c>
      <c r="AG142" s="3" t="s">
        <v>51</v>
      </c>
      <c r="AH142" s="3" t="s">
        <v>75</v>
      </c>
      <c r="AI142" s="2">
        <v>0</v>
      </c>
      <c r="AJ142" s="2">
        <v>1</v>
      </c>
      <c r="AK142" s="2">
        <v>0</v>
      </c>
      <c r="AL142" s="2">
        <v>1</v>
      </c>
      <c r="AM142" s="2">
        <v>0</v>
      </c>
      <c r="AN142" s="2">
        <v>0</v>
      </c>
      <c r="AO142" s="2" t="s">
        <v>61</v>
      </c>
      <c r="AP142" s="1">
        <f>563.8+531</f>
        <v>1094.8</v>
      </c>
      <c r="AQ142" s="1">
        <f>104.9+98.7</f>
        <v>203.60000000000002</v>
      </c>
      <c r="AR142" s="4">
        <f t="shared" si="31"/>
        <v>0.15680837954405422</v>
      </c>
      <c r="AS142" s="18">
        <f t="shared" si="30"/>
        <v>205.76</v>
      </c>
      <c r="AT142">
        <f t="shared" si="27"/>
        <v>1.010609037328094</v>
      </c>
      <c r="AU142">
        <f t="shared" si="32"/>
        <v>152.09</v>
      </c>
      <c r="AV142" s="9">
        <f t="shared" si="28"/>
        <v>0.74700392927308445</v>
      </c>
    </row>
    <row r="143" spans="1:49" x14ac:dyDescent="0.3">
      <c r="A143" s="23">
        <v>7</v>
      </c>
      <c r="B143" t="s">
        <v>42</v>
      </c>
      <c r="C143" s="1">
        <v>11222</v>
      </c>
      <c r="D143" t="s">
        <v>43</v>
      </c>
      <c r="E143" t="s">
        <v>241</v>
      </c>
      <c r="F143" t="s">
        <v>242</v>
      </c>
      <c r="G143" s="2">
        <v>1980</v>
      </c>
      <c r="H143" s="2" t="s">
        <v>69</v>
      </c>
      <c r="I143" s="2" t="str">
        <f t="shared" si="29"/>
        <v>1950-1980</v>
      </c>
      <c r="J143" s="2">
        <v>18</v>
      </c>
      <c r="K143" s="2">
        <f t="shared" si="26"/>
        <v>20</v>
      </c>
      <c r="L143" s="2">
        <v>87</v>
      </c>
      <c r="M143" s="2">
        <v>69</v>
      </c>
      <c r="N143" s="2">
        <v>3</v>
      </c>
      <c r="O143" s="2">
        <v>0</v>
      </c>
      <c r="P143" s="2">
        <v>3</v>
      </c>
      <c r="Q143" s="2">
        <v>1</v>
      </c>
      <c r="R143" s="2">
        <v>46.8</v>
      </c>
      <c r="S143" s="2">
        <v>47</v>
      </c>
      <c r="T143" s="2">
        <v>11.1</v>
      </c>
      <c r="U143" s="2">
        <v>52</v>
      </c>
      <c r="V143" s="1">
        <v>594</v>
      </c>
      <c r="W143" s="2">
        <v>1592</v>
      </c>
      <c r="X143" s="2">
        <v>437.9</v>
      </c>
      <c r="Y143" s="1">
        <v>1251</v>
      </c>
      <c r="Z143" s="2" t="s">
        <v>70</v>
      </c>
      <c r="AA143" s="2">
        <v>4</v>
      </c>
      <c r="AB143" s="2">
        <v>0</v>
      </c>
      <c r="AC143" s="2">
        <v>2</v>
      </c>
      <c r="AD143" s="3" t="s">
        <v>126</v>
      </c>
      <c r="AE143" s="3" t="s">
        <v>115</v>
      </c>
      <c r="AF143" s="3" t="s">
        <v>50</v>
      </c>
      <c r="AG143" s="3" t="s">
        <v>74</v>
      </c>
      <c r="AH143" s="3" t="s">
        <v>75</v>
      </c>
      <c r="AI143" s="2">
        <v>1</v>
      </c>
      <c r="AJ143" s="2">
        <v>0</v>
      </c>
      <c r="AK143" s="2">
        <v>0</v>
      </c>
      <c r="AL143" s="2">
        <v>1</v>
      </c>
      <c r="AM143" s="2">
        <v>0</v>
      </c>
      <c r="AN143" s="2">
        <v>0</v>
      </c>
      <c r="AO143" s="2" t="s">
        <v>61</v>
      </c>
      <c r="AP143" s="1">
        <f>704+147</f>
        <v>851</v>
      </c>
      <c r="AQ143" s="1">
        <f>119+152</f>
        <v>271</v>
      </c>
      <c r="AR143" s="4">
        <f t="shared" si="31"/>
        <v>0.24153297682709449</v>
      </c>
      <c r="AS143" s="18">
        <f t="shared" si="30"/>
        <v>200.16</v>
      </c>
      <c r="AT143">
        <f t="shared" si="27"/>
        <v>0.73859778597785974</v>
      </c>
      <c r="AU143">
        <f t="shared" si="32"/>
        <v>156.63</v>
      </c>
      <c r="AV143" s="9">
        <f t="shared" si="28"/>
        <v>0.57797047970479698</v>
      </c>
    </row>
    <row r="144" spans="1:49" x14ac:dyDescent="0.3">
      <c r="A144" s="23">
        <v>74</v>
      </c>
      <c r="B144" t="s">
        <v>42</v>
      </c>
      <c r="C144" s="1">
        <v>11222</v>
      </c>
      <c r="D144" t="s">
        <v>43</v>
      </c>
      <c r="E144" t="s">
        <v>148</v>
      </c>
      <c r="F144" t="s">
        <v>207</v>
      </c>
      <c r="G144" s="2">
        <v>1988</v>
      </c>
      <c r="H144" s="2" t="s">
        <v>131</v>
      </c>
      <c r="I144" s="2" t="str">
        <f t="shared" si="29"/>
        <v>&gt;1980</v>
      </c>
      <c r="J144" s="2">
        <v>12</v>
      </c>
      <c r="K144" s="2">
        <f t="shared" si="26"/>
        <v>10</v>
      </c>
      <c r="L144" s="2">
        <v>58</v>
      </c>
      <c r="M144" s="2">
        <v>46</v>
      </c>
      <c r="N144" s="2">
        <v>2</v>
      </c>
      <c r="O144" s="2">
        <v>0</v>
      </c>
      <c r="P144" s="2">
        <v>3</v>
      </c>
      <c r="Q144" s="2">
        <v>1</v>
      </c>
      <c r="R144" s="2">
        <v>8.1999999999999993</v>
      </c>
      <c r="S144" s="2">
        <v>8</v>
      </c>
      <c r="T144" s="2">
        <v>10.1</v>
      </c>
      <c r="U144" s="2">
        <v>48.3</v>
      </c>
      <c r="V144" s="1">
        <v>508</v>
      </c>
      <c r="W144" s="2">
        <v>1024.0999999999999</v>
      </c>
      <c r="X144" s="2">
        <v>342.7</v>
      </c>
      <c r="Y144" s="1">
        <v>998.8</v>
      </c>
      <c r="Z144" s="2" t="s">
        <v>70</v>
      </c>
      <c r="AA144" s="2">
        <v>4</v>
      </c>
      <c r="AB144" s="2">
        <v>0</v>
      </c>
      <c r="AC144" s="2">
        <v>2</v>
      </c>
      <c r="AD144" s="3" t="s">
        <v>80</v>
      </c>
      <c r="AE144" s="3" t="s">
        <v>66</v>
      </c>
      <c r="AF144" s="3" t="s">
        <v>202</v>
      </c>
      <c r="AG144" s="3" t="s">
        <v>74</v>
      </c>
      <c r="AH144" s="3" t="s">
        <v>81</v>
      </c>
      <c r="AI144" s="2">
        <v>1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 t="s">
        <v>88</v>
      </c>
      <c r="AP144" s="1">
        <f>633.1</f>
        <v>633.1</v>
      </c>
      <c r="AQ144" s="20">
        <f>93.4</f>
        <v>93.4</v>
      </c>
      <c r="AR144" s="4">
        <f t="shared" si="31"/>
        <v>0.12856159669649003</v>
      </c>
      <c r="AS144" s="18">
        <f t="shared" si="30"/>
        <v>159.80799999999999</v>
      </c>
      <c r="AU144">
        <f t="shared" si="32"/>
        <v>104.42</v>
      </c>
      <c r="AV144" s="9">
        <f t="shared" si="28"/>
        <v>1.1179871520342612</v>
      </c>
    </row>
    <row r="145" spans="1:49" x14ac:dyDescent="0.3">
      <c r="A145" s="24" t="s">
        <v>294</v>
      </c>
      <c r="B145" t="s">
        <v>42</v>
      </c>
      <c r="C145" s="2">
        <v>11222</v>
      </c>
      <c r="D145" t="s">
        <v>168</v>
      </c>
      <c r="E145" t="s">
        <v>295</v>
      </c>
      <c r="F145" t="s">
        <v>296</v>
      </c>
      <c r="G145" s="2">
        <v>1983</v>
      </c>
      <c r="H145" s="2" t="s">
        <v>131</v>
      </c>
      <c r="I145" s="2" t="str">
        <f t="shared" si="29"/>
        <v>&gt;1980</v>
      </c>
      <c r="J145" s="14">
        <v>29</v>
      </c>
      <c r="K145" s="2">
        <f t="shared" si="26"/>
        <v>30</v>
      </c>
      <c r="L145" s="14">
        <f>78+29*2</f>
        <v>136</v>
      </c>
      <c r="M145" s="14">
        <f>78+29</f>
        <v>107</v>
      </c>
      <c r="N145" s="2">
        <v>3</v>
      </c>
      <c r="O145" s="2">
        <v>0</v>
      </c>
      <c r="P145" s="2">
        <v>4</v>
      </c>
      <c r="Q145" s="2">
        <v>1</v>
      </c>
      <c r="R145" s="2">
        <v>8.5</v>
      </c>
      <c r="S145" s="2">
        <v>8.5</v>
      </c>
      <c r="T145" s="2">
        <v>13.1</v>
      </c>
      <c r="U145" s="15">
        <v>60.73</v>
      </c>
      <c r="V145" s="2">
        <v>765</v>
      </c>
      <c r="W145" s="2">
        <v>2364.3000000000002</v>
      </c>
      <c r="X145" s="2">
        <v>0</v>
      </c>
      <c r="Y145" s="2">
        <v>1807.8</v>
      </c>
      <c r="Z145" s="2" t="s">
        <v>70</v>
      </c>
      <c r="AA145">
        <v>4</v>
      </c>
      <c r="AB145" s="2">
        <v>0</v>
      </c>
      <c r="AC145"/>
      <c r="AD145" s="3" t="s">
        <v>126</v>
      </c>
      <c r="AE145" s="3" t="s">
        <v>115</v>
      </c>
      <c r="AF145" s="3" t="s">
        <v>50</v>
      </c>
      <c r="AG145" s="3" t="s">
        <v>74</v>
      </c>
      <c r="AH145" s="3" t="s">
        <v>81</v>
      </c>
      <c r="AI145" s="2">
        <v>1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 t="s">
        <v>61</v>
      </c>
      <c r="AP145" s="2">
        <v>908</v>
      </c>
      <c r="AQ145" s="2">
        <v>270</v>
      </c>
      <c r="AR145" s="4">
        <f t="shared" si="31"/>
        <v>0.22920203735144312</v>
      </c>
      <c r="AS145" s="18">
        <f t="shared" si="30"/>
        <v>289.24799999999999</v>
      </c>
      <c r="AT145">
        <f t="shared" ref="AT145:AT208" si="33">IF(AQ145&lt;&gt;"",AS145/AQ145,"")</f>
        <v>1.071288888888889</v>
      </c>
      <c r="AU145">
        <f t="shared" si="32"/>
        <v>242.89000000000001</v>
      </c>
      <c r="AV145" s="9">
        <f t="shared" si="28"/>
        <v>0.89959259259259261</v>
      </c>
      <c r="AW145" t="s">
        <v>263</v>
      </c>
    </row>
    <row r="146" spans="1:49" x14ac:dyDescent="0.3">
      <c r="A146" s="23">
        <v>208</v>
      </c>
      <c r="B146" t="s">
        <v>42</v>
      </c>
      <c r="C146" s="1">
        <v>11222</v>
      </c>
      <c r="D146" t="s">
        <v>158</v>
      </c>
      <c r="E146" t="s">
        <v>186</v>
      </c>
      <c r="F146" t="s">
        <v>209</v>
      </c>
      <c r="G146" s="2">
        <v>1981</v>
      </c>
      <c r="H146" s="2" t="s">
        <v>131</v>
      </c>
      <c r="I146" s="2" t="str">
        <f t="shared" si="29"/>
        <v>&gt;1980</v>
      </c>
      <c r="J146" s="2">
        <v>18</v>
      </c>
      <c r="K146" s="2">
        <f t="shared" si="26"/>
        <v>20</v>
      </c>
      <c r="L146" s="2">
        <v>85</v>
      </c>
      <c r="M146" s="2">
        <v>67</v>
      </c>
      <c r="N146" s="2">
        <v>3</v>
      </c>
      <c r="O146" s="2">
        <v>0</v>
      </c>
      <c r="P146" s="2">
        <v>4</v>
      </c>
      <c r="Q146" s="2">
        <v>1</v>
      </c>
      <c r="R146" s="2">
        <v>12.3</v>
      </c>
      <c r="S146" s="2">
        <v>12.5</v>
      </c>
      <c r="T146" s="2">
        <v>10.7</v>
      </c>
      <c r="U146" s="2">
        <v>52.5</v>
      </c>
      <c r="V146" s="1">
        <v>606</v>
      </c>
      <c r="W146" s="2">
        <v>1565.2</v>
      </c>
      <c r="X146" s="2">
        <v>428.7</v>
      </c>
      <c r="Y146" s="1">
        <v>1284.4000000000001</v>
      </c>
      <c r="Z146" s="2" t="s">
        <v>70</v>
      </c>
      <c r="AA146" s="2">
        <v>4</v>
      </c>
      <c r="AB146" s="2">
        <v>0</v>
      </c>
      <c r="AC146" s="2">
        <v>0</v>
      </c>
      <c r="AD146" s="3" t="s">
        <v>58</v>
      </c>
      <c r="AE146" s="3" t="s">
        <v>115</v>
      </c>
      <c r="AF146" s="3" t="s">
        <v>50</v>
      </c>
      <c r="AG146" s="3" t="s">
        <v>67</v>
      </c>
      <c r="AH146" s="3" t="s">
        <v>75</v>
      </c>
      <c r="AI146" s="2">
        <v>0</v>
      </c>
      <c r="AJ146" s="2">
        <v>1</v>
      </c>
      <c r="AK146" s="2">
        <v>0</v>
      </c>
      <c r="AL146" s="2">
        <v>1</v>
      </c>
      <c r="AM146" s="2">
        <v>0</v>
      </c>
      <c r="AN146" s="2">
        <v>0</v>
      </c>
      <c r="AO146" s="2" t="s">
        <v>76</v>
      </c>
      <c r="AP146" s="1">
        <f>590.4+146.2</f>
        <v>736.59999999999991</v>
      </c>
      <c r="AQ146" s="1">
        <f>121.4+102.5</f>
        <v>223.9</v>
      </c>
      <c r="AR146" s="4">
        <f t="shared" si="31"/>
        <v>0.23310775637688708</v>
      </c>
      <c r="AS146" s="18">
        <f t="shared" si="30"/>
        <v>205.50400000000002</v>
      </c>
      <c r="AT146">
        <f t="shared" si="33"/>
        <v>0.91783832067887461</v>
      </c>
      <c r="AU146">
        <f t="shared" si="32"/>
        <v>152.09</v>
      </c>
      <c r="AV146" s="9">
        <f t="shared" si="28"/>
        <v>0.67927646270656539</v>
      </c>
    </row>
    <row r="147" spans="1:49" x14ac:dyDescent="0.3">
      <c r="A147" s="23">
        <v>28</v>
      </c>
      <c r="B147" t="s">
        <v>42</v>
      </c>
      <c r="C147" s="1">
        <v>11222</v>
      </c>
      <c r="D147" t="s">
        <v>85</v>
      </c>
      <c r="E147" t="s">
        <v>86</v>
      </c>
      <c r="F147" t="s">
        <v>86</v>
      </c>
      <c r="G147" s="2">
        <v>1977</v>
      </c>
      <c r="H147" s="2" t="s">
        <v>69</v>
      </c>
      <c r="I147" s="2" t="str">
        <f t="shared" si="29"/>
        <v>1950-1980</v>
      </c>
      <c r="J147" s="2">
        <v>55</v>
      </c>
      <c r="K147" s="2">
        <f t="shared" si="26"/>
        <v>60</v>
      </c>
      <c r="L147" s="2">
        <v>235</v>
      </c>
      <c r="M147" s="2">
        <v>180</v>
      </c>
      <c r="N147" s="2">
        <v>5</v>
      </c>
      <c r="O147" s="2">
        <v>0</v>
      </c>
      <c r="P147" s="2">
        <v>4</v>
      </c>
      <c r="Q147" s="2">
        <v>1</v>
      </c>
      <c r="R147" s="2">
        <v>16.399999999999999</v>
      </c>
      <c r="S147" s="2">
        <v>16.5</v>
      </c>
      <c r="V147" s="1">
        <v>727</v>
      </c>
      <c r="W147" s="2">
        <v>3378.1</v>
      </c>
      <c r="X147" s="2">
        <v>199.5</v>
      </c>
      <c r="Y147" s="1">
        <v>2762.5</v>
      </c>
      <c r="Z147" s="2" t="s">
        <v>70</v>
      </c>
      <c r="AA147" s="2">
        <v>4</v>
      </c>
      <c r="AB147" s="2">
        <v>0</v>
      </c>
      <c r="AD147" s="3" t="s">
        <v>91</v>
      </c>
      <c r="AE147" s="3" t="s">
        <v>49</v>
      </c>
      <c r="AF147" s="3" t="s">
        <v>65</v>
      </c>
      <c r="AG147" s="3" t="s">
        <v>74</v>
      </c>
      <c r="AH147" s="3" t="s">
        <v>75</v>
      </c>
      <c r="AI147" s="2">
        <v>1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 t="s">
        <v>84</v>
      </c>
      <c r="AP147" s="1">
        <v>1457.6</v>
      </c>
      <c r="AQ147" s="1">
        <v>587.6</v>
      </c>
      <c r="AR147" s="4">
        <f t="shared" si="31"/>
        <v>0.28730686485429302</v>
      </c>
      <c r="AS147" s="18">
        <f t="shared" si="30"/>
        <v>442</v>
      </c>
      <c r="AT147">
        <f t="shared" si="33"/>
        <v>0.75221238938053092</v>
      </c>
      <c r="AU147">
        <f t="shared" si="32"/>
        <v>408.6</v>
      </c>
      <c r="AV147" s="9">
        <f t="shared" si="28"/>
        <v>0.69537100068073521</v>
      </c>
    </row>
    <row r="148" spans="1:49" x14ac:dyDescent="0.3">
      <c r="A148" s="23">
        <v>248</v>
      </c>
      <c r="B148" t="s">
        <v>42</v>
      </c>
      <c r="C148" s="1">
        <v>11222</v>
      </c>
      <c r="D148" t="s">
        <v>85</v>
      </c>
      <c r="E148" t="s">
        <v>86</v>
      </c>
      <c r="F148" t="s">
        <v>86</v>
      </c>
      <c r="G148" s="2">
        <v>1968</v>
      </c>
      <c r="H148" s="2" t="s">
        <v>57</v>
      </c>
      <c r="I148" s="2" t="str">
        <f t="shared" si="29"/>
        <v>1950-1980</v>
      </c>
      <c r="J148" s="2">
        <v>55</v>
      </c>
      <c r="K148" s="2">
        <f t="shared" si="26"/>
        <v>60</v>
      </c>
      <c r="L148" s="2">
        <v>235</v>
      </c>
      <c r="M148" s="2">
        <v>180</v>
      </c>
      <c r="N148" s="2">
        <v>5</v>
      </c>
      <c r="O148" s="2">
        <v>0</v>
      </c>
      <c r="P148" s="2">
        <v>4</v>
      </c>
      <c r="Q148" s="2">
        <v>1</v>
      </c>
      <c r="R148" s="2">
        <v>15.6</v>
      </c>
      <c r="S148" s="2">
        <v>15.5</v>
      </c>
      <c r="T148" s="2">
        <v>10.9</v>
      </c>
      <c r="U148" s="2">
        <v>65.2</v>
      </c>
      <c r="V148" s="1">
        <v>706</v>
      </c>
      <c r="W148" s="2">
        <v>3366.4</v>
      </c>
      <c r="X148" s="2">
        <v>194.8</v>
      </c>
      <c r="Y148" s="1">
        <v>2780</v>
      </c>
      <c r="Z148" s="2" t="s">
        <v>70</v>
      </c>
      <c r="AA148" s="2">
        <v>4</v>
      </c>
      <c r="AB148" s="2">
        <v>0</v>
      </c>
      <c r="AC148" s="2">
        <v>2</v>
      </c>
      <c r="AD148" s="3" t="s">
        <v>204</v>
      </c>
      <c r="AE148" s="3" t="s">
        <v>334</v>
      </c>
      <c r="AF148" s="3" t="s">
        <v>273</v>
      </c>
      <c r="AG148" s="3" t="s">
        <v>74</v>
      </c>
      <c r="AH148" s="3" t="s">
        <v>75</v>
      </c>
      <c r="AI148" s="2">
        <v>1</v>
      </c>
      <c r="AJ148" s="2">
        <v>0</v>
      </c>
      <c r="AK148" s="2">
        <v>0</v>
      </c>
      <c r="AL148" s="2">
        <v>0</v>
      </c>
      <c r="AM148" s="2">
        <v>1</v>
      </c>
      <c r="AN148" s="2">
        <v>0</v>
      </c>
      <c r="AO148" s="2" t="s">
        <v>84</v>
      </c>
      <c r="AP148" s="1">
        <f>1465.3</f>
        <v>1465.3</v>
      </c>
      <c r="AQ148" s="1">
        <f>299.8+272.7</f>
        <v>572.5</v>
      </c>
      <c r="AR148" s="4">
        <f t="shared" si="31"/>
        <v>0.28094022965943666</v>
      </c>
      <c r="AS148" s="18">
        <f t="shared" si="30"/>
        <v>444.8</v>
      </c>
      <c r="AT148">
        <f t="shared" si="33"/>
        <v>0.77694323144104804</v>
      </c>
      <c r="AU148">
        <f t="shared" si="32"/>
        <v>408.6</v>
      </c>
      <c r="AV148" s="9">
        <f t="shared" si="28"/>
        <v>0.71371179039301313</v>
      </c>
    </row>
    <row r="149" spans="1:49" x14ac:dyDescent="0.3">
      <c r="A149" s="23">
        <v>303</v>
      </c>
      <c r="B149" t="s">
        <v>42</v>
      </c>
      <c r="C149" s="1">
        <v>11222</v>
      </c>
      <c r="D149" t="s">
        <v>85</v>
      </c>
      <c r="E149" t="s">
        <v>86</v>
      </c>
      <c r="F149" t="s">
        <v>86</v>
      </c>
      <c r="G149" s="2">
        <v>1965</v>
      </c>
      <c r="H149" s="2" t="s">
        <v>57</v>
      </c>
      <c r="I149" s="2" t="str">
        <f t="shared" si="29"/>
        <v>1950-1980</v>
      </c>
      <c r="J149" s="2">
        <v>80</v>
      </c>
      <c r="K149" s="2">
        <f t="shared" si="26"/>
        <v>80</v>
      </c>
      <c r="L149" s="2">
        <v>339</v>
      </c>
      <c r="M149" s="2">
        <v>259</v>
      </c>
      <c r="N149" s="2">
        <v>5</v>
      </c>
      <c r="O149" s="2">
        <v>0</v>
      </c>
      <c r="P149" s="2">
        <v>4</v>
      </c>
      <c r="Q149" s="2">
        <v>1</v>
      </c>
      <c r="R149" s="2">
        <v>16.100000000000001</v>
      </c>
      <c r="S149" s="2">
        <v>16</v>
      </c>
      <c r="T149" s="2">
        <v>11.1</v>
      </c>
      <c r="U149" s="2">
        <v>81</v>
      </c>
      <c r="V149" s="1">
        <v>880</v>
      </c>
      <c r="W149" s="2">
        <v>4198.2</v>
      </c>
      <c r="X149" s="2">
        <v>207</v>
      </c>
      <c r="Y149" s="1">
        <v>3636</v>
      </c>
      <c r="Z149" s="2" t="s">
        <v>70</v>
      </c>
      <c r="AA149" s="2">
        <v>4</v>
      </c>
      <c r="AB149" s="2">
        <v>0</v>
      </c>
      <c r="AC149" s="2">
        <v>0</v>
      </c>
      <c r="AD149" s="3" t="s">
        <v>64</v>
      </c>
      <c r="AE149" s="3" t="s">
        <v>92</v>
      </c>
      <c r="AF149" s="3" t="s">
        <v>139</v>
      </c>
      <c r="AG149" s="3" t="s">
        <v>74</v>
      </c>
      <c r="AH149" s="3" t="s">
        <v>81</v>
      </c>
      <c r="AI149" s="2">
        <v>0</v>
      </c>
      <c r="AJ149" s="2">
        <v>1</v>
      </c>
      <c r="AK149" s="2">
        <v>0</v>
      </c>
      <c r="AL149" s="2">
        <v>0</v>
      </c>
      <c r="AM149" s="2">
        <v>0</v>
      </c>
      <c r="AN149" s="2">
        <v>1</v>
      </c>
      <c r="AO149" s="2" t="s">
        <v>53</v>
      </c>
      <c r="AP149" s="1">
        <f>1627.6+153.6</f>
        <v>1781.1999999999998</v>
      </c>
      <c r="AQ149" s="1">
        <f>28.8*2+412.8+440.7</f>
        <v>911.1</v>
      </c>
      <c r="AR149" s="4">
        <f t="shared" si="31"/>
        <v>0.33840953831296666</v>
      </c>
      <c r="AS149" s="18">
        <f t="shared" si="30"/>
        <v>581.76</v>
      </c>
      <c r="AT149">
        <f t="shared" si="33"/>
        <v>0.63852486005926901</v>
      </c>
      <c r="AU149">
        <f t="shared" si="32"/>
        <v>587.92999999999995</v>
      </c>
      <c r="AV149" s="9">
        <f t="shared" si="28"/>
        <v>0.64529689386455924</v>
      </c>
    </row>
    <row r="150" spans="1:49" x14ac:dyDescent="0.3">
      <c r="A150" s="23">
        <v>347</v>
      </c>
      <c r="B150" t="s">
        <v>42</v>
      </c>
      <c r="C150" s="1">
        <v>11222</v>
      </c>
      <c r="D150" t="s">
        <v>85</v>
      </c>
      <c r="E150" t="s">
        <v>86</v>
      </c>
      <c r="F150" t="s">
        <v>206</v>
      </c>
      <c r="G150" s="2">
        <v>1982</v>
      </c>
      <c r="H150" s="2" t="s">
        <v>131</v>
      </c>
      <c r="I150" s="2" t="str">
        <f t="shared" si="29"/>
        <v>&gt;1980</v>
      </c>
      <c r="J150" s="2">
        <v>24</v>
      </c>
      <c r="K150" s="2">
        <f t="shared" si="26"/>
        <v>20</v>
      </c>
      <c r="L150" s="2">
        <v>116</v>
      </c>
      <c r="M150" s="2">
        <v>92</v>
      </c>
      <c r="N150" s="2">
        <v>3</v>
      </c>
      <c r="O150" s="2">
        <v>0</v>
      </c>
      <c r="P150" s="2">
        <v>4</v>
      </c>
      <c r="Q150" s="2">
        <v>1</v>
      </c>
      <c r="R150" s="2">
        <v>12</v>
      </c>
      <c r="S150" s="2">
        <v>12</v>
      </c>
      <c r="T150" s="2">
        <v>11.7</v>
      </c>
      <c r="U150" s="2">
        <v>71.400000000000006</v>
      </c>
      <c r="V150" s="1">
        <v>785</v>
      </c>
      <c r="W150" s="2">
        <v>2229.6999999999998</v>
      </c>
      <c r="X150" s="2">
        <v>708.8</v>
      </c>
      <c r="Y150" s="1">
        <v>1730.1</v>
      </c>
      <c r="Z150" s="2" t="s">
        <v>70</v>
      </c>
      <c r="AA150" s="2">
        <v>10</v>
      </c>
      <c r="AB150" s="2">
        <v>6</v>
      </c>
      <c r="AD150" s="3" t="s">
        <v>91</v>
      </c>
      <c r="AE150" s="3" t="s">
        <v>92</v>
      </c>
      <c r="AF150" s="3" t="s">
        <v>50</v>
      </c>
      <c r="AG150" s="3" t="s">
        <v>60</v>
      </c>
      <c r="AH150" s="3" t="s">
        <v>75</v>
      </c>
      <c r="AI150" s="2">
        <v>0</v>
      </c>
      <c r="AJ150" s="2">
        <v>1</v>
      </c>
      <c r="AK150" s="2">
        <v>0</v>
      </c>
      <c r="AL150" s="2">
        <v>1</v>
      </c>
      <c r="AM150" s="2">
        <v>0</v>
      </c>
      <c r="AN150" s="2">
        <v>0</v>
      </c>
      <c r="AO150" s="2" t="s">
        <v>53</v>
      </c>
      <c r="AP150" s="1">
        <f>1170.7</f>
        <v>1170.7</v>
      </c>
      <c r="AQ150" s="1">
        <f>174.72+13.71+148.47</f>
        <v>336.9</v>
      </c>
      <c r="AR150" s="4">
        <f t="shared" si="31"/>
        <v>0.22346776333244892</v>
      </c>
      <c r="AS150" s="18">
        <f t="shared" si="30"/>
        <v>276.81599999999997</v>
      </c>
      <c r="AT150">
        <f t="shared" si="33"/>
        <v>0.82165627782724837</v>
      </c>
      <c r="AU150">
        <f t="shared" si="32"/>
        <v>208.84</v>
      </c>
      <c r="AV150" s="9">
        <f t="shared" si="28"/>
        <v>0.61988720688631649</v>
      </c>
    </row>
    <row r="151" spans="1:49" x14ac:dyDescent="0.3">
      <c r="A151" s="23">
        <v>268</v>
      </c>
      <c r="B151" t="s">
        <v>42</v>
      </c>
      <c r="C151" s="1">
        <v>11222</v>
      </c>
      <c r="D151" t="s">
        <v>180</v>
      </c>
      <c r="E151" t="s">
        <v>181</v>
      </c>
      <c r="F151" t="s">
        <v>293</v>
      </c>
      <c r="G151" s="2">
        <v>1987</v>
      </c>
      <c r="H151" s="2" t="s">
        <v>131</v>
      </c>
      <c r="I151" s="2" t="str">
        <f t="shared" si="29"/>
        <v>&gt;1980</v>
      </c>
      <c r="J151" s="2">
        <v>24</v>
      </c>
      <c r="K151" s="2">
        <f t="shared" si="26"/>
        <v>20</v>
      </c>
      <c r="L151" s="2">
        <v>115</v>
      </c>
      <c r="M151" s="2">
        <v>91</v>
      </c>
      <c r="N151" s="2">
        <v>3</v>
      </c>
      <c r="O151" s="2">
        <v>0</v>
      </c>
      <c r="P151" s="2">
        <v>4</v>
      </c>
      <c r="Q151" s="2">
        <v>1</v>
      </c>
      <c r="R151" s="2">
        <v>10.199999999999999</v>
      </c>
      <c r="S151" s="2">
        <v>10</v>
      </c>
      <c r="T151" s="2">
        <v>11.5</v>
      </c>
      <c r="U151" s="2">
        <v>71.7</v>
      </c>
      <c r="V151" s="1">
        <v>731</v>
      </c>
      <c r="W151" s="2">
        <v>2314.4</v>
      </c>
      <c r="X151" s="2">
        <v>717.3</v>
      </c>
      <c r="Y151" s="1">
        <v>1800</v>
      </c>
      <c r="Z151" s="2" t="s">
        <v>70</v>
      </c>
      <c r="AA151" s="2">
        <v>4</v>
      </c>
      <c r="AB151" s="2">
        <v>0</v>
      </c>
      <c r="AD151" s="3" t="s">
        <v>126</v>
      </c>
      <c r="AE151" s="3" t="s">
        <v>115</v>
      </c>
      <c r="AF151" s="3" t="s">
        <v>50</v>
      </c>
      <c r="AG151" s="3" t="s">
        <v>67</v>
      </c>
      <c r="AH151" s="3" t="s">
        <v>151</v>
      </c>
      <c r="AI151" s="2">
        <v>0</v>
      </c>
      <c r="AJ151" s="2">
        <v>1</v>
      </c>
      <c r="AK151" s="2">
        <v>0</v>
      </c>
      <c r="AL151" s="2">
        <v>1</v>
      </c>
      <c r="AM151" s="2">
        <v>0</v>
      </c>
      <c r="AN151" s="2" t="s">
        <v>152</v>
      </c>
      <c r="AO151" s="2" t="s">
        <v>84</v>
      </c>
      <c r="AQ151" s="1">
        <f>1.2*0.66*(8+6)+2.6*0.6*8+2.6*1.2*17+1.6*1.2*13+1.2*1.2*18+0.8*2.1*18+1.28*1.2*19</f>
        <v>186.91200000000001</v>
      </c>
      <c r="AR151" s="4">
        <f t="shared" si="31"/>
        <v>1</v>
      </c>
      <c r="AS151" s="18">
        <f t="shared" si="30"/>
        <v>288</v>
      </c>
      <c r="AT151">
        <f t="shared" si="33"/>
        <v>1.5408320493066254</v>
      </c>
      <c r="AU151">
        <f t="shared" si="32"/>
        <v>206.57</v>
      </c>
      <c r="AV151" s="9">
        <f t="shared" si="28"/>
        <v>1.1051724875877418</v>
      </c>
    </row>
    <row r="152" spans="1:49" x14ac:dyDescent="0.3">
      <c r="A152" s="23">
        <v>138</v>
      </c>
      <c r="B152" t="s">
        <v>42</v>
      </c>
      <c r="C152" s="1">
        <v>11222</v>
      </c>
      <c r="D152" t="s">
        <v>124</v>
      </c>
      <c r="E152" t="s">
        <v>270</v>
      </c>
      <c r="F152" t="s">
        <v>271</v>
      </c>
      <c r="G152" s="2">
        <v>1982</v>
      </c>
      <c r="H152" s="2" t="s">
        <v>131</v>
      </c>
      <c r="I152" s="2" t="str">
        <f t="shared" si="29"/>
        <v>&gt;1980</v>
      </c>
      <c r="J152" s="2">
        <v>24</v>
      </c>
      <c r="K152" s="2">
        <f t="shared" si="26"/>
        <v>20</v>
      </c>
      <c r="L152" s="2">
        <v>104</v>
      </c>
      <c r="M152" s="2">
        <v>80</v>
      </c>
      <c r="N152" s="2">
        <v>3</v>
      </c>
      <c r="O152" s="2">
        <v>0</v>
      </c>
      <c r="P152" s="2">
        <v>4</v>
      </c>
      <c r="Q152" s="2">
        <v>1</v>
      </c>
      <c r="R152" s="2">
        <v>12</v>
      </c>
      <c r="S152" s="2">
        <v>12</v>
      </c>
      <c r="T152" s="2">
        <v>43.4</v>
      </c>
      <c r="U152" s="2">
        <v>440</v>
      </c>
      <c r="V152" s="1">
        <v>649</v>
      </c>
      <c r="W152" s="2">
        <v>2064.5</v>
      </c>
      <c r="X152" s="2">
        <v>239.3</v>
      </c>
      <c r="Y152" s="1">
        <v>1608.3</v>
      </c>
      <c r="Z152" s="2" t="s">
        <v>70</v>
      </c>
      <c r="AA152" s="2">
        <v>14</v>
      </c>
      <c r="AB152" s="2">
        <v>10</v>
      </c>
      <c r="AD152" s="3" t="s">
        <v>126</v>
      </c>
      <c r="AE152" s="3" t="s">
        <v>115</v>
      </c>
      <c r="AF152" s="3" t="s">
        <v>202</v>
      </c>
      <c r="AG152" s="3" t="s">
        <v>67</v>
      </c>
      <c r="AH152" s="3" t="s">
        <v>75</v>
      </c>
      <c r="AI152" s="2">
        <v>0</v>
      </c>
      <c r="AJ152" s="2">
        <v>1</v>
      </c>
      <c r="AK152" s="2">
        <v>0</v>
      </c>
      <c r="AL152" s="2">
        <v>1</v>
      </c>
      <c r="AM152" s="2">
        <v>0</v>
      </c>
      <c r="AN152" s="2">
        <v>0</v>
      </c>
      <c r="AO152" s="2" t="s">
        <v>76</v>
      </c>
      <c r="AP152" s="1">
        <v>1129</v>
      </c>
      <c r="AQ152" s="1">
        <f>87*2+79*2</f>
        <v>332</v>
      </c>
      <c r="AR152" s="4">
        <f t="shared" si="31"/>
        <v>0.22724161533196441</v>
      </c>
      <c r="AS152" s="18">
        <f t="shared" si="30"/>
        <v>257.32799999999997</v>
      </c>
      <c r="AT152">
        <f t="shared" si="33"/>
        <v>0.77508433734939752</v>
      </c>
      <c r="AU152">
        <f t="shared" si="32"/>
        <v>181.6</v>
      </c>
      <c r="AV152" s="9">
        <f t="shared" si="28"/>
        <v>0.54698795180722892</v>
      </c>
    </row>
    <row r="153" spans="1:49" x14ac:dyDescent="0.3">
      <c r="A153" s="23">
        <v>275</v>
      </c>
      <c r="B153" t="s">
        <v>42</v>
      </c>
      <c r="C153" s="1">
        <v>11222</v>
      </c>
      <c r="D153" t="s">
        <v>54</v>
      </c>
      <c r="E153" t="s">
        <v>192</v>
      </c>
      <c r="F153" t="s">
        <v>193</v>
      </c>
      <c r="G153" s="2">
        <v>1977</v>
      </c>
      <c r="H153" s="2" t="s">
        <v>69</v>
      </c>
      <c r="I153" s="2" t="str">
        <f t="shared" si="29"/>
        <v>1950-1980</v>
      </c>
      <c r="J153" s="2">
        <v>19</v>
      </c>
      <c r="K153" s="2">
        <f t="shared" si="26"/>
        <v>20</v>
      </c>
      <c r="L153" s="2">
        <v>71</v>
      </c>
      <c r="M153" s="2">
        <v>52</v>
      </c>
      <c r="N153" s="2">
        <v>2</v>
      </c>
      <c r="O153" s="2">
        <v>0</v>
      </c>
      <c r="P153" s="2">
        <v>4</v>
      </c>
      <c r="Q153" s="2">
        <v>1</v>
      </c>
      <c r="R153" s="2">
        <v>9.6</v>
      </c>
      <c r="S153" s="2">
        <v>9.5</v>
      </c>
      <c r="T153" s="2">
        <v>12.3</v>
      </c>
      <c r="U153" s="2">
        <v>49.9</v>
      </c>
      <c r="V153" s="1">
        <v>700</v>
      </c>
      <c r="W153" s="2">
        <v>1389.5</v>
      </c>
      <c r="X153" s="2">
        <v>522</v>
      </c>
      <c r="Y153" s="1">
        <v>916.6</v>
      </c>
      <c r="Z153" s="2" t="s">
        <v>70</v>
      </c>
      <c r="AA153" s="2">
        <v>4</v>
      </c>
      <c r="AB153" s="2">
        <v>0</v>
      </c>
      <c r="AD153" s="3" t="s">
        <v>126</v>
      </c>
      <c r="AE153" s="3" t="s">
        <v>115</v>
      </c>
      <c r="AF153" s="3" t="s">
        <v>50</v>
      </c>
      <c r="AG153" s="3" t="s">
        <v>60</v>
      </c>
      <c r="AH153" s="3" t="s">
        <v>75</v>
      </c>
      <c r="AI153" s="2">
        <v>0</v>
      </c>
      <c r="AJ153" s="2">
        <v>1</v>
      </c>
      <c r="AK153" s="2">
        <v>0</v>
      </c>
      <c r="AL153" s="2">
        <v>0</v>
      </c>
      <c r="AM153" s="2">
        <v>1</v>
      </c>
      <c r="AN153" s="2">
        <v>1</v>
      </c>
      <c r="AO153" s="2" t="s">
        <v>61</v>
      </c>
      <c r="AP153" s="1">
        <f>504.1</f>
        <v>504.1</v>
      </c>
      <c r="AQ153" s="1">
        <f>53.04+25.05+65.52+3.9</f>
        <v>147.51000000000002</v>
      </c>
      <c r="AR153" s="4">
        <f t="shared" si="31"/>
        <v>0.22637774128696617</v>
      </c>
      <c r="AS153" s="18">
        <f t="shared" si="30"/>
        <v>146.65600000000001</v>
      </c>
      <c r="AT153">
        <f t="shared" si="33"/>
        <v>0.99421056199579683</v>
      </c>
      <c r="AU153">
        <f t="shared" si="32"/>
        <v>118.04</v>
      </c>
      <c r="AV153" s="9">
        <f t="shared" si="28"/>
        <v>0.80021693444512232</v>
      </c>
    </row>
    <row r="154" spans="1:49" x14ac:dyDescent="0.3">
      <c r="A154" s="23">
        <v>127</v>
      </c>
      <c r="B154" t="s">
        <v>42</v>
      </c>
      <c r="C154" s="1">
        <v>11222</v>
      </c>
      <c r="D154" t="s">
        <v>54</v>
      </c>
      <c r="E154" t="s">
        <v>335</v>
      </c>
      <c r="F154" t="s">
        <v>336</v>
      </c>
      <c r="G154" s="2">
        <v>1970</v>
      </c>
      <c r="H154" s="2" t="s">
        <v>57</v>
      </c>
      <c r="I154" s="2" t="str">
        <f t="shared" si="29"/>
        <v>1950-1980</v>
      </c>
      <c r="J154" s="2">
        <v>55</v>
      </c>
      <c r="K154" s="2">
        <f t="shared" si="26"/>
        <v>60</v>
      </c>
      <c r="L154" s="2">
        <v>235</v>
      </c>
      <c r="M154" s="2">
        <v>180</v>
      </c>
      <c r="N154" s="2">
        <v>5</v>
      </c>
      <c r="O154" s="2">
        <v>0</v>
      </c>
      <c r="P154" s="2">
        <v>4</v>
      </c>
      <c r="Q154" s="2">
        <v>1</v>
      </c>
      <c r="R154" s="2">
        <v>18.2</v>
      </c>
      <c r="S154" s="2">
        <v>18</v>
      </c>
      <c r="T154" s="2">
        <v>11.3</v>
      </c>
      <c r="U154" s="2">
        <v>65.099999999999994</v>
      </c>
      <c r="V154" s="1">
        <v>800.5</v>
      </c>
      <c r="W154" s="2">
        <v>3255.5</v>
      </c>
      <c r="X154" s="2">
        <v>589.79999999999995</v>
      </c>
      <c r="Y154" s="1">
        <v>2854</v>
      </c>
      <c r="Z154" s="2" t="s">
        <v>70</v>
      </c>
      <c r="AA154" s="2">
        <v>4</v>
      </c>
      <c r="AB154" s="2">
        <v>0</v>
      </c>
      <c r="AD154" s="3" t="s">
        <v>337</v>
      </c>
      <c r="AE154" s="3" t="s">
        <v>334</v>
      </c>
      <c r="AF154" s="3" t="s">
        <v>202</v>
      </c>
      <c r="AG154" s="3" t="s">
        <v>156</v>
      </c>
      <c r="AH154" s="3" t="s">
        <v>75</v>
      </c>
      <c r="AI154" s="2">
        <v>0</v>
      </c>
      <c r="AJ154" s="2">
        <v>1</v>
      </c>
      <c r="AK154" s="2">
        <v>0</v>
      </c>
      <c r="AL154" s="2">
        <v>0</v>
      </c>
      <c r="AM154" s="2">
        <v>0</v>
      </c>
      <c r="AN154" s="2" t="s">
        <v>152</v>
      </c>
      <c r="AO154" s="2" t="s">
        <v>84</v>
      </c>
      <c r="AP154" s="1">
        <v>1259</v>
      </c>
      <c r="AQ154" s="1">
        <f>16+175+181+16</f>
        <v>388</v>
      </c>
      <c r="AR154" s="4">
        <f t="shared" si="31"/>
        <v>0.23557984213721919</v>
      </c>
      <c r="AS154" s="18">
        <f t="shared" si="30"/>
        <v>456.64</v>
      </c>
      <c r="AT154">
        <f t="shared" si="33"/>
        <v>1.1769072164948453</v>
      </c>
      <c r="AU154">
        <f t="shared" si="32"/>
        <v>408.6</v>
      </c>
      <c r="AV154" s="9">
        <f t="shared" si="28"/>
        <v>1.0530927835051547</v>
      </c>
    </row>
    <row r="155" spans="1:49" x14ac:dyDescent="0.3">
      <c r="A155" s="23">
        <v>95</v>
      </c>
      <c r="B155" t="s">
        <v>42</v>
      </c>
      <c r="C155" s="1">
        <v>11222</v>
      </c>
      <c r="D155" t="s">
        <v>54</v>
      </c>
      <c r="E155" t="s">
        <v>110</v>
      </c>
      <c r="F155" t="s">
        <v>110</v>
      </c>
      <c r="G155" s="2">
        <v>1965</v>
      </c>
      <c r="H155" s="2" t="s">
        <v>57</v>
      </c>
      <c r="I155" s="2" t="str">
        <f t="shared" si="29"/>
        <v>1950-1980</v>
      </c>
      <c r="J155" s="2">
        <v>48</v>
      </c>
      <c r="K155" s="2">
        <f t="shared" si="26"/>
        <v>50</v>
      </c>
      <c r="L155" s="2">
        <v>204</v>
      </c>
      <c r="M155" s="2">
        <v>156</v>
      </c>
      <c r="N155" s="2">
        <v>4</v>
      </c>
      <c r="O155" s="2">
        <v>0</v>
      </c>
      <c r="P155" s="2">
        <v>4</v>
      </c>
      <c r="Q155" s="2">
        <v>1</v>
      </c>
      <c r="R155" s="2">
        <v>15.2</v>
      </c>
      <c r="S155" s="2">
        <v>15</v>
      </c>
      <c r="T155" s="2">
        <v>11.2</v>
      </c>
      <c r="U155" s="2">
        <v>61.1</v>
      </c>
      <c r="V155" s="1">
        <v>658</v>
      </c>
      <c r="W155" s="2">
        <v>2555.1999999999998</v>
      </c>
      <c r="X155" s="2">
        <v>256.7</v>
      </c>
      <c r="Y155" s="1">
        <v>2122</v>
      </c>
      <c r="Z155" s="2" t="s">
        <v>70</v>
      </c>
      <c r="AA155" s="2">
        <v>4</v>
      </c>
      <c r="AB155" s="2">
        <v>0</v>
      </c>
      <c r="AD155" s="3" t="s">
        <v>126</v>
      </c>
      <c r="AE155" s="3" t="s">
        <v>115</v>
      </c>
      <c r="AF155" s="3" t="s">
        <v>150</v>
      </c>
      <c r="AG155" s="3" t="s">
        <v>51</v>
      </c>
      <c r="AH155" s="3" t="s">
        <v>75</v>
      </c>
      <c r="AI155" s="2">
        <v>0</v>
      </c>
      <c r="AJ155" s="2">
        <v>1</v>
      </c>
      <c r="AK155" s="2">
        <v>0</v>
      </c>
      <c r="AL155" s="2">
        <v>0</v>
      </c>
      <c r="AM155" s="2">
        <v>0</v>
      </c>
      <c r="AN155" s="2">
        <v>1</v>
      </c>
      <c r="AO155" s="2" t="s">
        <v>84</v>
      </c>
      <c r="AP155" s="1">
        <f>1186</f>
        <v>1186</v>
      </c>
      <c r="AQ155" s="1">
        <f>373.8+84.5</f>
        <v>458.3</v>
      </c>
      <c r="AR155" s="4">
        <f t="shared" si="31"/>
        <v>0.27872042814571552</v>
      </c>
      <c r="AS155" s="18">
        <f t="shared" si="30"/>
        <v>339.52</v>
      </c>
      <c r="AT155">
        <f t="shared" si="33"/>
        <v>0.74082478725725498</v>
      </c>
      <c r="AU155">
        <f t="shared" si="32"/>
        <v>354.12</v>
      </c>
      <c r="AV155" s="9">
        <f t="shared" si="28"/>
        <v>0.77268164957451446</v>
      </c>
    </row>
    <row r="156" spans="1:49" x14ac:dyDescent="0.3">
      <c r="A156" s="23">
        <v>240</v>
      </c>
      <c r="B156" t="s">
        <v>42</v>
      </c>
      <c r="C156" s="1">
        <v>11222</v>
      </c>
      <c r="D156" t="s">
        <v>54</v>
      </c>
      <c r="E156" t="s">
        <v>110</v>
      </c>
      <c r="F156" t="s">
        <v>110</v>
      </c>
      <c r="G156" s="2">
        <v>1966</v>
      </c>
      <c r="H156" s="2" t="s">
        <v>57</v>
      </c>
      <c r="I156" s="2" t="str">
        <f t="shared" si="29"/>
        <v>1950-1980</v>
      </c>
      <c r="J156" s="2">
        <v>50</v>
      </c>
      <c r="K156" s="2">
        <f t="shared" si="26"/>
        <v>50</v>
      </c>
      <c r="L156" s="2">
        <v>193</v>
      </c>
      <c r="M156" s="2">
        <v>143</v>
      </c>
      <c r="N156" s="2">
        <v>4</v>
      </c>
      <c r="O156" s="2">
        <v>0</v>
      </c>
      <c r="P156" s="2">
        <v>4</v>
      </c>
      <c r="Q156" s="2">
        <v>1</v>
      </c>
      <c r="R156" s="2">
        <v>15</v>
      </c>
      <c r="S156" s="2">
        <v>15</v>
      </c>
      <c r="T156" s="2">
        <v>13.4</v>
      </c>
      <c r="U156" s="2">
        <v>61.2</v>
      </c>
      <c r="V156" s="1">
        <v>706.1</v>
      </c>
      <c r="W156" s="2">
        <v>2534.1999999999998</v>
      </c>
      <c r="X156" s="2">
        <v>531.20000000000005</v>
      </c>
      <c r="Y156" s="1">
        <v>2131</v>
      </c>
      <c r="Z156" s="2" t="s">
        <v>70</v>
      </c>
      <c r="AA156" s="2">
        <v>4</v>
      </c>
      <c r="AB156" s="2">
        <v>0</v>
      </c>
      <c r="AD156" s="3" t="s">
        <v>126</v>
      </c>
      <c r="AE156" s="3" t="s">
        <v>115</v>
      </c>
      <c r="AF156" s="3" t="s">
        <v>83</v>
      </c>
      <c r="AG156" s="3" t="s">
        <v>67</v>
      </c>
      <c r="AH156" s="3" t="s">
        <v>100</v>
      </c>
      <c r="AI156" s="2">
        <v>0</v>
      </c>
      <c r="AJ156" s="2">
        <v>1</v>
      </c>
      <c r="AK156" s="2">
        <v>0</v>
      </c>
      <c r="AL156" s="2">
        <v>0</v>
      </c>
      <c r="AM156" s="2">
        <v>0</v>
      </c>
      <c r="AN156" s="2">
        <v>1</v>
      </c>
      <c r="AO156" s="2" t="s">
        <v>76</v>
      </c>
      <c r="AP156" s="16">
        <v>1101</v>
      </c>
      <c r="AQ156" s="16">
        <v>435.3</v>
      </c>
      <c r="AR156" s="4">
        <f t="shared" si="31"/>
        <v>0.28334309705135718</v>
      </c>
      <c r="AS156" s="18">
        <f t="shared" si="30"/>
        <v>340.96</v>
      </c>
      <c r="AT156">
        <f t="shared" si="33"/>
        <v>0.78327590167700434</v>
      </c>
      <c r="AU156">
        <f t="shared" si="32"/>
        <v>324.61</v>
      </c>
      <c r="AV156" s="9">
        <f t="shared" si="28"/>
        <v>0.74571559843785895</v>
      </c>
    </row>
    <row r="157" spans="1:49" x14ac:dyDescent="0.3">
      <c r="A157" s="23">
        <v>241</v>
      </c>
      <c r="B157" t="s">
        <v>42</v>
      </c>
      <c r="C157" s="1">
        <v>11222</v>
      </c>
      <c r="D157" t="s">
        <v>54</v>
      </c>
      <c r="E157" t="s">
        <v>55</v>
      </c>
      <c r="F157" t="s">
        <v>56</v>
      </c>
      <c r="G157" s="2">
        <v>1985</v>
      </c>
      <c r="H157" s="2" t="s">
        <v>131</v>
      </c>
      <c r="I157" s="2" t="str">
        <f t="shared" si="29"/>
        <v>&gt;1980</v>
      </c>
      <c r="J157" s="2">
        <v>24</v>
      </c>
      <c r="K157" s="2">
        <f t="shared" si="26"/>
        <v>20</v>
      </c>
      <c r="L157" s="2">
        <v>114</v>
      </c>
      <c r="M157" s="2">
        <v>90</v>
      </c>
      <c r="N157" s="2">
        <v>3</v>
      </c>
      <c r="O157" s="2">
        <v>0</v>
      </c>
      <c r="P157" s="2">
        <v>4</v>
      </c>
      <c r="Q157" s="2">
        <v>1</v>
      </c>
      <c r="R157" s="2">
        <v>11.6</v>
      </c>
      <c r="S157" s="2">
        <v>11.5</v>
      </c>
      <c r="T157" s="2">
        <v>16</v>
      </c>
      <c r="U157" s="2">
        <v>71.099999999999994</v>
      </c>
      <c r="V157" s="1">
        <v>811</v>
      </c>
      <c r="W157" s="2">
        <v>1740.6</v>
      </c>
      <c r="X157" s="2">
        <v>181.2</v>
      </c>
      <c r="Y157" s="1">
        <v>1589.4</v>
      </c>
      <c r="Z157" s="2" t="s">
        <v>70</v>
      </c>
      <c r="AA157" s="2">
        <v>6</v>
      </c>
      <c r="AB157" s="2">
        <v>2</v>
      </c>
      <c r="AD157" s="3" t="s">
        <v>91</v>
      </c>
      <c r="AE157" s="3" t="s">
        <v>92</v>
      </c>
      <c r="AF157" s="3" t="s">
        <v>83</v>
      </c>
      <c r="AG157" s="3" t="s">
        <v>51</v>
      </c>
      <c r="AH157" s="3" t="s">
        <v>136</v>
      </c>
      <c r="AI157" s="2">
        <v>0</v>
      </c>
      <c r="AJ157" s="2">
        <v>1</v>
      </c>
      <c r="AK157" s="2">
        <v>0</v>
      </c>
      <c r="AL157" s="2">
        <v>0</v>
      </c>
      <c r="AM157" s="2">
        <v>0</v>
      </c>
      <c r="AN157" s="2" t="s">
        <v>152</v>
      </c>
      <c r="AO157" s="2" t="s">
        <v>76</v>
      </c>
      <c r="AP157" s="1">
        <f>855.3+20.6</f>
        <v>875.9</v>
      </c>
      <c r="AQ157" s="1">
        <f>198.4</f>
        <v>198.4</v>
      </c>
      <c r="AR157" s="4">
        <f t="shared" si="31"/>
        <v>0.18467839523410595</v>
      </c>
      <c r="AS157" s="18">
        <f t="shared" si="30"/>
        <v>254.304</v>
      </c>
      <c r="AT157">
        <f t="shared" si="33"/>
        <v>1.2817741935483871</v>
      </c>
      <c r="AU157">
        <f t="shared" si="32"/>
        <v>204.3</v>
      </c>
      <c r="AV157" s="9">
        <f t="shared" si="28"/>
        <v>1.0297379032258065</v>
      </c>
    </row>
    <row r="158" spans="1:49" x14ac:dyDescent="0.3">
      <c r="A158" s="23">
        <v>143</v>
      </c>
      <c r="B158" t="s">
        <v>42</v>
      </c>
      <c r="C158" s="1">
        <v>11222</v>
      </c>
      <c r="D158" t="s">
        <v>132</v>
      </c>
      <c r="E158" t="s">
        <v>390</v>
      </c>
      <c r="F158" t="s">
        <v>391</v>
      </c>
      <c r="G158" s="2">
        <v>1984</v>
      </c>
      <c r="H158" s="2" t="s">
        <v>131</v>
      </c>
      <c r="I158" s="2" t="str">
        <f t="shared" si="29"/>
        <v>&gt;1980</v>
      </c>
      <c r="J158" s="2">
        <v>24</v>
      </c>
      <c r="K158" s="2">
        <f t="shared" si="26"/>
        <v>20</v>
      </c>
      <c r="L158" s="2">
        <v>116</v>
      </c>
      <c r="M158" s="2">
        <v>92</v>
      </c>
      <c r="N158" s="2">
        <v>3</v>
      </c>
      <c r="O158" s="2">
        <v>0</v>
      </c>
      <c r="P158" s="2">
        <v>4</v>
      </c>
      <c r="Q158" s="2">
        <v>1</v>
      </c>
      <c r="R158" s="2">
        <v>12.4</v>
      </c>
      <c r="S158" s="2">
        <v>12.5</v>
      </c>
      <c r="T158" s="2">
        <v>10.6</v>
      </c>
      <c r="U158" s="2">
        <v>71.8</v>
      </c>
      <c r="V158" s="1">
        <v>729</v>
      </c>
      <c r="W158" s="2">
        <v>2221.4</v>
      </c>
      <c r="X158" s="2">
        <v>655.1</v>
      </c>
      <c r="Y158" s="1">
        <v>1786</v>
      </c>
      <c r="Z158" s="2" t="s">
        <v>70</v>
      </c>
      <c r="AA158" s="2">
        <v>12</v>
      </c>
      <c r="AB158" s="2">
        <v>8</v>
      </c>
      <c r="AC158" s="2">
        <v>0</v>
      </c>
      <c r="AD158" s="3" t="s">
        <v>126</v>
      </c>
      <c r="AE158" s="3" t="s">
        <v>115</v>
      </c>
      <c r="AF158" s="3" t="s">
        <v>50</v>
      </c>
      <c r="AG158" s="3" t="s">
        <v>51</v>
      </c>
      <c r="AH158" s="3" t="s">
        <v>75</v>
      </c>
      <c r="AI158" s="2">
        <v>0</v>
      </c>
      <c r="AJ158" s="2">
        <v>1</v>
      </c>
      <c r="AK158" s="2">
        <v>0</v>
      </c>
      <c r="AL158" s="2">
        <v>1</v>
      </c>
      <c r="AM158" s="2">
        <v>0</v>
      </c>
      <c r="AN158" s="2">
        <v>0</v>
      </c>
      <c r="AO158" s="2" t="s">
        <v>76</v>
      </c>
      <c r="AR158" s="4"/>
      <c r="AS158" s="18" t="str">
        <f t="shared" si="30"/>
        <v/>
      </c>
      <c r="AT158" t="str">
        <f t="shared" si="33"/>
        <v/>
      </c>
      <c r="AU158" t="str">
        <f>IF(AQ158&lt;&gt;"",2.3*M158,"")</f>
        <v/>
      </c>
      <c r="AV158" s="9" t="str">
        <f t="shared" si="28"/>
        <v/>
      </c>
    </row>
    <row r="159" spans="1:49" x14ac:dyDescent="0.3">
      <c r="A159" s="23">
        <v>8</v>
      </c>
      <c r="B159" t="s">
        <v>42</v>
      </c>
      <c r="C159" s="1">
        <v>11222</v>
      </c>
      <c r="D159" t="s">
        <v>132</v>
      </c>
      <c r="E159" t="s">
        <v>133</v>
      </c>
      <c r="F159" t="s">
        <v>166</v>
      </c>
      <c r="G159" s="2">
        <v>1989</v>
      </c>
      <c r="H159" s="2" t="s">
        <v>131</v>
      </c>
      <c r="I159" s="2" t="str">
        <f t="shared" si="29"/>
        <v>&gt;1980</v>
      </c>
      <c r="J159" s="2">
        <v>24</v>
      </c>
      <c r="K159" s="2">
        <f t="shared" si="26"/>
        <v>20</v>
      </c>
      <c r="L159" s="2">
        <v>115</v>
      </c>
      <c r="M159" s="2">
        <v>91</v>
      </c>
      <c r="N159" s="2">
        <v>3</v>
      </c>
      <c r="O159" s="2">
        <v>0</v>
      </c>
      <c r="P159" s="2">
        <v>4</v>
      </c>
      <c r="Q159" s="2">
        <v>1</v>
      </c>
      <c r="R159" s="2">
        <v>12.8</v>
      </c>
      <c r="S159" s="2">
        <v>13</v>
      </c>
      <c r="T159" s="2">
        <v>17.399999999999999</v>
      </c>
      <c r="U159" s="2">
        <v>71.900000000000006</v>
      </c>
      <c r="V159" s="1">
        <v>729</v>
      </c>
      <c r="W159" s="2">
        <v>2196</v>
      </c>
      <c r="X159" s="2">
        <v>629.29999999999995</v>
      </c>
      <c r="Y159" s="1">
        <v>1647</v>
      </c>
      <c r="Z159" s="2" t="s">
        <v>70</v>
      </c>
      <c r="AA159" s="2">
        <v>6</v>
      </c>
      <c r="AB159" s="2">
        <v>2</v>
      </c>
      <c r="AD159" s="3" t="s">
        <v>58</v>
      </c>
      <c r="AE159" s="3" t="s">
        <v>115</v>
      </c>
      <c r="AF159" s="3" t="s">
        <v>139</v>
      </c>
      <c r="AG159" s="3" t="s">
        <v>67</v>
      </c>
      <c r="AH159" s="3" t="s">
        <v>75</v>
      </c>
      <c r="AI159" s="2">
        <v>0</v>
      </c>
      <c r="AJ159" s="2">
        <v>1</v>
      </c>
      <c r="AK159" s="2">
        <v>0</v>
      </c>
      <c r="AL159" s="2">
        <v>1</v>
      </c>
      <c r="AM159" s="2">
        <v>0</v>
      </c>
      <c r="AN159" s="2" t="s">
        <v>152</v>
      </c>
      <c r="AO159" s="2" t="s">
        <v>84</v>
      </c>
      <c r="AP159" s="1">
        <f>105.98+673.5+649.5+114.75</f>
        <v>1543.73</v>
      </c>
      <c r="AQ159" s="1">
        <f>133.38+134.44</f>
        <v>267.82</v>
      </c>
      <c r="AR159" s="4">
        <f t="shared" ref="AR159:AR194" si="34">AQ159/(AP159+AQ159)</f>
        <v>0.14784024730203418</v>
      </c>
      <c r="AS159" s="18">
        <f t="shared" si="30"/>
        <v>263.52</v>
      </c>
      <c r="AT159">
        <f t="shared" si="33"/>
        <v>0.98394444029572092</v>
      </c>
      <c r="AU159">
        <f>IF(AQ159&lt;&gt;"",2.27*M159,"")</f>
        <v>206.57</v>
      </c>
      <c r="AV159" s="9">
        <f t="shared" si="28"/>
        <v>0.77130162049137485</v>
      </c>
    </row>
    <row r="160" spans="1:49" x14ac:dyDescent="0.3">
      <c r="A160" s="23">
        <v>159</v>
      </c>
      <c r="B160" t="s">
        <v>42</v>
      </c>
      <c r="C160" s="1">
        <v>11222</v>
      </c>
      <c r="D160" t="s">
        <v>211</v>
      </c>
      <c r="E160" t="s">
        <v>212</v>
      </c>
      <c r="F160" t="s">
        <v>213</v>
      </c>
      <c r="G160" s="2">
        <v>1980</v>
      </c>
      <c r="H160" s="2" t="s">
        <v>69</v>
      </c>
      <c r="I160" s="2" t="str">
        <f t="shared" si="29"/>
        <v>1950-1980</v>
      </c>
      <c r="J160" s="2">
        <v>24</v>
      </c>
      <c r="K160" s="2">
        <f t="shared" si="26"/>
        <v>20</v>
      </c>
      <c r="L160" s="2">
        <v>116</v>
      </c>
      <c r="M160" s="2">
        <v>92</v>
      </c>
      <c r="N160" s="2">
        <v>3</v>
      </c>
      <c r="O160" s="2">
        <v>0</v>
      </c>
      <c r="P160" s="2">
        <v>4</v>
      </c>
      <c r="Q160" s="2">
        <v>1</v>
      </c>
      <c r="R160" s="2">
        <v>12.1</v>
      </c>
      <c r="S160" s="2">
        <v>12</v>
      </c>
      <c r="T160" s="2">
        <v>11.7</v>
      </c>
      <c r="U160" s="2">
        <v>71.900000000000006</v>
      </c>
      <c r="V160" s="1">
        <v>745</v>
      </c>
      <c r="W160" s="2">
        <v>2139.4</v>
      </c>
      <c r="X160" s="2">
        <v>411.3</v>
      </c>
      <c r="Y160" s="1">
        <v>1686</v>
      </c>
      <c r="Z160" s="2" t="s">
        <v>70</v>
      </c>
      <c r="AA160" s="2">
        <v>16</v>
      </c>
      <c r="AB160" s="2">
        <v>12</v>
      </c>
      <c r="AD160" s="3" t="s">
        <v>91</v>
      </c>
      <c r="AE160" s="3" t="s">
        <v>92</v>
      </c>
      <c r="AF160" s="3" t="s">
        <v>65</v>
      </c>
      <c r="AG160" s="3" t="s">
        <v>65</v>
      </c>
      <c r="AH160" s="3" t="s">
        <v>75</v>
      </c>
      <c r="AI160" s="2">
        <v>0</v>
      </c>
      <c r="AJ160" s="2">
        <v>1</v>
      </c>
      <c r="AK160" s="2">
        <v>0</v>
      </c>
      <c r="AL160" s="2">
        <v>1</v>
      </c>
      <c r="AM160" s="2">
        <v>0</v>
      </c>
      <c r="AN160" s="2">
        <v>0</v>
      </c>
      <c r="AO160" s="2" t="s">
        <v>61</v>
      </c>
      <c r="AP160" s="1">
        <f>159.6+1262.8</f>
        <v>1422.3999999999999</v>
      </c>
      <c r="AQ160" s="1">
        <f>140.7+160.7</f>
        <v>301.39999999999998</v>
      </c>
      <c r="AR160" s="4">
        <f t="shared" si="34"/>
        <v>0.17484626986889432</v>
      </c>
      <c r="AS160" s="18">
        <f t="shared" si="30"/>
        <v>269.76</v>
      </c>
      <c r="AT160">
        <f t="shared" si="33"/>
        <v>0.89502322495023223</v>
      </c>
      <c r="AU160">
        <f>IF(AQ160&lt;&gt;"",2.27*M160,"")</f>
        <v>208.84</v>
      </c>
      <c r="AV160" s="9">
        <f t="shared" si="28"/>
        <v>0.69289980092899806</v>
      </c>
    </row>
    <row r="161" spans="1:48" x14ac:dyDescent="0.3">
      <c r="A161" s="23">
        <v>123</v>
      </c>
      <c r="B161" t="s">
        <v>42</v>
      </c>
      <c r="C161" s="1">
        <v>11222</v>
      </c>
      <c r="D161" t="s">
        <v>211</v>
      </c>
      <c r="E161" t="s">
        <v>212</v>
      </c>
      <c r="F161" t="s">
        <v>213</v>
      </c>
      <c r="G161" s="2">
        <v>1968</v>
      </c>
      <c r="H161" s="2" t="s">
        <v>57</v>
      </c>
      <c r="I161" s="2" t="str">
        <f t="shared" si="29"/>
        <v>1950-1980</v>
      </c>
      <c r="J161" s="2">
        <v>55</v>
      </c>
      <c r="K161" s="2">
        <f t="shared" si="26"/>
        <v>60</v>
      </c>
      <c r="L161" s="2">
        <v>235</v>
      </c>
      <c r="M161" s="2">
        <v>180</v>
      </c>
      <c r="N161" s="2">
        <v>5</v>
      </c>
      <c r="O161" s="2">
        <v>0</v>
      </c>
      <c r="P161" s="2">
        <v>4</v>
      </c>
      <c r="Q161" s="2">
        <v>1</v>
      </c>
      <c r="R161" s="2">
        <v>16.5</v>
      </c>
      <c r="S161" s="2">
        <v>16.5</v>
      </c>
      <c r="T161" s="2">
        <v>11.2</v>
      </c>
      <c r="U161" s="2">
        <v>65.3</v>
      </c>
      <c r="V161" s="1">
        <v>828</v>
      </c>
      <c r="W161" s="2">
        <v>3231.3</v>
      </c>
      <c r="X161" s="2">
        <v>559.20000000000005</v>
      </c>
      <c r="Y161" s="1">
        <v>2887</v>
      </c>
      <c r="Z161" s="2" t="s">
        <v>70</v>
      </c>
      <c r="AA161" s="2">
        <v>4</v>
      </c>
      <c r="AB161" s="2">
        <v>0</v>
      </c>
      <c r="AC161" s="2">
        <v>0</v>
      </c>
      <c r="AD161" s="3" t="s">
        <v>91</v>
      </c>
      <c r="AE161" s="3" t="s">
        <v>115</v>
      </c>
      <c r="AF161" s="3" t="s">
        <v>50</v>
      </c>
      <c r="AG161" s="3" t="s">
        <v>74</v>
      </c>
      <c r="AH161" s="3" t="s">
        <v>75</v>
      </c>
      <c r="AI161" s="2">
        <v>1</v>
      </c>
      <c r="AJ161" s="2">
        <v>0</v>
      </c>
      <c r="AK161" s="2">
        <v>0</v>
      </c>
      <c r="AL161" s="2">
        <v>0</v>
      </c>
      <c r="AM161" s="2">
        <v>1</v>
      </c>
      <c r="AN161" s="2">
        <v>0</v>
      </c>
      <c r="AO161" s="2" t="s">
        <v>76</v>
      </c>
      <c r="AP161" s="1">
        <f>1281.3+299</f>
        <v>1580.3</v>
      </c>
      <c r="AQ161" s="1">
        <f>319+288.7</f>
        <v>607.70000000000005</v>
      </c>
      <c r="AR161" s="4">
        <f t="shared" si="34"/>
        <v>0.27774223034734918</v>
      </c>
      <c r="AS161" s="18">
        <f t="shared" si="30"/>
        <v>461.92</v>
      </c>
      <c r="AT161">
        <f t="shared" si="33"/>
        <v>0.76011189731775541</v>
      </c>
      <c r="AU161">
        <f>IF(AQ161&lt;&gt;"",2.27*M161,"")</f>
        <v>408.6</v>
      </c>
      <c r="AV161" s="9">
        <f t="shared" si="28"/>
        <v>0.67237123580714164</v>
      </c>
    </row>
    <row r="162" spans="1:48" x14ac:dyDescent="0.3">
      <c r="A162" s="23">
        <v>76</v>
      </c>
      <c r="B162" t="s">
        <v>42</v>
      </c>
      <c r="C162" s="1">
        <v>11222</v>
      </c>
      <c r="D162" t="s">
        <v>77</v>
      </c>
      <c r="E162" t="s">
        <v>309</v>
      </c>
      <c r="F162" t="s">
        <v>310</v>
      </c>
      <c r="G162" s="2">
        <v>1992</v>
      </c>
      <c r="H162" s="2" t="s">
        <v>167</v>
      </c>
      <c r="I162" s="2" t="str">
        <f t="shared" si="29"/>
        <v>&gt;1980</v>
      </c>
      <c r="J162" s="2">
        <v>30</v>
      </c>
      <c r="K162" s="2">
        <f t="shared" si="26"/>
        <v>30</v>
      </c>
      <c r="L162" s="2">
        <v>137</v>
      </c>
      <c r="M162" s="2">
        <v>107</v>
      </c>
      <c r="N162" s="2">
        <v>3</v>
      </c>
      <c r="O162" s="2">
        <v>0</v>
      </c>
      <c r="P162" s="2">
        <v>4</v>
      </c>
      <c r="Q162" s="2">
        <v>1</v>
      </c>
      <c r="R162" s="2">
        <v>11.9</v>
      </c>
      <c r="S162" s="2">
        <v>12</v>
      </c>
      <c r="T162" s="2">
        <v>16.8</v>
      </c>
      <c r="U162" s="2">
        <v>60.7</v>
      </c>
      <c r="V162" s="1">
        <v>843</v>
      </c>
      <c r="W162" s="2">
        <v>2463.1</v>
      </c>
      <c r="X162" s="2">
        <v>100</v>
      </c>
      <c r="Y162" s="1">
        <v>1930</v>
      </c>
      <c r="Z162" s="2" t="s">
        <v>70</v>
      </c>
      <c r="AA162" s="2">
        <v>6</v>
      </c>
      <c r="AB162" s="2">
        <v>2</v>
      </c>
      <c r="AD162" s="3" t="s">
        <v>311</v>
      </c>
      <c r="AE162" s="3" t="s">
        <v>72</v>
      </c>
      <c r="AF162" s="3" t="s">
        <v>50</v>
      </c>
      <c r="AG162" s="3" t="s">
        <v>96</v>
      </c>
      <c r="AH162" s="3" t="s">
        <v>75</v>
      </c>
      <c r="AI162" s="2">
        <v>0</v>
      </c>
      <c r="AJ162" s="2">
        <v>1</v>
      </c>
      <c r="AK162" s="2">
        <v>0</v>
      </c>
      <c r="AL162" s="2">
        <v>1</v>
      </c>
      <c r="AM162" s="2">
        <v>0</v>
      </c>
      <c r="AN162" s="2">
        <v>0</v>
      </c>
      <c r="AO162" s="2" t="s">
        <v>76</v>
      </c>
      <c r="AP162" s="1">
        <f>257.4+669.3</f>
        <v>926.69999999999993</v>
      </c>
      <c r="AQ162" s="1">
        <f>147.5+144.6</f>
        <v>292.10000000000002</v>
      </c>
      <c r="AR162" s="4">
        <f t="shared" si="34"/>
        <v>0.23966196258615033</v>
      </c>
      <c r="AS162" s="18">
        <f t="shared" si="30"/>
        <v>308.8</v>
      </c>
      <c r="AT162">
        <f t="shared" si="33"/>
        <v>1.0571722013009244</v>
      </c>
      <c r="AU162">
        <f>IF(AQ162&lt;&gt;"",2.27*M162,"")</f>
        <v>242.89000000000001</v>
      </c>
      <c r="AV162" s="9">
        <f t="shared" si="28"/>
        <v>0.83153029784320431</v>
      </c>
    </row>
    <row r="163" spans="1:48" x14ac:dyDescent="0.3">
      <c r="A163" s="23">
        <v>188</v>
      </c>
      <c r="B163" t="s">
        <v>42</v>
      </c>
      <c r="C163" s="1">
        <v>11222</v>
      </c>
      <c r="D163" t="s">
        <v>77</v>
      </c>
      <c r="E163" t="s">
        <v>78</v>
      </c>
      <c r="F163" t="s">
        <v>79</v>
      </c>
      <c r="G163" s="2">
        <v>1980</v>
      </c>
      <c r="H163" s="2" t="s">
        <v>69</v>
      </c>
      <c r="I163" s="2" t="str">
        <f t="shared" si="29"/>
        <v>1950-1980</v>
      </c>
      <c r="J163" s="2">
        <v>32</v>
      </c>
      <c r="K163" s="2">
        <f t="shared" si="26"/>
        <v>30</v>
      </c>
      <c r="L163" s="2">
        <v>155</v>
      </c>
      <c r="M163" s="2">
        <v>123</v>
      </c>
      <c r="N163" s="2">
        <v>4</v>
      </c>
      <c r="O163" s="2">
        <v>0</v>
      </c>
      <c r="P163" s="2">
        <v>4</v>
      </c>
      <c r="Q163" s="2">
        <v>1</v>
      </c>
      <c r="R163" s="2">
        <v>13.5</v>
      </c>
      <c r="S163" s="2">
        <v>13.5</v>
      </c>
      <c r="V163" s="1">
        <v>776</v>
      </c>
      <c r="W163" s="2">
        <v>2901.4</v>
      </c>
      <c r="X163" s="2">
        <v>817.2</v>
      </c>
      <c r="Y163" s="1">
        <v>2166</v>
      </c>
      <c r="Z163" s="2" t="s">
        <v>70</v>
      </c>
      <c r="AA163" s="2">
        <v>4</v>
      </c>
      <c r="AB163" s="2">
        <v>0</v>
      </c>
      <c r="AD163" s="3" t="s">
        <v>91</v>
      </c>
      <c r="AE163" s="3" t="s">
        <v>92</v>
      </c>
      <c r="AF163" s="3" t="s">
        <v>50</v>
      </c>
      <c r="AG163" s="3" t="s">
        <v>74</v>
      </c>
      <c r="AH163" s="3" t="s">
        <v>81</v>
      </c>
      <c r="AI163" s="2">
        <v>1</v>
      </c>
      <c r="AJ163" s="2">
        <v>0</v>
      </c>
      <c r="AK163" s="2">
        <v>0</v>
      </c>
      <c r="AL163" s="2">
        <v>1</v>
      </c>
      <c r="AM163" s="2">
        <v>0</v>
      </c>
      <c r="AN163" s="2">
        <v>0</v>
      </c>
      <c r="AO163" s="2" t="s">
        <v>88</v>
      </c>
      <c r="AP163" s="1">
        <f>838.6+442.8</f>
        <v>1281.4000000000001</v>
      </c>
      <c r="AQ163" s="1">
        <f>164.6+316.8</f>
        <v>481.4</v>
      </c>
      <c r="AR163" s="4">
        <f t="shared" si="34"/>
        <v>0.27308826866348984</v>
      </c>
      <c r="AS163" s="18">
        <f t="shared" si="30"/>
        <v>346.56</v>
      </c>
      <c r="AT163">
        <f t="shared" si="33"/>
        <v>0.7199002908184462</v>
      </c>
      <c r="AU163">
        <f>IF(AQ163&lt;&gt;"",2.27*M163,"")</f>
        <v>279.20999999999998</v>
      </c>
      <c r="AV163" s="9">
        <f t="shared" si="28"/>
        <v>0.57999584545076854</v>
      </c>
    </row>
    <row r="164" spans="1:48" x14ac:dyDescent="0.3">
      <c r="A164" s="23">
        <v>109</v>
      </c>
      <c r="B164" t="s">
        <v>42</v>
      </c>
      <c r="C164" s="1">
        <v>11222</v>
      </c>
      <c r="D164" t="s">
        <v>141</v>
      </c>
      <c r="E164" t="s">
        <v>183</v>
      </c>
      <c r="F164" t="s">
        <v>272</v>
      </c>
      <c r="G164" s="2">
        <v>1988</v>
      </c>
      <c r="H164" s="2" t="s">
        <v>131</v>
      </c>
      <c r="I164" s="2" t="str">
        <f t="shared" si="29"/>
        <v>&gt;1980</v>
      </c>
      <c r="J164" s="2">
        <v>24</v>
      </c>
      <c r="K164" s="2">
        <f t="shared" si="26"/>
        <v>20</v>
      </c>
      <c r="L164" s="2">
        <v>104</v>
      </c>
      <c r="M164" s="2">
        <v>80</v>
      </c>
      <c r="N164" s="2">
        <v>3</v>
      </c>
      <c r="O164" s="2">
        <v>0</v>
      </c>
      <c r="P164" s="2">
        <v>4</v>
      </c>
      <c r="Q164" s="2">
        <v>1</v>
      </c>
      <c r="R164" s="2">
        <v>11.6</v>
      </c>
      <c r="S164" s="2">
        <v>11.5</v>
      </c>
      <c r="V164" s="1">
        <v>695</v>
      </c>
      <c r="W164" s="2">
        <v>1941.1</v>
      </c>
      <c r="X164" s="2">
        <v>266.8</v>
      </c>
      <c r="Y164" s="1">
        <v>1622.2</v>
      </c>
      <c r="Z164" s="2" t="s">
        <v>70</v>
      </c>
      <c r="AA164" s="2">
        <v>6</v>
      </c>
      <c r="AB164" s="2">
        <v>2</v>
      </c>
      <c r="AD164" s="3" t="s">
        <v>126</v>
      </c>
      <c r="AE164" s="3" t="s">
        <v>115</v>
      </c>
      <c r="AF164" s="3" t="s">
        <v>83</v>
      </c>
      <c r="AG164" s="3" t="s">
        <v>67</v>
      </c>
      <c r="AH164" s="3" t="s">
        <v>75</v>
      </c>
      <c r="AI164" s="2">
        <v>0</v>
      </c>
      <c r="AJ164" s="2">
        <v>1</v>
      </c>
      <c r="AK164" s="2">
        <v>0</v>
      </c>
      <c r="AL164" s="2">
        <v>1</v>
      </c>
      <c r="AM164" s="2">
        <v>0</v>
      </c>
      <c r="AN164" s="2">
        <v>0</v>
      </c>
      <c r="AO164" s="2" t="s">
        <v>123</v>
      </c>
      <c r="AP164" s="1">
        <v>1156</v>
      </c>
      <c r="AQ164" s="1">
        <v>237</v>
      </c>
      <c r="AR164" s="4">
        <f t="shared" si="34"/>
        <v>0.17013639626704954</v>
      </c>
      <c r="AS164" s="18">
        <f t="shared" ref="AS164:AS188" si="35">IF(AQ164&lt;&gt;"", Y164/5.8,"")</f>
        <v>279.68965517241384</v>
      </c>
      <c r="AT164">
        <f t="shared" si="33"/>
        <v>1.180125127309763</v>
      </c>
      <c r="AU164">
        <f t="shared" ref="AU164:AU188" si="36">IF(AQ164&lt;&gt;"",2.5*M164,"")</f>
        <v>200</v>
      </c>
      <c r="AV164" s="9">
        <f t="shared" si="28"/>
        <v>0.84388185654008441</v>
      </c>
    </row>
    <row r="165" spans="1:48" x14ac:dyDescent="0.3">
      <c r="A165" s="23">
        <v>90</v>
      </c>
      <c r="B165" t="s">
        <v>42</v>
      </c>
      <c r="C165" s="1">
        <v>11222</v>
      </c>
      <c r="D165" t="s">
        <v>141</v>
      </c>
      <c r="E165" t="s">
        <v>142</v>
      </c>
      <c r="F165" t="s">
        <v>283</v>
      </c>
      <c r="G165" s="2">
        <v>1984</v>
      </c>
      <c r="H165" s="2" t="s">
        <v>131</v>
      </c>
      <c r="I165" s="2" t="str">
        <f t="shared" si="29"/>
        <v>&gt;1980</v>
      </c>
      <c r="J165" s="2">
        <v>24</v>
      </c>
      <c r="K165" s="2">
        <f t="shared" si="26"/>
        <v>20</v>
      </c>
      <c r="L165" s="2">
        <v>109</v>
      </c>
      <c r="M165" s="2">
        <v>85</v>
      </c>
      <c r="N165" s="2">
        <v>3</v>
      </c>
      <c r="O165" s="2">
        <v>0</v>
      </c>
      <c r="P165" s="2">
        <v>4</v>
      </c>
      <c r="Q165" s="2">
        <v>1</v>
      </c>
      <c r="R165" s="2">
        <v>10.8</v>
      </c>
      <c r="S165" s="2">
        <v>11</v>
      </c>
      <c r="V165" s="1">
        <v>759</v>
      </c>
      <c r="W165" s="2">
        <v>2264.8000000000002</v>
      </c>
      <c r="X165" s="2">
        <v>748.6</v>
      </c>
      <c r="Y165" s="1">
        <v>1732</v>
      </c>
      <c r="Z165" s="2" t="s">
        <v>70</v>
      </c>
      <c r="AA165" s="2">
        <v>18</v>
      </c>
      <c r="AB165" s="2">
        <v>14</v>
      </c>
      <c r="AD165" s="3" t="s">
        <v>126</v>
      </c>
      <c r="AE165" s="3" t="s">
        <v>115</v>
      </c>
      <c r="AF165" s="3" t="s">
        <v>50</v>
      </c>
      <c r="AG165" s="3" t="s">
        <v>74</v>
      </c>
      <c r="AH165" s="3" t="s">
        <v>75</v>
      </c>
      <c r="AI165" s="2">
        <v>1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 t="s">
        <v>76</v>
      </c>
      <c r="AP165" s="1">
        <f>1161+316</f>
        <v>1477</v>
      </c>
      <c r="AQ165" s="1">
        <f>6.9+95.9+235.8+6.9</f>
        <v>345.5</v>
      </c>
      <c r="AR165" s="4">
        <f t="shared" si="34"/>
        <v>0.18957475994513032</v>
      </c>
      <c r="AS165" s="18">
        <f t="shared" si="35"/>
        <v>298.62068965517244</v>
      </c>
      <c r="AT165">
        <f t="shared" si="33"/>
        <v>0.86431458655621551</v>
      </c>
      <c r="AU165">
        <f t="shared" si="36"/>
        <v>212.5</v>
      </c>
      <c r="AV165" s="9">
        <f t="shared" si="28"/>
        <v>0.61505065123010128</v>
      </c>
    </row>
    <row r="166" spans="1:48" x14ac:dyDescent="0.3">
      <c r="A166" s="23">
        <v>233</v>
      </c>
      <c r="B166" t="s">
        <v>42</v>
      </c>
      <c r="C166" s="1">
        <v>11222</v>
      </c>
      <c r="D166" t="s">
        <v>141</v>
      </c>
      <c r="E166" t="s">
        <v>223</v>
      </c>
      <c r="F166" t="s">
        <v>223</v>
      </c>
      <c r="G166" s="2">
        <v>1971</v>
      </c>
      <c r="H166" s="2" t="s">
        <v>69</v>
      </c>
      <c r="I166" s="2" t="str">
        <f t="shared" si="29"/>
        <v>1950-1980</v>
      </c>
      <c r="J166" s="2">
        <v>55</v>
      </c>
      <c r="K166" s="2">
        <f t="shared" si="26"/>
        <v>60</v>
      </c>
      <c r="L166" s="2">
        <v>233</v>
      </c>
      <c r="M166" s="2">
        <v>178</v>
      </c>
      <c r="N166" s="2">
        <v>5</v>
      </c>
      <c r="O166" s="2">
        <v>0</v>
      </c>
      <c r="P166" s="2">
        <v>4</v>
      </c>
      <c r="Q166" s="2">
        <v>1</v>
      </c>
      <c r="R166" s="2">
        <v>16.8</v>
      </c>
      <c r="S166" s="2">
        <v>17</v>
      </c>
      <c r="V166" s="1">
        <v>708</v>
      </c>
      <c r="W166" s="2">
        <v>3190.8</v>
      </c>
      <c r="X166" s="2">
        <v>585.6</v>
      </c>
      <c r="Y166" s="1">
        <v>2718</v>
      </c>
      <c r="Z166" s="2" t="s">
        <v>70</v>
      </c>
      <c r="AA166" s="2">
        <v>4</v>
      </c>
      <c r="AB166" s="2">
        <v>0</v>
      </c>
      <c r="AC166" s="2">
        <v>0</v>
      </c>
      <c r="AD166" s="3" t="s">
        <v>91</v>
      </c>
      <c r="AE166" s="3" t="s">
        <v>92</v>
      </c>
      <c r="AF166" s="3" t="s">
        <v>50</v>
      </c>
      <c r="AG166" s="3" t="s">
        <v>74</v>
      </c>
      <c r="AH166" s="3" t="s">
        <v>75</v>
      </c>
      <c r="AI166" s="2">
        <v>1</v>
      </c>
      <c r="AJ166" s="2">
        <v>0</v>
      </c>
      <c r="AK166" s="2">
        <v>0</v>
      </c>
      <c r="AL166" s="2">
        <v>0</v>
      </c>
      <c r="AM166" s="2">
        <v>1</v>
      </c>
      <c r="AN166" s="2">
        <v>0</v>
      </c>
      <c r="AO166" s="2" t="s">
        <v>76</v>
      </c>
      <c r="AP166" s="1">
        <v>1736.4</v>
      </c>
      <c r="AQ166" s="1">
        <f>229.7+291.7</f>
        <v>521.4</v>
      </c>
      <c r="AR166" s="4">
        <f t="shared" si="34"/>
        <v>0.23093276640977942</v>
      </c>
      <c r="AS166" s="18">
        <f t="shared" si="35"/>
        <v>468.62068965517244</v>
      </c>
      <c r="AT166">
        <f t="shared" si="33"/>
        <v>0.89877385818023103</v>
      </c>
      <c r="AU166">
        <f t="shared" si="36"/>
        <v>445</v>
      </c>
      <c r="AV166" s="9">
        <f t="shared" si="28"/>
        <v>0.85347142309167634</v>
      </c>
    </row>
    <row r="167" spans="1:48" x14ac:dyDescent="0.3">
      <c r="A167" s="23">
        <v>63</v>
      </c>
      <c r="B167" t="s">
        <v>42</v>
      </c>
      <c r="C167" s="1">
        <v>11222</v>
      </c>
      <c r="D167" t="s">
        <v>141</v>
      </c>
      <c r="E167" t="s">
        <v>223</v>
      </c>
      <c r="F167" t="s">
        <v>223</v>
      </c>
      <c r="G167" s="2">
        <v>1985</v>
      </c>
      <c r="H167" s="2" t="s">
        <v>131</v>
      </c>
      <c r="I167" s="2" t="str">
        <f t="shared" si="29"/>
        <v>&gt;1980</v>
      </c>
      <c r="J167" s="2">
        <v>60</v>
      </c>
      <c r="K167" s="2">
        <f t="shared" si="26"/>
        <v>60</v>
      </c>
      <c r="L167" s="2">
        <v>269</v>
      </c>
      <c r="M167" s="2">
        <v>209</v>
      </c>
      <c r="N167" s="2">
        <v>5</v>
      </c>
      <c r="O167" s="2">
        <v>0</v>
      </c>
      <c r="P167" s="2">
        <v>4</v>
      </c>
      <c r="Q167" s="2">
        <v>1</v>
      </c>
      <c r="R167" s="2">
        <v>16.2</v>
      </c>
      <c r="S167" s="2">
        <v>16</v>
      </c>
      <c r="T167" s="2">
        <v>13.7</v>
      </c>
      <c r="U167" s="2">
        <v>74.7</v>
      </c>
      <c r="V167" s="1">
        <v>979</v>
      </c>
      <c r="W167" s="2">
        <v>4193.1000000000004</v>
      </c>
      <c r="X167" s="2">
        <v>833.8</v>
      </c>
      <c r="Y167" s="1">
        <v>3547</v>
      </c>
      <c r="Z167" s="2" t="s">
        <v>70</v>
      </c>
      <c r="AA167" s="2">
        <v>4</v>
      </c>
      <c r="AB167" s="2">
        <v>0</v>
      </c>
      <c r="AD167" s="3" t="s">
        <v>126</v>
      </c>
      <c r="AE167" s="3" t="s">
        <v>349</v>
      </c>
      <c r="AF167" s="3" t="s">
        <v>83</v>
      </c>
      <c r="AG167" s="3" t="s">
        <v>74</v>
      </c>
      <c r="AH167" s="3" t="s">
        <v>100</v>
      </c>
      <c r="AI167" s="2">
        <v>1</v>
      </c>
      <c r="AJ167" s="2">
        <v>0</v>
      </c>
      <c r="AK167" s="2">
        <v>0</v>
      </c>
      <c r="AL167" s="2">
        <v>1</v>
      </c>
      <c r="AM167" s="2">
        <v>0</v>
      </c>
      <c r="AN167" s="2">
        <v>0</v>
      </c>
      <c r="AO167" s="2" t="s">
        <v>76</v>
      </c>
      <c r="AP167" s="1">
        <f>292+961+562</f>
        <v>1815</v>
      </c>
      <c r="AQ167" s="1">
        <f>318+275.6</f>
        <v>593.6</v>
      </c>
      <c r="AR167" s="4">
        <f t="shared" si="34"/>
        <v>0.24645022004483935</v>
      </c>
      <c r="AS167" s="18">
        <f t="shared" si="35"/>
        <v>611.55172413793105</v>
      </c>
      <c r="AT167">
        <f t="shared" si="33"/>
        <v>1.030242122873873</v>
      </c>
      <c r="AU167">
        <f t="shared" si="36"/>
        <v>522.5</v>
      </c>
      <c r="AV167" s="9">
        <f t="shared" si="28"/>
        <v>0.88022237196765496</v>
      </c>
    </row>
    <row r="168" spans="1:48" x14ac:dyDescent="0.3">
      <c r="A168" s="23">
        <v>41</v>
      </c>
      <c r="B168" t="s">
        <v>42</v>
      </c>
      <c r="C168" s="1">
        <v>11222</v>
      </c>
      <c r="D168" t="s">
        <v>304</v>
      </c>
      <c r="E168" t="s">
        <v>305</v>
      </c>
      <c r="F168" t="s">
        <v>306</v>
      </c>
      <c r="G168" s="2">
        <v>1989</v>
      </c>
      <c r="H168" s="2" t="s">
        <v>131</v>
      </c>
      <c r="I168" s="2" t="str">
        <f t="shared" si="29"/>
        <v>&gt;1980</v>
      </c>
      <c r="J168" s="2">
        <v>24</v>
      </c>
      <c r="K168" s="2">
        <f t="shared" si="26"/>
        <v>20</v>
      </c>
      <c r="L168" s="2">
        <v>110</v>
      </c>
      <c r="M168" s="2">
        <v>86</v>
      </c>
      <c r="N168" s="2">
        <v>3</v>
      </c>
      <c r="O168" s="2">
        <v>0</v>
      </c>
      <c r="P168" s="2">
        <v>4</v>
      </c>
      <c r="Q168" s="2">
        <v>1</v>
      </c>
      <c r="R168" s="2">
        <v>11.5</v>
      </c>
      <c r="S168" s="2">
        <v>11.5</v>
      </c>
      <c r="T168" s="2">
        <v>12.5</v>
      </c>
      <c r="U168" s="2">
        <v>80</v>
      </c>
      <c r="V168" s="1">
        <v>828</v>
      </c>
      <c r="W168" s="2">
        <v>2381.6</v>
      </c>
      <c r="X168" s="2">
        <v>88.8</v>
      </c>
      <c r="Y168" s="1">
        <v>1908.4</v>
      </c>
      <c r="Z168" s="2" t="s">
        <v>70</v>
      </c>
      <c r="AA168" s="2">
        <f>8+7</f>
        <v>15</v>
      </c>
      <c r="AB168" s="2">
        <f>7+5</f>
        <v>12</v>
      </c>
      <c r="AD168" s="3" t="s">
        <v>126</v>
      </c>
      <c r="AE168" s="3" t="s">
        <v>115</v>
      </c>
      <c r="AF168" s="3" t="s">
        <v>50</v>
      </c>
      <c r="AG168" s="3" t="s">
        <v>60</v>
      </c>
      <c r="AH168" s="3" t="s">
        <v>75</v>
      </c>
      <c r="AI168" s="2">
        <v>0</v>
      </c>
      <c r="AJ168" s="2">
        <v>1</v>
      </c>
      <c r="AK168" s="2">
        <v>0</v>
      </c>
      <c r="AL168" s="2">
        <v>1</v>
      </c>
      <c r="AM168" s="2">
        <v>0</v>
      </c>
      <c r="AN168" s="2">
        <v>0</v>
      </c>
      <c r="AO168" s="2" t="s">
        <v>76</v>
      </c>
      <c r="AP168" s="1">
        <f>68.5+461.4+78.3+613.4</f>
        <v>1221.5999999999999</v>
      </c>
      <c r="AQ168" s="1">
        <f>129.4+177.4</f>
        <v>306.8</v>
      </c>
      <c r="AR168" s="4">
        <f t="shared" si="34"/>
        <v>0.20073279246270612</v>
      </c>
      <c r="AS168" s="18">
        <f t="shared" si="35"/>
        <v>329.0344827586207</v>
      </c>
      <c r="AT168">
        <f t="shared" si="33"/>
        <v>1.0724722384570426</v>
      </c>
      <c r="AU168">
        <f t="shared" si="36"/>
        <v>215</v>
      </c>
      <c r="AV168" s="9">
        <f t="shared" si="28"/>
        <v>0.70078226857887871</v>
      </c>
    </row>
    <row r="169" spans="1:48" x14ac:dyDescent="0.3">
      <c r="A169" s="23">
        <v>94</v>
      </c>
      <c r="B169" t="s">
        <v>42</v>
      </c>
      <c r="C169" s="1">
        <v>11222</v>
      </c>
      <c r="D169" t="s">
        <v>43</v>
      </c>
      <c r="E169" t="s">
        <v>104</v>
      </c>
      <c r="F169" t="s">
        <v>105</v>
      </c>
      <c r="G169" s="2">
        <v>1984</v>
      </c>
      <c r="H169" s="2" t="s">
        <v>131</v>
      </c>
      <c r="I169" s="2" t="str">
        <f t="shared" si="29"/>
        <v>&gt;1980</v>
      </c>
      <c r="J169" s="2">
        <v>24</v>
      </c>
      <c r="K169" s="2">
        <f t="shared" si="26"/>
        <v>20</v>
      </c>
      <c r="L169" s="2">
        <v>116</v>
      </c>
      <c r="M169" s="2">
        <v>92</v>
      </c>
      <c r="N169" s="2">
        <v>3</v>
      </c>
      <c r="O169" s="2">
        <v>0</v>
      </c>
      <c r="P169" s="2">
        <v>4</v>
      </c>
      <c r="Q169" s="2">
        <v>1</v>
      </c>
      <c r="R169" s="2">
        <v>10.8</v>
      </c>
      <c r="S169" s="2">
        <v>11</v>
      </c>
      <c r="V169" s="1">
        <v>769</v>
      </c>
      <c r="W169" s="2">
        <v>2147.1</v>
      </c>
      <c r="X169" s="2">
        <v>627</v>
      </c>
      <c r="Y169" s="1">
        <v>1845.7</v>
      </c>
      <c r="Z169" s="2" t="s">
        <v>70</v>
      </c>
      <c r="AA169" s="2">
        <v>6</v>
      </c>
      <c r="AB169" s="2">
        <v>2</v>
      </c>
      <c r="AD169" s="3" t="s">
        <v>126</v>
      </c>
      <c r="AE169" s="3" t="s">
        <v>115</v>
      </c>
      <c r="AF169" s="3" t="s">
        <v>50</v>
      </c>
      <c r="AG169" s="3" t="s">
        <v>74</v>
      </c>
      <c r="AH169" s="3" t="s">
        <v>75</v>
      </c>
      <c r="AI169" s="2">
        <v>1</v>
      </c>
      <c r="AJ169" s="2">
        <v>0</v>
      </c>
      <c r="AK169" s="2">
        <v>0</v>
      </c>
      <c r="AL169" s="2">
        <v>1</v>
      </c>
      <c r="AM169" s="2">
        <v>0</v>
      </c>
      <c r="AN169" s="2">
        <v>0</v>
      </c>
      <c r="AO169" s="2" t="s">
        <v>84</v>
      </c>
      <c r="AP169" s="1">
        <f>1010+356.7</f>
        <v>1366.7</v>
      </c>
      <c r="AQ169" s="1">
        <f>281.3+231.8</f>
        <v>513.1</v>
      </c>
      <c r="AR169" s="4">
        <f t="shared" si="34"/>
        <v>0.27295456963506753</v>
      </c>
      <c r="AS169" s="18">
        <f t="shared" si="35"/>
        <v>318.22413793103448</v>
      </c>
      <c r="AT169">
        <f t="shared" si="33"/>
        <v>0.62019906047755691</v>
      </c>
      <c r="AU169">
        <f t="shared" si="36"/>
        <v>230</v>
      </c>
      <c r="AV169" s="9">
        <f t="shared" si="28"/>
        <v>0.44825570064314946</v>
      </c>
    </row>
    <row r="170" spans="1:48" x14ac:dyDescent="0.3">
      <c r="A170" s="23">
        <v>202</v>
      </c>
      <c r="B170" t="s">
        <v>42</v>
      </c>
      <c r="C170" s="1">
        <v>11222</v>
      </c>
      <c r="D170" t="s">
        <v>43</v>
      </c>
      <c r="E170" t="s">
        <v>112</v>
      </c>
      <c r="F170" t="s">
        <v>113</v>
      </c>
      <c r="G170" s="2">
        <v>1980</v>
      </c>
      <c r="H170" s="2" t="s">
        <v>69</v>
      </c>
      <c r="I170" s="2" t="str">
        <f t="shared" si="29"/>
        <v>1950-1980</v>
      </c>
      <c r="J170" s="2">
        <v>24</v>
      </c>
      <c r="K170" s="2">
        <f t="shared" si="26"/>
        <v>20</v>
      </c>
      <c r="L170" s="2">
        <v>116</v>
      </c>
      <c r="M170" s="2">
        <v>92</v>
      </c>
      <c r="N170" s="2">
        <v>3</v>
      </c>
      <c r="O170" s="2">
        <v>0</v>
      </c>
      <c r="P170" s="2">
        <v>4</v>
      </c>
      <c r="Q170" s="2">
        <v>1</v>
      </c>
      <c r="R170" s="2">
        <v>12.1</v>
      </c>
      <c r="S170" s="2">
        <v>12</v>
      </c>
      <c r="T170" s="2">
        <v>10.9</v>
      </c>
      <c r="U170" s="2">
        <v>71.8</v>
      </c>
      <c r="V170" s="1">
        <v>833.7</v>
      </c>
      <c r="W170" s="2">
        <v>2333.1999999999998</v>
      </c>
      <c r="X170" s="2">
        <v>794.4</v>
      </c>
      <c r="Y170" s="1">
        <v>1762.1</v>
      </c>
      <c r="Z170" s="2" t="s">
        <v>70</v>
      </c>
      <c r="AA170" s="2">
        <v>12</v>
      </c>
      <c r="AB170" s="2">
        <v>8</v>
      </c>
      <c r="AC170" s="2">
        <v>0</v>
      </c>
      <c r="AD170" s="3" t="s">
        <v>126</v>
      </c>
      <c r="AE170" s="3" t="s">
        <v>115</v>
      </c>
      <c r="AF170" s="3" t="s">
        <v>50</v>
      </c>
      <c r="AG170" s="3" t="s">
        <v>51</v>
      </c>
      <c r="AH170" s="3" t="s">
        <v>75</v>
      </c>
      <c r="AI170" s="2">
        <v>0</v>
      </c>
      <c r="AJ170" s="2">
        <v>1</v>
      </c>
      <c r="AK170" s="2">
        <v>0</v>
      </c>
      <c r="AL170" s="2">
        <v>1</v>
      </c>
      <c r="AM170" s="2">
        <v>0</v>
      </c>
      <c r="AN170" s="2">
        <v>0</v>
      </c>
      <c r="AO170" s="2" t="s">
        <v>84</v>
      </c>
      <c r="AP170" s="16">
        <v>1458.48</v>
      </c>
      <c r="AQ170" s="16">
        <v>350.72</v>
      </c>
      <c r="AR170" s="4">
        <f t="shared" si="34"/>
        <v>0.19385363696661509</v>
      </c>
      <c r="AS170" s="18">
        <f t="shared" si="35"/>
        <v>303.81034482758622</v>
      </c>
      <c r="AT170">
        <f t="shared" si="33"/>
        <v>0.86624756166624717</v>
      </c>
      <c r="AU170">
        <f t="shared" si="36"/>
        <v>230</v>
      </c>
      <c r="AV170" s="9">
        <f t="shared" si="28"/>
        <v>0.65579379562043794</v>
      </c>
    </row>
    <row r="171" spans="1:48" x14ac:dyDescent="0.3">
      <c r="A171" s="23">
        <v>196</v>
      </c>
      <c r="B171" t="s">
        <v>42</v>
      </c>
      <c r="C171" s="1">
        <v>11222</v>
      </c>
      <c r="D171" t="s">
        <v>43</v>
      </c>
      <c r="E171" t="s">
        <v>188</v>
      </c>
      <c r="F171" t="s">
        <v>297</v>
      </c>
      <c r="G171" s="2">
        <v>1988</v>
      </c>
      <c r="H171" s="2" t="s">
        <v>131</v>
      </c>
      <c r="I171" s="2" t="str">
        <f t="shared" si="29"/>
        <v>&gt;1980</v>
      </c>
      <c r="J171" s="2">
        <v>24</v>
      </c>
      <c r="K171" s="2">
        <f t="shared" si="26"/>
        <v>20</v>
      </c>
      <c r="L171" s="2">
        <v>116</v>
      </c>
      <c r="M171" s="2">
        <v>92</v>
      </c>
      <c r="N171" s="2">
        <v>3</v>
      </c>
      <c r="O171" s="2">
        <v>0</v>
      </c>
      <c r="P171" s="2">
        <v>4</v>
      </c>
      <c r="Q171" s="2">
        <v>1</v>
      </c>
      <c r="R171" s="2">
        <v>9.4</v>
      </c>
      <c r="S171" s="2">
        <v>9.5</v>
      </c>
      <c r="V171" s="1">
        <v>790</v>
      </c>
      <c r="W171" s="2">
        <v>2188.1</v>
      </c>
      <c r="X171" s="2">
        <v>650</v>
      </c>
      <c r="Y171" s="1">
        <v>1863.1</v>
      </c>
      <c r="Z171" s="2" t="s">
        <v>70</v>
      </c>
      <c r="AA171" s="2">
        <v>4</v>
      </c>
      <c r="AB171" s="2">
        <v>0</v>
      </c>
      <c r="AD171" s="3" t="s">
        <v>126</v>
      </c>
      <c r="AE171" s="3" t="s">
        <v>115</v>
      </c>
      <c r="AF171" s="3" t="s">
        <v>50</v>
      </c>
      <c r="AG171" s="3" t="s">
        <v>74</v>
      </c>
      <c r="AH171" s="3" t="s">
        <v>81</v>
      </c>
      <c r="AI171" s="2">
        <v>1</v>
      </c>
      <c r="AJ171" s="2">
        <v>0</v>
      </c>
      <c r="AK171" s="2">
        <v>0</v>
      </c>
      <c r="AL171" s="2">
        <v>1</v>
      </c>
      <c r="AM171" s="2">
        <v>0</v>
      </c>
      <c r="AN171" s="2">
        <v>0</v>
      </c>
      <c r="AP171" s="1">
        <v>1044</v>
      </c>
      <c r="AQ171" s="1">
        <f>142+125</f>
        <v>267</v>
      </c>
      <c r="AR171" s="4">
        <f t="shared" si="34"/>
        <v>0.20366132723112129</v>
      </c>
      <c r="AS171" s="18">
        <f t="shared" si="35"/>
        <v>321.22413793103448</v>
      </c>
      <c r="AT171">
        <f t="shared" si="33"/>
        <v>1.203086658917732</v>
      </c>
      <c r="AU171">
        <f t="shared" si="36"/>
        <v>230</v>
      </c>
      <c r="AV171" s="9">
        <f t="shared" si="28"/>
        <v>0.86142322097378277</v>
      </c>
    </row>
    <row r="172" spans="1:48" x14ac:dyDescent="0.3">
      <c r="A172" s="23">
        <v>189</v>
      </c>
      <c r="B172" t="s">
        <v>42</v>
      </c>
      <c r="C172" s="1">
        <v>11222</v>
      </c>
      <c r="D172" t="s">
        <v>180</v>
      </c>
      <c r="E172" t="s">
        <v>181</v>
      </c>
      <c r="F172" t="s">
        <v>182</v>
      </c>
      <c r="G172" s="2">
        <v>1986</v>
      </c>
      <c r="H172" s="2" t="s">
        <v>131</v>
      </c>
      <c r="I172" s="2" t="str">
        <f t="shared" si="29"/>
        <v>&gt;1980</v>
      </c>
      <c r="J172" s="2">
        <v>30</v>
      </c>
      <c r="K172" s="2">
        <f t="shared" si="26"/>
        <v>30</v>
      </c>
      <c r="L172" s="2">
        <v>136</v>
      </c>
      <c r="M172" s="2">
        <v>106</v>
      </c>
      <c r="N172" s="2">
        <v>3</v>
      </c>
      <c r="O172" s="2">
        <v>0</v>
      </c>
      <c r="P172" s="2">
        <v>5</v>
      </c>
      <c r="Q172" s="2">
        <v>1</v>
      </c>
      <c r="R172" s="2">
        <v>12.8</v>
      </c>
      <c r="S172" s="2">
        <v>13</v>
      </c>
      <c r="V172" s="1">
        <v>900</v>
      </c>
      <c r="W172" s="2">
        <v>2585</v>
      </c>
      <c r="X172" s="2">
        <v>721</v>
      </c>
      <c r="Y172" s="1">
        <v>1938</v>
      </c>
      <c r="Z172" s="2" t="s">
        <v>70</v>
      </c>
      <c r="AA172" s="2">
        <v>27</v>
      </c>
      <c r="AB172" s="2">
        <v>22</v>
      </c>
      <c r="AD172" s="3" t="s">
        <v>126</v>
      </c>
      <c r="AE172" s="3" t="s">
        <v>115</v>
      </c>
      <c r="AF172" s="3" t="s">
        <v>50</v>
      </c>
      <c r="AG172" s="3" t="s">
        <v>67</v>
      </c>
      <c r="AH172" s="3" t="s">
        <v>75</v>
      </c>
      <c r="AI172" s="2">
        <v>0</v>
      </c>
      <c r="AJ172" s="2">
        <v>1</v>
      </c>
      <c r="AK172" s="2">
        <v>0</v>
      </c>
      <c r="AL172" s="2">
        <v>0</v>
      </c>
      <c r="AM172" s="2">
        <v>0</v>
      </c>
      <c r="AN172" s="2">
        <v>0</v>
      </c>
      <c r="AO172" s="2" t="s">
        <v>84</v>
      </c>
      <c r="AP172" s="1">
        <f>1179.6</f>
        <v>1179.5999999999999</v>
      </c>
      <c r="AQ172" s="1">
        <f>171.7+1+182.7+1.9</f>
        <v>357.29999999999995</v>
      </c>
      <c r="AR172" s="4">
        <f t="shared" si="34"/>
        <v>0.23248096818270544</v>
      </c>
      <c r="AS172" s="18">
        <f t="shared" si="35"/>
        <v>334.13793103448279</v>
      </c>
      <c r="AT172">
        <f t="shared" si="33"/>
        <v>0.93517473001534512</v>
      </c>
      <c r="AU172">
        <f t="shared" si="36"/>
        <v>265</v>
      </c>
      <c r="AV172" s="9">
        <f t="shared" si="28"/>
        <v>0.74167366358802134</v>
      </c>
    </row>
    <row r="173" spans="1:48" x14ac:dyDescent="0.3">
      <c r="A173" s="23">
        <v>359</v>
      </c>
      <c r="B173" t="s">
        <v>42</v>
      </c>
      <c r="C173" s="1">
        <v>11222</v>
      </c>
      <c r="D173" t="s">
        <v>211</v>
      </c>
      <c r="E173" t="s">
        <v>212</v>
      </c>
      <c r="F173" t="s">
        <v>213</v>
      </c>
      <c r="G173" s="2">
        <v>1977</v>
      </c>
      <c r="H173" s="2" t="s">
        <v>69</v>
      </c>
      <c r="I173" s="2" t="str">
        <f t="shared" si="29"/>
        <v>1950-1980</v>
      </c>
      <c r="J173" s="2">
        <v>30</v>
      </c>
      <c r="K173" s="2">
        <f t="shared" si="26"/>
        <v>30</v>
      </c>
      <c r="L173" s="2">
        <v>147</v>
      </c>
      <c r="M173" s="2">
        <v>117</v>
      </c>
      <c r="N173" s="2">
        <v>3</v>
      </c>
      <c r="O173" s="2">
        <v>0</v>
      </c>
      <c r="P173" s="2">
        <v>5</v>
      </c>
      <c r="Q173" s="2">
        <v>1</v>
      </c>
      <c r="R173" s="2">
        <v>10.5</v>
      </c>
      <c r="S173" s="2">
        <v>10.5</v>
      </c>
      <c r="T173" s="2">
        <v>10</v>
      </c>
      <c r="U173" s="2">
        <v>81.2</v>
      </c>
      <c r="V173" s="1">
        <v>935</v>
      </c>
      <c r="W173" s="2">
        <v>2487</v>
      </c>
      <c r="X173" s="2">
        <v>730.1</v>
      </c>
      <c r="Y173" s="1">
        <v>1887.3</v>
      </c>
      <c r="Z173" s="2" t="s">
        <v>70</v>
      </c>
      <c r="AA173" s="2">
        <v>4</v>
      </c>
      <c r="AB173" s="2">
        <v>0</v>
      </c>
      <c r="AC173" s="2">
        <v>0</v>
      </c>
      <c r="AD173" s="3" t="s">
        <v>126</v>
      </c>
      <c r="AE173" s="3" t="s">
        <v>115</v>
      </c>
      <c r="AF173" s="3" t="s">
        <v>50</v>
      </c>
      <c r="AG173" s="3" t="s">
        <v>74</v>
      </c>
      <c r="AH173" s="3" t="s">
        <v>75</v>
      </c>
      <c r="AI173" s="2">
        <v>1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 t="s">
        <v>76</v>
      </c>
      <c r="AP173" s="1">
        <f>1225.1+36.7</f>
        <v>1261.8</v>
      </c>
      <c r="AQ173" s="1">
        <f>200.3+153.6</f>
        <v>353.9</v>
      </c>
      <c r="AR173" s="4">
        <f t="shared" si="34"/>
        <v>0.21903818778238535</v>
      </c>
      <c r="AS173" s="18">
        <f t="shared" si="35"/>
        <v>325.39655172413791</v>
      </c>
      <c r="AT173">
        <f t="shared" si="33"/>
        <v>0.91945903284582631</v>
      </c>
      <c r="AU173">
        <f t="shared" si="36"/>
        <v>292.5</v>
      </c>
      <c r="AV173" s="9">
        <f t="shared" si="28"/>
        <v>0.82650466233399267</v>
      </c>
    </row>
    <row r="174" spans="1:48" x14ac:dyDescent="0.3">
      <c r="A174" s="23">
        <v>117</v>
      </c>
      <c r="B174" t="s">
        <v>42</v>
      </c>
      <c r="C174" s="1">
        <v>11222</v>
      </c>
      <c r="D174" t="s">
        <v>304</v>
      </c>
      <c r="E174" t="s">
        <v>307</v>
      </c>
      <c r="F174" t="s">
        <v>307</v>
      </c>
      <c r="G174" s="2">
        <v>1968</v>
      </c>
      <c r="H174" s="2" t="s">
        <v>57</v>
      </c>
      <c r="I174" s="2" t="str">
        <f t="shared" si="29"/>
        <v>1950-1980</v>
      </c>
      <c r="J174" s="2">
        <v>70</v>
      </c>
      <c r="K174" s="2">
        <f t="shared" si="26"/>
        <v>70</v>
      </c>
      <c r="L174" s="2">
        <v>295</v>
      </c>
      <c r="M174" s="2">
        <v>225</v>
      </c>
      <c r="N174" s="2">
        <v>5</v>
      </c>
      <c r="O174" s="2">
        <v>0</v>
      </c>
      <c r="P174" s="2">
        <v>5</v>
      </c>
      <c r="Q174" s="2">
        <v>0</v>
      </c>
      <c r="R174" s="2">
        <v>11.9</v>
      </c>
      <c r="S174" s="2">
        <v>12</v>
      </c>
      <c r="T174" s="2">
        <v>11.9</v>
      </c>
      <c r="U174" s="2">
        <v>81.099999999999994</v>
      </c>
      <c r="V174" s="1">
        <v>985.7</v>
      </c>
      <c r="W174" s="2">
        <v>4046.2</v>
      </c>
      <c r="X174" s="2">
        <v>88.2</v>
      </c>
      <c r="Y174" s="1">
        <v>3555</v>
      </c>
      <c r="Z174" s="2" t="s">
        <v>70</v>
      </c>
      <c r="AA174" s="2">
        <v>4</v>
      </c>
      <c r="AB174" s="2">
        <v>0</v>
      </c>
      <c r="AD174" s="3" t="s">
        <v>126</v>
      </c>
      <c r="AE174" s="3" t="s">
        <v>92</v>
      </c>
      <c r="AF174" s="3" t="s">
        <v>50</v>
      </c>
      <c r="AG174" s="3" t="s">
        <v>74</v>
      </c>
      <c r="AH174" s="3" t="s">
        <v>75</v>
      </c>
      <c r="AI174" s="2">
        <v>1</v>
      </c>
      <c r="AJ174" s="2">
        <v>0</v>
      </c>
      <c r="AK174" s="2">
        <v>0</v>
      </c>
      <c r="AL174" s="2">
        <v>0</v>
      </c>
      <c r="AM174" s="2">
        <v>1</v>
      </c>
      <c r="AN174" s="2">
        <v>0</v>
      </c>
      <c r="AO174" s="2" t="s">
        <v>76</v>
      </c>
      <c r="AP174" s="1">
        <f>1665+82</f>
        <v>1747</v>
      </c>
      <c r="AQ174" s="1">
        <f>689</f>
        <v>689</v>
      </c>
      <c r="AR174" s="4">
        <f t="shared" si="34"/>
        <v>0.28284072249589493</v>
      </c>
      <c r="AS174" s="18">
        <f t="shared" si="35"/>
        <v>612.93103448275861</v>
      </c>
      <c r="AT174">
        <f t="shared" si="33"/>
        <v>0.88959511535959157</v>
      </c>
      <c r="AU174">
        <f t="shared" si="36"/>
        <v>562.5</v>
      </c>
      <c r="AV174" s="9">
        <f t="shared" si="28"/>
        <v>0.81640058055152398</v>
      </c>
    </row>
    <row r="175" spans="1:48" x14ac:dyDescent="0.3">
      <c r="A175" s="23">
        <v>238</v>
      </c>
      <c r="B175" t="s">
        <v>42</v>
      </c>
      <c r="C175" s="1">
        <v>11222</v>
      </c>
      <c r="D175" t="s">
        <v>43</v>
      </c>
      <c r="E175" t="s">
        <v>104</v>
      </c>
      <c r="F175" t="s">
        <v>105</v>
      </c>
      <c r="G175" s="2">
        <v>1979</v>
      </c>
      <c r="H175" s="2" t="s">
        <v>69</v>
      </c>
      <c r="I175" s="2" t="str">
        <f t="shared" si="29"/>
        <v>1950-1980</v>
      </c>
      <c r="J175" s="2">
        <v>30</v>
      </c>
      <c r="K175" s="2">
        <f t="shared" si="26"/>
        <v>30</v>
      </c>
      <c r="L175" s="2">
        <v>148</v>
      </c>
      <c r="M175" s="2">
        <v>118</v>
      </c>
      <c r="N175" s="2">
        <v>3</v>
      </c>
      <c r="O175" s="2">
        <v>0</v>
      </c>
      <c r="P175" s="2">
        <v>5</v>
      </c>
      <c r="Q175" s="2">
        <v>1</v>
      </c>
      <c r="R175" s="2">
        <v>10.4</v>
      </c>
      <c r="S175" s="2">
        <v>10.5</v>
      </c>
      <c r="V175" s="1">
        <v>1219</v>
      </c>
      <c r="W175" s="2">
        <v>2772.7</v>
      </c>
      <c r="X175" s="2">
        <v>785.2</v>
      </c>
      <c r="Y175" s="1">
        <v>2191.5</v>
      </c>
      <c r="Z175" s="2" t="s">
        <v>70</v>
      </c>
      <c r="AA175" s="2">
        <v>6</v>
      </c>
      <c r="AB175" s="2">
        <v>2</v>
      </c>
      <c r="AD175" s="3" t="s">
        <v>126</v>
      </c>
      <c r="AE175" s="3" t="s">
        <v>115</v>
      </c>
      <c r="AF175" s="3" t="s">
        <v>50</v>
      </c>
      <c r="AG175" s="3" t="s">
        <v>51</v>
      </c>
      <c r="AH175" s="3" t="s">
        <v>75</v>
      </c>
      <c r="AI175" s="2">
        <v>0</v>
      </c>
      <c r="AJ175" s="2">
        <v>1</v>
      </c>
      <c r="AK175" s="2">
        <v>0</v>
      </c>
      <c r="AL175" s="2">
        <v>1</v>
      </c>
      <c r="AM175" s="2">
        <v>0</v>
      </c>
      <c r="AN175" s="2">
        <v>0</v>
      </c>
      <c r="AO175" s="2" t="s">
        <v>84</v>
      </c>
      <c r="AP175" s="1">
        <v>1670.9</v>
      </c>
      <c r="AQ175" s="1">
        <f>229.2+174.4</f>
        <v>403.6</v>
      </c>
      <c r="AR175" s="4">
        <f t="shared" si="34"/>
        <v>0.19455290431429262</v>
      </c>
      <c r="AS175" s="18">
        <f t="shared" si="35"/>
        <v>377.84482758620692</v>
      </c>
      <c r="AT175">
        <f t="shared" si="33"/>
        <v>0.93618639144253446</v>
      </c>
      <c r="AU175">
        <f t="shared" si="36"/>
        <v>295</v>
      </c>
      <c r="AV175" s="9">
        <f t="shared" si="28"/>
        <v>0.73092170465807726</v>
      </c>
    </row>
    <row r="176" spans="1:48" x14ac:dyDescent="0.3">
      <c r="A176" s="23">
        <v>312</v>
      </c>
      <c r="B176" t="s">
        <v>42</v>
      </c>
      <c r="C176" s="1">
        <v>11222</v>
      </c>
      <c r="D176" t="s">
        <v>77</v>
      </c>
      <c r="E176" t="s">
        <v>78</v>
      </c>
      <c r="F176" t="s">
        <v>303</v>
      </c>
      <c r="G176" s="2">
        <v>1980</v>
      </c>
      <c r="H176" s="2" t="s">
        <v>69</v>
      </c>
      <c r="I176" s="2" t="str">
        <f t="shared" si="29"/>
        <v>1950-1980</v>
      </c>
      <c r="J176" s="2">
        <v>34</v>
      </c>
      <c r="K176" s="2">
        <f t="shared" si="26"/>
        <v>30</v>
      </c>
      <c r="L176" s="2">
        <v>75</v>
      </c>
      <c r="M176" s="2">
        <v>41</v>
      </c>
      <c r="N176" s="2">
        <v>4</v>
      </c>
      <c r="O176" s="2">
        <v>0</v>
      </c>
      <c r="P176" s="2">
        <v>5</v>
      </c>
      <c r="Q176" s="2">
        <v>1</v>
      </c>
      <c r="R176" s="2">
        <v>12.8</v>
      </c>
      <c r="S176" s="2">
        <v>13</v>
      </c>
      <c r="T176" s="2">
        <v>14</v>
      </c>
      <c r="U176" s="2">
        <v>60.3</v>
      </c>
      <c r="V176" s="1">
        <v>780</v>
      </c>
      <c r="W176" s="2">
        <v>2470.5</v>
      </c>
      <c r="X176" s="2">
        <v>752.9</v>
      </c>
      <c r="Y176" s="1">
        <v>1902.2</v>
      </c>
      <c r="Z176" s="2" t="s">
        <v>70</v>
      </c>
      <c r="AA176" s="2">
        <v>4</v>
      </c>
      <c r="AB176" s="2">
        <v>0</v>
      </c>
      <c r="AD176" s="3" t="s">
        <v>204</v>
      </c>
      <c r="AE176" s="3" t="s">
        <v>255</v>
      </c>
      <c r="AF176" s="3" t="s">
        <v>50</v>
      </c>
      <c r="AG176" s="3" t="s">
        <v>60</v>
      </c>
      <c r="AH176" s="3" t="s">
        <v>81</v>
      </c>
      <c r="AI176" s="2">
        <v>0</v>
      </c>
      <c r="AJ176" s="2">
        <v>1</v>
      </c>
      <c r="AK176" s="2">
        <v>0</v>
      </c>
      <c r="AL176" s="2">
        <v>0</v>
      </c>
      <c r="AM176" s="2">
        <v>0</v>
      </c>
      <c r="AN176" s="2" t="s">
        <v>152</v>
      </c>
      <c r="AO176" s="2" t="s">
        <v>61</v>
      </c>
      <c r="AP176" s="1">
        <f>837.2+225.1</f>
        <v>1062.3</v>
      </c>
      <c r="AQ176" s="1">
        <f>133.4+130.2</f>
        <v>263.60000000000002</v>
      </c>
      <c r="AR176" s="4">
        <f t="shared" si="34"/>
        <v>0.19880835658797799</v>
      </c>
      <c r="AS176" s="18">
        <f t="shared" si="35"/>
        <v>327.9655172413793</v>
      </c>
      <c r="AT176">
        <f t="shared" si="33"/>
        <v>1.2441787452252628</v>
      </c>
      <c r="AU176">
        <f t="shared" si="36"/>
        <v>102.5</v>
      </c>
      <c r="AV176" s="9">
        <f t="shared" si="28"/>
        <v>0.38884673748103182</v>
      </c>
    </row>
    <row r="177" spans="1:48" x14ac:dyDescent="0.3">
      <c r="A177" s="23">
        <v>191</v>
      </c>
      <c r="B177" t="s">
        <v>42</v>
      </c>
      <c r="C177" s="1">
        <v>11222</v>
      </c>
      <c r="D177" t="s">
        <v>85</v>
      </c>
      <c r="E177" t="s">
        <v>86</v>
      </c>
      <c r="F177" t="s">
        <v>86</v>
      </c>
      <c r="G177" s="2">
        <v>1970</v>
      </c>
      <c r="H177" s="2" t="s">
        <v>57</v>
      </c>
      <c r="I177" s="2" t="str">
        <f t="shared" si="29"/>
        <v>1950-1980</v>
      </c>
      <c r="J177" s="2">
        <v>85</v>
      </c>
      <c r="K177" s="2">
        <f t="shared" si="26"/>
        <v>90</v>
      </c>
      <c r="L177" s="2">
        <v>271</v>
      </c>
      <c r="M177" s="2">
        <v>186</v>
      </c>
      <c r="N177" s="2">
        <v>5</v>
      </c>
      <c r="O177" s="2">
        <v>0</v>
      </c>
      <c r="P177" s="2">
        <v>6</v>
      </c>
      <c r="Q177" s="2">
        <v>1</v>
      </c>
      <c r="R177" s="2">
        <v>16.5</v>
      </c>
      <c r="S177" s="2">
        <v>16.5</v>
      </c>
      <c r="V177" s="1">
        <v>1059</v>
      </c>
      <c r="W177" s="2">
        <v>5099.3999999999996</v>
      </c>
      <c r="X177" s="2">
        <v>326.89999999999998</v>
      </c>
      <c r="Y177" s="1">
        <v>4279</v>
      </c>
      <c r="Z177" s="2" t="s">
        <v>70</v>
      </c>
      <c r="AA177" s="2">
        <v>4</v>
      </c>
      <c r="AB177" s="2">
        <v>0</v>
      </c>
      <c r="AC177" s="2">
        <v>2</v>
      </c>
      <c r="AD177" s="3" t="s">
        <v>91</v>
      </c>
      <c r="AE177" s="3" t="s">
        <v>115</v>
      </c>
      <c r="AF177" s="3" t="s">
        <v>139</v>
      </c>
      <c r="AG177" s="3" t="s">
        <v>74</v>
      </c>
      <c r="AH177" s="3" t="s">
        <v>75</v>
      </c>
      <c r="AI177" s="2">
        <v>1</v>
      </c>
      <c r="AJ177" s="2">
        <v>0</v>
      </c>
      <c r="AK177" s="2">
        <v>0</v>
      </c>
      <c r="AL177" s="2">
        <v>0</v>
      </c>
      <c r="AM177" s="2">
        <v>1</v>
      </c>
      <c r="AN177" s="2">
        <v>0</v>
      </c>
      <c r="AO177" s="2" t="s">
        <v>76</v>
      </c>
      <c r="AP177" s="1">
        <f>298+1016.2</f>
        <v>1314.2</v>
      </c>
      <c r="AQ177" s="1">
        <f>430.2+455</f>
        <v>885.2</v>
      </c>
      <c r="AR177" s="4">
        <f t="shared" si="34"/>
        <v>0.40247340183686459</v>
      </c>
      <c r="AS177" s="18">
        <f t="shared" si="35"/>
        <v>737.75862068965523</v>
      </c>
      <c r="AT177">
        <f t="shared" si="33"/>
        <v>0.83343721270860283</v>
      </c>
      <c r="AU177">
        <f t="shared" si="36"/>
        <v>465</v>
      </c>
      <c r="AV177" s="9">
        <f t="shared" si="28"/>
        <v>0.52530501581563482</v>
      </c>
    </row>
    <row r="178" spans="1:48" x14ac:dyDescent="0.3">
      <c r="A178" s="23">
        <v>65</v>
      </c>
      <c r="B178" t="s">
        <v>42</v>
      </c>
      <c r="C178" s="1">
        <v>11222</v>
      </c>
      <c r="D178" t="s">
        <v>180</v>
      </c>
      <c r="E178" t="s">
        <v>181</v>
      </c>
      <c r="F178" t="s">
        <v>182</v>
      </c>
      <c r="G178" s="2">
        <v>1988</v>
      </c>
      <c r="H178" s="2" t="s">
        <v>131</v>
      </c>
      <c r="I178" s="2" t="str">
        <f t="shared" si="29"/>
        <v>&gt;1980</v>
      </c>
      <c r="J178" s="2">
        <v>48</v>
      </c>
      <c r="K178" s="2">
        <f t="shared" si="26"/>
        <v>50</v>
      </c>
      <c r="L178" s="2">
        <v>234</v>
      </c>
      <c r="M178" s="2">
        <v>186</v>
      </c>
      <c r="N178" s="2">
        <v>4</v>
      </c>
      <c r="O178" s="2">
        <v>0</v>
      </c>
      <c r="P178" s="2">
        <v>6</v>
      </c>
      <c r="Q178" s="2">
        <v>1</v>
      </c>
      <c r="R178" s="2">
        <v>13</v>
      </c>
      <c r="S178" s="2">
        <v>13</v>
      </c>
      <c r="V178" s="1">
        <v>1126</v>
      </c>
      <c r="W178" s="2">
        <v>4269.3999999999996</v>
      </c>
      <c r="X178" s="2">
        <v>1097.7</v>
      </c>
      <c r="Y178" s="1">
        <v>3417.6</v>
      </c>
      <c r="Z178" s="2" t="s">
        <v>70</v>
      </c>
      <c r="AA178" s="2">
        <v>5</v>
      </c>
      <c r="AB178" s="2">
        <v>1</v>
      </c>
      <c r="AD178" s="3" t="s">
        <v>58</v>
      </c>
      <c r="AE178" s="3" t="s">
        <v>92</v>
      </c>
      <c r="AF178" s="3" t="s">
        <v>50</v>
      </c>
      <c r="AG178" s="3" t="s">
        <v>60</v>
      </c>
      <c r="AH178" s="3" t="s">
        <v>75</v>
      </c>
      <c r="AI178" s="2">
        <v>0</v>
      </c>
      <c r="AJ178" s="2">
        <v>1</v>
      </c>
      <c r="AK178" s="2">
        <v>0</v>
      </c>
      <c r="AL178" s="2">
        <v>1</v>
      </c>
      <c r="AM178" s="2">
        <v>0</v>
      </c>
      <c r="AN178" s="2">
        <v>0</v>
      </c>
      <c r="AO178" s="2" t="s">
        <v>76</v>
      </c>
      <c r="AP178" s="1">
        <v>2398.9</v>
      </c>
      <c r="AQ178" s="1">
        <f>224.7+154.3</f>
        <v>379</v>
      </c>
      <c r="AR178" s="4">
        <f t="shared" si="34"/>
        <v>0.13643399690413621</v>
      </c>
      <c r="AS178" s="18">
        <f t="shared" si="35"/>
        <v>589.24137931034488</v>
      </c>
      <c r="AT178">
        <f t="shared" si="33"/>
        <v>1.5547265944863982</v>
      </c>
      <c r="AU178">
        <f t="shared" si="36"/>
        <v>465</v>
      </c>
      <c r="AV178" s="9">
        <f t="shared" si="28"/>
        <v>1.2269129287598945</v>
      </c>
    </row>
    <row r="179" spans="1:48" x14ac:dyDescent="0.3">
      <c r="A179" s="23">
        <v>20</v>
      </c>
      <c r="B179" t="s">
        <v>42</v>
      </c>
      <c r="C179" s="1">
        <v>11222</v>
      </c>
      <c r="D179" t="s">
        <v>211</v>
      </c>
      <c r="E179" t="s">
        <v>212</v>
      </c>
      <c r="F179" t="s">
        <v>213</v>
      </c>
      <c r="G179" s="2">
        <v>1970</v>
      </c>
      <c r="H179" s="2" t="s">
        <v>57</v>
      </c>
      <c r="I179" s="2" t="str">
        <f t="shared" si="29"/>
        <v>1950-1980</v>
      </c>
      <c r="J179" s="2">
        <v>90</v>
      </c>
      <c r="K179" s="2">
        <f t="shared" si="26"/>
        <v>90</v>
      </c>
      <c r="L179" s="2">
        <v>360</v>
      </c>
      <c r="M179" s="2">
        <v>270</v>
      </c>
      <c r="N179" s="2">
        <v>5</v>
      </c>
      <c r="O179" s="2">
        <v>0</v>
      </c>
      <c r="P179" s="2">
        <v>6</v>
      </c>
      <c r="Q179" s="2">
        <v>1</v>
      </c>
      <c r="R179" s="2">
        <v>16.100000000000001</v>
      </c>
      <c r="S179" s="2">
        <v>16</v>
      </c>
      <c r="V179" s="1">
        <v>1141</v>
      </c>
      <c r="W179" s="2">
        <v>5206</v>
      </c>
      <c r="X179" s="2">
        <v>949.3</v>
      </c>
      <c r="Y179" s="1">
        <v>4314.8</v>
      </c>
      <c r="Z179" s="2" t="s">
        <v>70</v>
      </c>
      <c r="AA179" s="2">
        <v>14</v>
      </c>
      <c r="AB179" s="2">
        <v>10</v>
      </c>
      <c r="AC179" s="2">
        <v>0</v>
      </c>
      <c r="AD179" s="3" t="s">
        <v>126</v>
      </c>
      <c r="AE179" s="3" t="s">
        <v>115</v>
      </c>
      <c r="AF179" s="3" t="s">
        <v>50</v>
      </c>
      <c r="AG179" s="3" t="s">
        <v>74</v>
      </c>
      <c r="AH179" s="3" t="s">
        <v>75</v>
      </c>
      <c r="AI179" s="2">
        <v>1</v>
      </c>
      <c r="AJ179" s="2">
        <v>0</v>
      </c>
      <c r="AK179" s="2">
        <v>0</v>
      </c>
      <c r="AL179" s="2">
        <v>0</v>
      </c>
      <c r="AM179" s="2">
        <v>1</v>
      </c>
      <c r="AN179" s="2">
        <v>0</v>
      </c>
      <c r="AO179" s="2" t="s">
        <v>76</v>
      </c>
      <c r="AP179" s="1">
        <f>3638</f>
        <v>3638</v>
      </c>
      <c r="AQ179" s="1">
        <f>406+362.7</f>
        <v>768.7</v>
      </c>
      <c r="AR179" s="4">
        <f t="shared" si="34"/>
        <v>0.17443892254975379</v>
      </c>
      <c r="AS179" s="18">
        <f t="shared" si="35"/>
        <v>743.93103448275872</v>
      </c>
      <c r="AT179">
        <f t="shared" si="33"/>
        <v>0.96777811172467632</v>
      </c>
      <c r="AU179">
        <f t="shared" si="36"/>
        <v>675</v>
      </c>
      <c r="AV179" s="9">
        <f t="shared" si="28"/>
        <v>0.87810589306621567</v>
      </c>
    </row>
    <row r="180" spans="1:48" x14ac:dyDescent="0.3">
      <c r="A180" s="23">
        <v>304</v>
      </c>
      <c r="B180" t="s">
        <v>42</v>
      </c>
      <c r="C180" s="1">
        <v>11222</v>
      </c>
      <c r="D180" t="s">
        <v>141</v>
      </c>
      <c r="E180" t="s">
        <v>223</v>
      </c>
      <c r="F180" t="s">
        <v>223</v>
      </c>
      <c r="G180" s="2">
        <v>1969</v>
      </c>
      <c r="H180" s="2" t="s">
        <v>57</v>
      </c>
      <c r="I180" s="2" t="str">
        <f t="shared" si="29"/>
        <v>1950-1980</v>
      </c>
      <c r="J180" s="2">
        <v>85</v>
      </c>
      <c r="K180" s="2">
        <f t="shared" si="26"/>
        <v>90</v>
      </c>
      <c r="L180" s="2">
        <v>354</v>
      </c>
      <c r="M180" s="2">
        <v>269</v>
      </c>
      <c r="N180" s="2">
        <v>5</v>
      </c>
      <c r="O180" s="2">
        <v>0</v>
      </c>
      <c r="P180" s="2">
        <v>6</v>
      </c>
      <c r="Q180" s="2">
        <v>1</v>
      </c>
      <c r="R180" s="2">
        <v>16.899999999999999</v>
      </c>
      <c r="S180" s="2">
        <v>17</v>
      </c>
      <c r="V180" s="1">
        <v>1075</v>
      </c>
      <c r="W180" s="2">
        <v>4774.5</v>
      </c>
      <c r="X180" s="2">
        <v>660.7</v>
      </c>
      <c r="Y180" s="1">
        <v>4010</v>
      </c>
      <c r="Z180" s="2" t="s">
        <v>70</v>
      </c>
      <c r="AA180" s="2">
        <v>4</v>
      </c>
      <c r="AB180" s="2">
        <v>0</v>
      </c>
      <c r="AC180" s="2">
        <v>2</v>
      </c>
      <c r="AD180" s="3" t="s">
        <v>219</v>
      </c>
      <c r="AE180" s="3" t="s">
        <v>115</v>
      </c>
      <c r="AF180" s="3" t="s">
        <v>273</v>
      </c>
      <c r="AG180" s="3" t="s">
        <v>74</v>
      </c>
      <c r="AH180" s="3" t="s">
        <v>75</v>
      </c>
      <c r="AI180" s="2">
        <v>1</v>
      </c>
      <c r="AJ180" s="2">
        <v>0</v>
      </c>
      <c r="AK180" s="2">
        <v>0</v>
      </c>
      <c r="AL180" s="2">
        <v>0</v>
      </c>
      <c r="AM180" s="2">
        <v>1</v>
      </c>
      <c r="AN180" s="2">
        <v>0</v>
      </c>
      <c r="AO180" s="2" t="s">
        <v>123</v>
      </c>
      <c r="AP180" s="1">
        <v>2361.1999999999998</v>
      </c>
      <c r="AQ180" s="1">
        <f>407.4+434.8</f>
        <v>842.2</v>
      </c>
      <c r="AR180" s="4">
        <f t="shared" si="34"/>
        <v>0.26290816007991513</v>
      </c>
      <c r="AS180" s="18">
        <f t="shared" si="35"/>
        <v>691.37931034482756</v>
      </c>
      <c r="AT180">
        <f t="shared" si="33"/>
        <v>0.82092057746951741</v>
      </c>
      <c r="AU180">
        <f t="shared" si="36"/>
        <v>672.5</v>
      </c>
      <c r="AV180" s="9">
        <f t="shared" si="28"/>
        <v>0.79850391830919021</v>
      </c>
    </row>
    <row r="181" spans="1:48" x14ac:dyDescent="0.3">
      <c r="A181" s="23">
        <v>363</v>
      </c>
      <c r="B181" t="s">
        <v>42</v>
      </c>
      <c r="C181" s="1">
        <v>11222</v>
      </c>
      <c r="D181" t="s">
        <v>141</v>
      </c>
      <c r="E181" t="s">
        <v>223</v>
      </c>
      <c r="F181" t="s">
        <v>223</v>
      </c>
      <c r="G181" s="2">
        <v>1970</v>
      </c>
      <c r="H181" s="2" t="s">
        <v>57</v>
      </c>
      <c r="I181" s="2" t="str">
        <f t="shared" si="29"/>
        <v>1950-1980</v>
      </c>
      <c r="J181" s="2">
        <v>85</v>
      </c>
      <c r="K181" s="2">
        <f t="shared" si="26"/>
        <v>90</v>
      </c>
      <c r="L181" s="2">
        <v>354</v>
      </c>
      <c r="M181" s="2">
        <v>269</v>
      </c>
      <c r="N181" s="2">
        <v>5</v>
      </c>
      <c r="O181" s="2">
        <v>0</v>
      </c>
      <c r="P181" s="2">
        <v>6</v>
      </c>
      <c r="Q181" s="2">
        <v>1</v>
      </c>
      <c r="R181" s="2">
        <v>16.8</v>
      </c>
      <c r="S181" s="2">
        <v>17</v>
      </c>
      <c r="V181" s="1">
        <v>1062</v>
      </c>
      <c r="W181" s="2">
        <v>4800.2</v>
      </c>
      <c r="X181" s="2">
        <v>876.3</v>
      </c>
      <c r="Y181" s="1">
        <v>4345</v>
      </c>
      <c r="Z181" s="2" t="s">
        <v>70</v>
      </c>
      <c r="AA181" s="2">
        <v>4</v>
      </c>
      <c r="AB181" s="2">
        <v>0</v>
      </c>
      <c r="AD181" s="3" t="s">
        <v>126</v>
      </c>
      <c r="AE181" s="3" t="s">
        <v>115</v>
      </c>
      <c r="AF181" s="3" t="s">
        <v>50</v>
      </c>
      <c r="AG181" s="3" t="s">
        <v>74</v>
      </c>
      <c r="AH181" s="3" t="s">
        <v>75</v>
      </c>
      <c r="AI181" s="2">
        <v>0</v>
      </c>
      <c r="AJ181" s="2">
        <v>1</v>
      </c>
      <c r="AK181" s="2">
        <v>0</v>
      </c>
      <c r="AL181" s="2">
        <v>0</v>
      </c>
      <c r="AM181" s="2">
        <v>1</v>
      </c>
      <c r="AN181" s="2" t="s">
        <v>152</v>
      </c>
      <c r="AO181" s="2" t="s">
        <v>84</v>
      </c>
      <c r="AP181" s="1">
        <f>254+1911</f>
        <v>2165</v>
      </c>
      <c r="AQ181" s="1">
        <f>416+384</f>
        <v>800</v>
      </c>
      <c r="AR181" s="4">
        <f t="shared" si="34"/>
        <v>0.26981450252951095</v>
      </c>
      <c r="AS181" s="18">
        <f t="shared" si="35"/>
        <v>749.13793103448279</v>
      </c>
      <c r="AT181">
        <f t="shared" si="33"/>
        <v>0.93642241379310354</v>
      </c>
      <c r="AU181">
        <f t="shared" si="36"/>
        <v>672.5</v>
      </c>
      <c r="AV181" s="9">
        <f t="shared" si="28"/>
        <v>0.84062499999999996</v>
      </c>
    </row>
    <row r="182" spans="1:48" x14ac:dyDescent="0.3">
      <c r="A182" s="23">
        <v>284</v>
      </c>
      <c r="B182" t="s">
        <v>42</v>
      </c>
      <c r="C182" s="1">
        <v>11222</v>
      </c>
      <c r="D182" t="s">
        <v>141</v>
      </c>
      <c r="E182" t="s">
        <v>223</v>
      </c>
      <c r="F182" t="s">
        <v>223</v>
      </c>
      <c r="G182" s="2">
        <v>1975</v>
      </c>
      <c r="H182" s="2" t="s">
        <v>69</v>
      </c>
      <c r="I182" s="2" t="str">
        <f t="shared" si="29"/>
        <v>1950-1980</v>
      </c>
      <c r="J182" s="2">
        <v>85</v>
      </c>
      <c r="K182" s="2">
        <f t="shared" si="26"/>
        <v>90</v>
      </c>
      <c r="L182" s="2">
        <v>355</v>
      </c>
      <c r="M182" s="2">
        <v>270</v>
      </c>
      <c r="N182" s="2">
        <v>5</v>
      </c>
      <c r="O182" s="2">
        <v>0</v>
      </c>
      <c r="P182" s="2">
        <v>6</v>
      </c>
      <c r="Q182" s="2">
        <v>1</v>
      </c>
      <c r="R182" s="2">
        <v>15.4</v>
      </c>
      <c r="S182" s="2">
        <v>15.5</v>
      </c>
      <c r="T182" s="2">
        <v>12.7</v>
      </c>
      <c r="U182" s="2">
        <v>98.2</v>
      </c>
      <c r="V182" s="1">
        <v>1077</v>
      </c>
      <c r="W182" s="2">
        <v>4763.1000000000004</v>
      </c>
      <c r="X182" s="2">
        <v>641.79999999999995</v>
      </c>
      <c r="Y182" s="1">
        <v>4223.5</v>
      </c>
      <c r="Z182" s="2" t="s">
        <v>70</v>
      </c>
      <c r="AA182" s="2">
        <v>4</v>
      </c>
      <c r="AB182" s="2">
        <v>0</v>
      </c>
      <c r="AD182" s="3" t="s">
        <v>126</v>
      </c>
      <c r="AE182" s="3" t="s">
        <v>364</v>
      </c>
      <c r="AF182" s="3" t="s">
        <v>50</v>
      </c>
      <c r="AG182" s="3" t="s">
        <v>74</v>
      </c>
      <c r="AH182" s="3" t="s">
        <v>75</v>
      </c>
      <c r="AI182" s="2">
        <v>1</v>
      </c>
      <c r="AJ182" s="2">
        <v>0</v>
      </c>
      <c r="AK182" s="2">
        <v>0</v>
      </c>
      <c r="AL182" s="2">
        <v>0</v>
      </c>
      <c r="AM182" s="2">
        <v>1</v>
      </c>
      <c r="AN182" s="2">
        <v>0</v>
      </c>
      <c r="AO182" s="2" t="s">
        <v>76</v>
      </c>
      <c r="AP182" s="1">
        <f>1926+274</f>
        <v>2200</v>
      </c>
      <c r="AQ182" s="1">
        <f>393+329</f>
        <v>722</v>
      </c>
      <c r="AR182" s="4">
        <f t="shared" si="34"/>
        <v>0.24709103353867215</v>
      </c>
      <c r="AS182" s="18">
        <f t="shared" si="35"/>
        <v>728.18965517241384</v>
      </c>
      <c r="AT182">
        <f t="shared" si="33"/>
        <v>1.0085729296016812</v>
      </c>
      <c r="AU182">
        <f t="shared" si="36"/>
        <v>675</v>
      </c>
      <c r="AV182" s="9">
        <f t="shared" si="28"/>
        <v>0.9349030470914127</v>
      </c>
    </row>
    <row r="183" spans="1:48" x14ac:dyDescent="0.3">
      <c r="A183" s="23">
        <v>152</v>
      </c>
      <c r="B183" t="s">
        <v>42</v>
      </c>
      <c r="C183" s="1">
        <v>11222</v>
      </c>
      <c r="D183" t="s">
        <v>106</v>
      </c>
      <c r="E183" t="s">
        <v>199</v>
      </c>
      <c r="F183" t="s">
        <v>333</v>
      </c>
      <c r="G183" s="2">
        <v>1981</v>
      </c>
      <c r="H183" s="2" t="s">
        <v>131</v>
      </c>
      <c r="I183" s="2" t="str">
        <f t="shared" si="29"/>
        <v>&gt;1980</v>
      </c>
      <c r="J183" s="2">
        <v>36</v>
      </c>
      <c r="K183" s="2">
        <f t="shared" si="26"/>
        <v>40</v>
      </c>
      <c r="L183" s="2">
        <v>180</v>
      </c>
      <c r="M183" s="2">
        <v>144</v>
      </c>
      <c r="N183" s="2">
        <v>3</v>
      </c>
      <c r="O183" s="2">
        <v>0</v>
      </c>
      <c r="P183" s="2">
        <v>6</v>
      </c>
      <c r="Q183" s="2">
        <v>1</v>
      </c>
      <c r="R183" s="2">
        <v>10.8</v>
      </c>
      <c r="S183" s="2">
        <v>11</v>
      </c>
      <c r="T183" s="2">
        <v>16.899999999999999</v>
      </c>
      <c r="U183" s="2">
        <v>110.5</v>
      </c>
      <c r="V183" s="1">
        <v>1122</v>
      </c>
      <c r="W183" s="2">
        <v>3399.1</v>
      </c>
      <c r="X183" s="2">
        <v>998.7</v>
      </c>
      <c r="Y183" s="1">
        <v>2760</v>
      </c>
      <c r="Z183" s="2" t="s">
        <v>70</v>
      </c>
      <c r="AA183" s="2">
        <v>17</v>
      </c>
      <c r="AB183" s="2">
        <v>13</v>
      </c>
      <c r="AD183" s="3" t="s">
        <v>126</v>
      </c>
      <c r="AE183" s="3" t="s">
        <v>115</v>
      </c>
      <c r="AF183" s="3" t="s">
        <v>145</v>
      </c>
      <c r="AG183" s="3" t="s">
        <v>74</v>
      </c>
      <c r="AH183" s="3" t="s">
        <v>75</v>
      </c>
      <c r="AI183" s="2">
        <v>1</v>
      </c>
      <c r="AJ183" s="2">
        <v>0</v>
      </c>
      <c r="AK183" s="2">
        <v>0</v>
      </c>
      <c r="AL183" s="2">
        <v>1</v>
      </c>
      <c r="AM183" s="2">
        <v>0</v>
      </c>
      <c r="AN183" s="2">
        <v>0</v>
      </c>
      <c r="AO183" s="2" t="s">
        <v>123</v>
      </c>
      <c r="AP183" s="1">
        <v>1853.3</v>
      </c>
      <c r="AQ183" s="1">
        <f>283.5+173</f>
        <v>456.5</v>
      </c>
      <c r="AR183" s="4">
        <f t="shared" si="34"/>
        <v>0.19763615897480299</v>
      </c>
      <c r="AS183" s="18">
        <f t="shared" si="35"/>
        <v>475.86206896551727</v>
      </c>
      <c r="AT183">
        <f t="shared" si="33"/>
        <v>1.0424141707897421</v>
      </c>
      <c r="AU183">
        <f t="shared" si="36"/>
        <v>360</v>
      </c>
      <c r="AV183" s="9">
        <f t="shared" si="28"/>
        <v>0.78860898138006574</v>
      </c>
    </row>
    <row r="184" spans="1:48" x14ac:dyDescent="0.3">
      <c r="A184" s="23">
        <v>311</v>
      </c>
      <c r="B184" t="s">
        <v>42</v>
      </c>
      <c r="C184" s="1">
        <v>11222</v>
      </c>
      <c r="D184" t="s">
        <v>85</v>
      </c>
      <c r="E184" t="s">
        <v>86</v>
      </c>
      <c r="F184" t="s">
        <v>86</v>
      </c>
      <c r="G184" s="2">
        <v>1973</v>
      </c>
      <c r="H184" s="2" t="s">
        <v>69</v>
      </c>
      <c r="I184" s="2" t="str">
        <f t="shared" si="29"/>
        <v>1950-1980</v>
      </c>
      <c r="J184" s="2">
        <v>95</v>
      </c>
      <c r="K184" s="2">
        <f t="shared" si="26"/>
        <v>100</v>
      </c>
      <c r="L184" s="2">
        <v>408</v>
      </c>
      <c r="M184" s="2">
        <v>313</v>
      </c>
      <c r="N184" s="2">
        <v>5</v>
      </c>
      <c r="O184" s="2">
        <v>0</v>
      </c>
      <c r="P184" s="2">
        <v>7</v>
      </c>
      <c r="Q184" s="2">
        <v>1</v>
      </c>
      <c r="R184" s="2">
        <v>16.5</v>
      </c>
      <c r="S184" s="2">
        <v>16.5</v>
      </c>
      <c r="T184" s="2">
        <v>31.3</v>
      </c>
      <c r="U184" s="2">
        <v>114.2</v>
      </c>
      <c r="V184" s="1">
        <v>1355</v>
      </c>
      <c r="W184" s="2">
        <v>5848.4</v>
      </c>
      <c r="X184" s="2">
        <v>1310.5</v>
      </c>
      <c r="Y184" s="1">
        <v>4993</v>
      </c>
      <c r="Z184" s="2" t="s">
        <v>70</v>
      </c>
      <c r="AA184" s="2">
        <v>16</v>
      </c>
      <c r="AB184" s="2">
        <v>12</v>
      </c>
      <c r="AD184" s="3" t="s">
        <v>300</v>
      </c>
      <c r="AE184" s="3" t="s">
        <v>66</v>
      </c>
      <c r="AF184" s="3" t="s">
        <v>50</v>
      </c>
      <c r="AG184" s="3" t="s">
        <v>74</v>
      </c>
      <c r="AH184" s="3" t="s">
        <v>75</v>
      </c>
      <c r="AI184" s="2">
        <v>1</v>
      </c>
      <c r="AJ184" s="2">
        <v>0</v>
      </c>
      <c r="AK184" s="2">
        <v>0</v>
      </c>
      <c r="AL184" s="2">
        <v>0</v>
      </c>
      <c r="AM184" s="2">
        <v>1</v>
      </c>
      <c r="AN184" s="2">
        <v>0</v>
      </c>
      <c r="AO184" s="2" t="s">
        <v>76</v>
      </c>
      <c r="AP184" s="1">
        <f>607+804+48.8</f>
        <v>1459.8</v>
      </c>
      <c r="AQ184" s="1">
        <v>822</v>
      </c>
      <c r="AR184" s="4">
        <f t="shared" si="34"/>
        <v>0.3602419142782014</v>
      </c>
      <c r="AS184" s="18">
        <f t="shared" si="35"/>
        <v>860.86206896551732</v>
      </c>
      <c r="AT184">
        <f t="shared" si="33"/>
        <v>1.0472774561624298</v>
      </c>
      <c r="AU184">
        <f t="shared" si="36"/>
        <v>782.5</v>
      </c>
      <c r="AV184" s="9">
        <f t="shared" si="28"/>
        <v>0.9519464720194647</v>
      </c>
    </row>
    <row r="185" spans="1:48" x14ac:dyDescent="0.3">
      <c r="A185" s="23">
        <v>272</v>
      </c>
      <c r="B185" t="s">
        <v>42</v>
      </c>
      <c r="C185" s="1">
        <v>12339</v>
      </c>
      <c r="D185" t="s">
        <v>180</v>
      </c>
      <c r="E185" t="s">
        <v>181</v>
      </c>
      <c r="F185" t="s">
        <v>182</v>
      </c>
      <c r="G185" s="2">
        <v>1972</v>
      </c>
      <c r="H185" s="2" t="s">
        <v>69</v>
      </c>
      <c r="I185" s="2" t="str">
        <f t="shared" si="29"/>
        <v>1950-1980</v>
      </c>
      <c r="J185" s="2">
        <v>85</v>
      </c>
      <c r="K185" s="2">
        <f>MROUND(J185,10)</f>
        <v>90</v>
      </c>
      <c r="L185" s="2">
        <v>354</v>
      </c>
      <c r="M185" s="2">
        <v>269</v>
      </c>
      <c r="N185" s="2">
        <v>5</v>
      </c>
      <c r="O185" s="2">
        <v>0</v>
      </c>
      <c r="P185" s="2">
        <v>7</v>
      </c>
      <c r="Q185" s="2">
        <v>1</v>
      </c>
      <c r="R185" s="2">
        <v>17</v>
      </c>
      <c r="S185" s="2">
        <v>17</v>
      </c>
      <c r="T185" s="2">
        <v>11.2</v>
      </c>
      <c r="U185" s="2">
        <v>97.1</v>
      </c>
      <c r="V185" s="1">
        <v>1156</v>
      </c>
      <c r="W185" s="2">
        <v>4806.8</v>
      </c>
      <c r="X185" s="2">
        <v>742.7</v>
      </c>
      <c r="Y185" s="1">
        <v>4111</v>
      </c>
      <c r="Z185" s="2" t="s">
        <v>70</v>
      </c>
      <c r="AA185" s="2">
        <v>4</v>
      </c>
      <c r="AB185" s="2">
        <v>0</v>
      </c>
      <c r="AD185" s="3" t="s">
        <v>126</v>
      </c>
      <c r="AE185" s="3" t="s">
        <v>115</v>
      </c>
      <c r="AF185" s="3" t="s">
        <v>50</v>
      </c>
      <c r="AG185" s="3" t="s">
        <v>51</v>
      </c>
      <c r="AH185" s="3" t="s">
        <v>75</v>
      </c>
      <c r="AI185" s="2">
        <v>0</v>
      </c>
      <c r="AJ185" s="2">
        <v>1</v>
      </c>
      <c r="AK185" s="2">
        <v>0</v>
      </c>
      <c r="AL185" s="2">
        <v>0</v>
      </c>
      <c r="AM185" s="2">
        <v>1</v>
      </c>
      <c r="AN185" s="2">
        <v>0</v>
      </c>
      <c r="AO185" s="2" t="s">
        <v>76</v>
      </c>
      <c r="AP185" s="1">
        <f>1971</f>
        <v>1971</v>
      </c>
      <c r="AQ185" s="1">
        <f>31.9+66.6+433.4+203.5</f>
        <v>735.4</v>
      </c>
      <c r="AR185" s="4">
        <f t="shared" si="34"/>
        <v>0.27172627845107888</v>
      </c>
      <c r="AS185" s="18">
        <f t="shared" si="35"/>
        <v>708.79310344827593</v>
      </c>
      <c r="AT185">
        <f t="shared" si="33"/>
        <v>0.96381983063404397</v>
      </c>
      <c r="AU185">
        <f t="shared" si="36"/>
        <v>672.5</v>
      </c>
      <c r="AV185" s="9">
        <f t="shared" si="28"/>
        <v>0.91446831656241501</v>
      </c>
    </row>
    <row r="186" spans="1:48" x14ac:dyDescent="0.3">
      <c r="A186" s="23">
        <v>140</v>
      </c>
      <c r="B186" t="s">
        <v>42</v>
      </c>
      <c r="C186" s="1">
        <v>11222</v>
      </c>
      <c r="D186" t="s">
        <v>85</v>
      </c>
      <c r="E186" t="s">
        <v>86</v>
      </c>
      <c r="F186" t="s">
        <v>86</v>
      </c>
      <c r="G186" s="2">
        <v>1971</v>
      </c>
      <c r="H186" s="2" t="s">
        <v>69</v>
      </c>
      <c r="I186" s="2" t="str">
        <f t="shared" si="29"/>
        <v>1950-1980</v>
      </c>
      <c r="J186" s="2">
        <v>115</v>
      </c>
      <c r="K186" s="2">
        <f t="shared" si="26"/>
        <v>120</v>
      </c>
      <c r="L186" s="2">
        <v>475</v>
      </c>
      <c r="M186" s="2">
        <v>360</v>
      </c>
      <c r="N186" s="2">
        <v>5</v>
      </c>
      <c r="O186" s="2">
        <v>0</v>
      </c>
      <c r="P186" s="2">
        <v>8</v>
      </c>
      <c r="Q186" s="2">
        <v>1</v>
      </c>
      <c r="R186" s="2">
        <v>17.8</v>
      </c>
      <c r="S186" s="2">
        <v>18</v>
      </c>
      <c r="T186" s="2">
        <v>11.7</v>
      </c>
      <c r="U186" s="2">
        <v>129.4</v>
      </c>
      <c r="V186" s="1">
        <v>1550</v>
      </c>
      <c r="W186" s="2">
        <v>6678.2</v>
      </c>
      <c r="X186" s="2">
        <v>1489.4</v>
      </c>
      <c r="Y186" s="1">
        <v>5462</v>
      </c>
      <c r="Z186" s="2" t="s">
        <v>70</v>
      </c>
      <c r="AA186" s="2">
        <v>4</v>
      </c>
      <c r="AB186" s="2">
        <v>0</v>
      </c>
      <c r="AD186" s="3" t="s">
        <v>91</v>
      </c>
      <c r="AE186" s="3" t="s">
        <v>115</v>
      </c>
      <c r="AF186" s="3" t="s">
        <v>50</v>
      </c>
      <c r="AG186" s="3" t="s">
        <v>74</v>
      </c>
      <c r="AH186" s="3" t="s">
        <v>75</v>
      </c>
      <c r="AI186" s="2">
        <v>1</v>
      </c>
      <c r="AJ186" s="2">
        <v>0</v>
      </c>
      <c r="AK186" s="2">
        <v>0</v>
      </c>
      <c r="AL186" s="2">
        <v>0</v>
      </c>
      <c r="AM186" s="2">
        <v>1</v>
      </c>
      <c r="AN186" s="2">
        <v>1</v>
      </c>
      <c r="AO186" s="2" t="s">
        <v>76</v>
      </c>
      <c r="AP186" s="1">
        <f>2329+284</f>
        <v>2613</v>
      </c>
      <c r="AQ186" s="1">
        <f>622+561</f>
        <v>1183</v>
      </c>
      <c r="AR186" s="4">
        <f t="shared" si="34"/>
        <v>0.31164383561643838</v>
      </c>
      <c r="AS186" s="18">
        <f t="shared" si="35"/>
        <v>941.72413793103453</v>
      </c>
      <c r="AT186">
        <f t="shared" si="33"/>
        <v>0.79604745387238762</v>
      </c>
      <c r="AU186">
        <f t="shared" si="36"/>
        <v>900</v>
      </c>
      <c r="AV186" s="9">
        <f t="shared" si="28"/>
        <v>0.76077768385460698</v>
      </c>
    </row>
    <row r="187" spans="1:48" x14ac:dyDescent="0.3">
      <c r="A187" s="23">
        <v>151</v>
      </c>
      <c r="B187" t="s">
        <v>42</v>
      </c>
      <c r="C187" s="1">
        <v>11222</v>
      </c>
      <c r="D187" t="s">
        <v>85</v>
      </c>
      <c r="E187" t="s">
        <v>86</v>
      </c>
      <c r="F187" t="s">
        <v>86</v>
      </c>
      <c r="G187" s="2">
        <v>1972</v>
      </c>
      <c r="H187" s="2" t="s">
        <v>69</v>
      </c>
      <c r="I187" s="2" t="str">
        <f t="shared" si="29"/>
        <v>1950-1980</v>
      </c>
      <c r="J187" s="2">
        <v>115</v>
      </c>
      <c r="K187" s="2">
        <f t="shared" si="26"/>
        <v>120</v>
      </c>
      <c r="L187" s="2">
        <v>474</v>
      </c>
      <c r="M187" s="2">
        <v>359</v>
      </c>
      <c r="N187" s="2">
        <v>5</v>
      </c>
      <c r="O187" s="2">
        <v>0</v>
      </c>
      <c r="P187" s="2">
        <v>8</v>
      </c>
      <c r="Q187" s="2">
        <v>1</v>
      </c>
      <c r="R187" s="2">
        <v>16.5</v>
      </c>
      <c r="S187" s="2">
        <v>16.5</v>
      </c>
      <c r="T187" s="2">
        <v>11.7</v>
      </c>
      <c r="U187" s="2">
        <v>129.6</v>
      </c>
      <c r="V187" s="1">
        <v>1441</v>
      </c>
      <c r="W187" s="2">
        <v>6703.9</v>
      </c>
      <c r="X187" s="2">
        <v>418.1</v>
      </c>
      <c r="Y187" s="1">
        <v>5615</v>
      </c>
      <c r="Z187" s="2" t="s">
        <v>70</v>
      </c>
      <c r="AA187" s="2">
        <v>4</v>
      </c>
      <c r="AB187" s="2">
        <v>0</v>
      </c>
      <c r="AD187" s="3" t="s">
        <v>126</v>
      </c>
      <c r="AE187" s="3" t="s">
        <v>115</v>
      </c>
      <c r="AF187" s="3" t="s">
        <v>139</v>
      </c>
      <c r="AG187" s="3" t="s">
        <v>74</v>
      </c>
      <c r="AH187" s="3" t="s">
        <v>75</v>
      </c>
      <c r="AI187" s="2">
        <v>1</v>
      </c>
      <c r="AJ187" s="2">
        <v>0</v>
      </c>
      <c r="AK187" s="2">
        <v>0</v>
      </c>
      <c r="AL187" s="2">
        <v>0</v>
      </c>
      <c r="AM187" s="2">
        <v>1</v>
      </c>
      <c r="AN187" s="2">
        <v>0</v>
      </c>
      <c r="AO187" s="2" t="s">
        <v>76</v>
      </c>
      <c r="AP187" s="1">
        <f>253+1963+48.8</f>
        <v>2264.8000000000002</v>
      </c>
      <c r="AQ187" s="1">
        <f>211.2+311.5+714</f>
        <v>1236.7</v>
      </c>
      <c r="AR187" s="4">
        <f t="shared" si="34"/>
        <v>0.35319148936170214</v>
      </c>
      <c r="AS187" s="18">
        <f t="shared" si="35"/>
        <v>968.10344827586209</v>
      </c>
      <c r="AT187">
        <f t="shared" si="33"/>
        <v>0.78281187699188326</v>
      </c>
      <c r="AU187">
        <f t="shared" si="36"/>
        <v>897.5</v>
      </c>
      <c r="AV187" s="9">
        <f t="shared" si="28"/>
        <v>0.7257216786609525</v>
      </c>
    </row>
    <row r="188" spans="1:48" x14ac:dyDescent="0.3">
      <c r="A188" s="23">
        <v>186</v>
      </c>
      <c r="B188" t="s">
        <v>42</v>
      </c>
      <c r="C188" s="1">
        <v>11222</v>
      </c>
      <c r="D188" t="s">
        <v>132</v>
      </c>
      <c r="E188" t="s">
        <v>133</v>
      </c>
      <c r="F188" t="s">
        <v>361</v>
      </c>
      <c r="G188" s="2">
        <v>1977</v>
      </c>
      <c r="H188" s="2" t="s">
        <v>69</v>
      </c>
      <c r="I188" s="2" t="str">
        <f t="shared" si="29"/>
        <v>1950-1980</v>
      </c>
      <c r="J188" s="2">
        <v>60</v>
      </c>
      <c r="K188" s="2">
        <f t="shared" si="26"/>
        <v>60</v>
      </c>
      <c r="L188" s="2">
        <v>288</v>
      </c>
      <c r="M188" s="2">
        <v>228</v>
      </c>
      <c r="N188" s="2">
        <v>2</v>
      </c>
      <c r="O188" s="2">
        <v>0</v>
      </c>
      <c r="P188" s="2">
        <v>15</v>
      </c>
      <c r="Q188" s="2">
        <v>1</v>
      </c>
      <c r="R188" s="2">
        <v>8.6999999999999993</v>
      </c>
      <c r="S188" s="2">
        <v>8.5</v>
      </c>
      <c r="T188" s="2">
        <v>87.8</v>
      </c>
      <c r="U188" s="2">
        <v>110.7</v>
      </c>
      <c r="V188" s="1">
        <v>2642</v>
      </c>
      <c r="W188" s="2">
        <v>6043.3</v>
      </c>
      <c r="X188" s="2">
        <v>2166.1</v>
      </c>
      <c r="Y188" s="1">
        <v>4092.4</v>
      </c>
      <c r="Z188" s="2" t="s">
        <v>70</v>
      </c>
      <c r="AA188" s="2">
        <v>23</v>
      </c>
      <c r="AB188" s="2">
        <v>19</v>
      </c>
      <c r="AD188" s="3" t="s">
        <v>126</v>
      </c>
      <c r="AE188" s="3" t="s">
        <v>115</v>
      </c>
      <c r="AF188" s="3" t="s">
        <v>340</v>
      </c>
      <c r="AG188" s="3" t="s">
        <v>362</v>
      </c>
      <c r="AH188" s="3" t="s">
        <v>203</v>
      </c>
      <c r="AI188" s="2">
        <v>0</v>
      </c>
      <c r="AJ188" s="2">
        <v>1</v>
      </c>
      <c r="AK188" s="2">
        <v>0</v>
      </c>
      <c r="AL188" s="2">
        <v>0</v>
      </c>
      <c r="AM188" s="2">
        <v>0</v>
      </c>
      <c r="AN188" s="2">
        <v>1</v>
      </c>
      <c r="AO188" s="2" t="s">
        <v>84</v>
      </c>
      <c r="AP188" s="1">
        <v>3769.6</v>
      </c>
      <c r="AQ188" s="1">
        <f>254.8+314.8</f>
        <v>569.6</v>
      </c>
      <c r="AR188" s="4">
        <f t="shared" si="34"/>
        <v>0.13126843657817111</v>
      </c>
      <c r="AS188" s="18">
        <f t="shared" si="35"/>
        <v>705.58620689655174</v>
      </c>
      <c r="AT188">
        <f t="shared" si="33"/>
        <v>1.2387398295234404</v>
      </c>
      <c r="AU188">
        <f t="shared" si="36"/>
        <v>570</v>
      </c>
      <c r="AV188" s="9">
        <f t="shared" si="28"/>
        <v>1.0007022471910112</v>
      </c>
    </row>
    <row r="189" spans="1:48" x14ac:dyDescent="0.3">
      <c r="A189" s="23">
        <v>100</v>
      </c>
      <c r="B189" t="s">
        <v>42</v>
      </c>
      <c r="C189" s="1">
        <v>11222</v>
      </c>
      <c r="D189" t="s">
        <v>43</v>
      </c>
      <c r="E189" t="s">
        <v>44</v>
      </c>
      <c r="F189" t="s">
        <v>82</v>
      </c>
      <c r="G189" s="2">
        <v>1978</v>
      </c>
      <c r="H189" s="2" t="s">
        <v>69</v>
      </c>
      <c r="I189" s="2" t="str">
        <f t="shared" si="29"/>
        <v>1950-1980</v>
      </c>
      <c r="J189" s="2">
        <v>19</v>
      </c>
      <c r="K189" s="2">
        <f t="shared" si="26"/>
        <v>20</v>
      </c>
      <c r="L189" s="2">
        <v>136</v>
      </c>
      <c r="M189" s="2">
        <v>117</v>
      </c>
      <c r="N189" s="2">
        <v>4</v>
      </c>
      <c r="O189" s="2">
        <v>0</v>
      </c>
      <c r="P189" s="2">
        <v>4</v>
      </c>
      <c r="Q189" s="2">
        <v>1</v>
      </c>
      <c r="R189" s="2">
        <v>17.2</v>
      </c>
      <c r="S189" s="2">
        <v>17</v>
      </c>
      <c r="T189" s="2">
        <v>18</v>
      </c>
      <c r="U189" s="2">
        <v>20</v>
      </c>
      <c r="V189" s="1">
        <v>765.2</v>
      </c>
      <c r="W189" s="2">
        <v>2638.7</v>
      </c>
      <c r="X189" s="2">
        <v>614</v>
      </c>
      <c r="Y189" s="1">
        <v>2131</v>
      </c>
      <c r="Z189" s="2" t="s">
        <v>47</v>
      </c>
      <c r="AA189" s="2">
        <v>9</v>
      </c>
      <c r="AB189" s="2">
        <v>5</v>
      </c>
      <c r="AD189" s="3" t="s">
        <v>58</v>
      </c>
      <c r="AE189" s="3" t="s">
        <v>58</v>
      </c>
      <c r="AF189" s="3" t="s">
        <v>50</v>
      </c>
      <c r="AG189" s="3" t="s">
        <v>74</v>
      </c>
      <c r="AH189" s="3" t="s">
        <v>75</v>
      </c>
      <c r="AI189" s="2">
        <v>1</v>
      </c>
      <c r="AJ189" s="2">
        <v>0</v>
      </c>
      <c r="AK189" s="2">
        <v>0</v>
      </c>
      <c r="AL189" s="2">
        <v>1</v>
      </c>
      <c r="AM189" s="2">
        <v>0</v>
      </c>
      <c r="AN189" s="2">
        <v>1</v>
      </c>
      <c r="AO189" s="2" t="s">
        <v>61</v>
      </c>
      <c r="AP189" s="16">
        <v>1159</v>
      </c>
      <c r="AQ189" s="16">
        <v>409.8</v>
      </c>
      <c r="AR189" s="4">
        <f t="shared" si="34"/>
        <v>0.26121876593574711</v>
      </c>
      <c r="AS189" s="18">
        <f t="shared" ref="AS189:AS220" si="37">IF(AQ189&lt;&gt;"", Y189/6.25,"")</f>
        <v>340.96</v>
      </c>
      <c r="AT189">
        <f t="shared" si="33"/>
        <v>0.83201561737432883</v>
      </c>
      <c r="AU189">
        <f t="shared" ref="AU189:AU194" si="38">IF(AQ189&lt;&gt;"",2.27*M189,"")</f>
        <v>265.58999999999997</v>
      </c>
      <c r="AV189" s="9">
        <f t="shared" si="28"/>
        <v>0.64809663250366023</v>
      </c>
    </row>
    <row r="190" spans="1:48" x14ac:dyDescent="0.3">
      <c r="A190" s="23">
        <v>246</v>
      </c>
      <c r="B190" t="s">
        <v>327</v>
      </c>
      <c r="C190" s="1">
        <v>12744</v>
      </c>
      <c r="D190" t="s">
        <v>43</v>
      </c>
      <c r="E190" t="s">
        <v>44</v>
      </c>
      <c r="F190" t="s">
        <v>82</v>
      </c>
      <c r="G190" s="2">
        <v>1984</v>
      </c>
      <c r="H190" s="2" t="s">
        <v>131</v>
      </c>
      <c r="I190" s="2" t="str">
        <f t="shared" si="29"/>
        <v>&gt;1980</v>
      </c>
      <c r="J190" s="2">
        <v>64</v>
      </c>
      <c r="K190" s="2">
        <f>MROUND(J190,10)</f>
        <v>60</v>
      </c>
      <c r="L190" s="2">
        <v>217</v>
      </c>
      <c r="M190" s="2">
        <v>153</v>
      </c>
      <c r="N190" s="2">
        <v>5</v>
      </c>
      <c r="O190" s="2">
        <v>0</v>
      </c>
      <c r="P190" s="2">
        <v>2</v>
      </c>
      <c r="Q190" s="2">
        <v>1</v>
      </c>
      <c r="R190" s="2">
        <v>17</v>
      </c>
      <c r="S190" s="2">
        <v>17</v>
      </c>
      <c r="T190" s="2">
        <v>24</v>
      </c>
      <c r="U190" s="2">
        <v>56.9</v>
      </c>
      <c r="V190" s="1">
        <v>867</v>
      </c>
      <c r="W190" s="2">
        <v>3457.4</v>
      </c>
      <c r="X190" s="2">
        <v>909.1</v>
      </c>
      <c r="Y190" s="1">
        <v>3348</v>
      </c>
      <c r="Z190" s="2" t="s">
        <v>47</v>
      </c>
      <c r="AA190" s="2">
        <v>13</v>
      </c>
      <c r="AB190" s="2">
        <v>9</v>
      </c>
      <c r="AD190" s="3" t="s">
        <v>58</v>
      </c>
      <c r="AE190" s="3" t="s">
        <v>65</v>
      </c>
      <c r="AF190" s="3" t="s">
        <v>59</v>
      </c>
      <c r="AG190" s="3" t="s">
        <v>74</v>
      </c>
      <c r="AH190" s="3" t="s">
        <v>75</v>
      </c>
      <c r="AI190" s="2">
        <v>1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 t="s">
        <v>61</v>
      </c>
      <c r="AP190" s="1">
        <v>1215.4000000000001</v>
      </c>
      <c r="AQ190" s="1">
        <f>2.02*1.45*26+1.72*1.45*60+1.42*1.25*64+1.02*2.1+1.42*0.85*2+1.72*0.85+1.29*1.45+17*1.48*1.45</f>
        <v>383.7645</v>
      </c>
      <c r="AR190" s="4">
        <f t="shared" si="34"/>
        <v>0.23997812607771118</v>
      </c>
      <c r="AS190" s="18">
        <f t="shared" si="37"/>
        <v>535.67999999999995</v>
      </c>
      <c r="AT190">
        <f t="shared" si="33"/>
        <v>1.3958560523446017</v>
      </c>
      <c r="AU190">
        <f t="shared" si="38"/>
        <v>347.31</v>
      </c>
      <c r="AV190" s="9">
        <f t="shared" si="28"/>
        <v>0.9050081495292035</v>
      </c>
    </row>
    <row r="191" spans="1:48" x14ac:dyDescent="0.3">
      <c r="A191" s="23">
        <v>99</v>
      </c>
      <c r="B191" t="s">
        <v>42</v>
      </c>
      <c r="C191" s="1">
        <v>11222</v>
      </c>
      <c r="D191" t="s">
        <v>43</v>
      </c>
      <c r="E191" t="s">
        <v>44</v>
      </c>
      <c r="F191" t="s">
        <v>82</v>
      </c>
      <c r="G191" s="2">
        <v>1970</v>
      </c>
      <c r="H191" s="2" t="s">
        <v>57</v>
      </c>
      <c r="I191" s="2" t="str">
        <f t="shared" si="29"/>
        <v>1950-1980</v>
      </c>
      <c r="J191" s="2">
        <v>12</v>
      </c>
      <c r="K191" s="2">
        <f t="shared" si="26"/>
        <v>10</v>
      </c>
      <c r="L191" s="2">
        <v>51</v>
      </c>
      <c r="M191" s="2">
        <v>39</v>
      </c>
      <c r="N191" s="2">
        <v>3</v>
      </c>
      <c r="O191" s="2">
        <v>0</v>
      </c>
      <c r="P191" s="2">
        <v>1</v>
      </c>
      <c r="Q191" s="2">
        <v>1</v>
      </c>
      <c r="R191" s="2">
        <v>10.8</v>
      </c>
      <c r="S191" s="2">
        <v>11</v>
      </c>
      <c r="V191" s="1">
        <v>224</v>
      </c>
      <c r="W191" s="2">
        <v>691.4</v>
      </c>
      <c r="X191" s="2">
        <v>193.5</v>
      </c>
      <c r="Y191" s="1">
        <v>552.79999999999995</v>
      </c>
      <c r="Z191" s="2" t="s">
        <v>47</v>
      </c>
      <c r="AA191" s="2">
        <v>4</v>
      </c>
      <c r="AB191" s="2">
        <v>0</v>
      </c>
      <c r="AD191" s="3" t="s">
        <v>58</v>
      </c>
      <c r="AE191" s="3" t="s">
        <v>58</v>
      </c>
      <c r="AF191" s="3" t="s">
        <v>83</v>
      </c>
      <c r="AG191" s="3" t="s">
        <v>51</v>
      </c>
      <c r="AH191" s="3" t="s">
        <v>75</v>
      </c>
      <c r="AI191" s="2">
        <v>0</v>
      </c>
      <c r="AJ191" s="2">
        <v>1</v>
      </c>
      <c r="AK191" s="2">
        <v>0</v>
      </c>
      <c r="AL191" s="2">
        <v>0</v>
      </c>
      <c r="AM191" s="2">
        <v>0</v>
      </c>
      <c r="AN191" s="2">
        <v>1</v>
      </c>
      <c r="AO191" s="2" t="s">
        <v>84</v>
      </c>
      <c r="AP191" s="1">
        <f>369.5+52.7</f>
        <v>422.2</v>
      </c>
      <c r="AQ191" s="1">
        <f>15.7+48.7+15.7+49.3</f>
        <v>129.4</v>
      </c>
      <c r="AR191" s="4">
        <f t="shared" si="34"/>
        <v>0.23459028281363306</v>
      </c>
      <c r="AS191" s="18">
        <f t="shared" si="37"/>
        <v>88.447999999999993</v>
      </c>
      <c r="AT191">
        <f t="shared" si="33"/>
        <v>0.68352395672333843</v>
      </c>
      <c r="AU191">
        <f t="shared" si="38"/>
        <v>88.53</v>
      </c>
      <c r="AV191" s="9">
        <f t="shared" si="28"/>
        <v>0.68415765069551771</v>
      </c>
    </row>
    <row r="192" spans="1:48" x14ac:dyDescent="0.3">
      <c r="A192" s="23">
        <v>276</v>
      </c>
      <c r="B192" t="s">
        <v>42</v>
      </c>
      <c r="C192" s="1">
        <v>11222</v>
      </c>
      <c r="D192" t="s">
        <v>43</v>
      </c>
      <c r="E192" t="s">
        <v>44</v>
      </c>
      <c r="F192" t="s">
        <v>266</v>
      </c>
      <c r="G192" s="2">
        <v>1972</v>
      </c>
      <c r="H192" s="2" t="s">
        <v>69</v>
      </c>
      <c r="I192" s="2" t="str">
        <f t="shared" si="29"/>
        <v>1950-1980</v>
      </c>
      <c r="J192" s="2">
        <v>162</v>
      </c>
      <c r="K192" s="2">
        <f t="shared" si="26"/>
        <v>160</v>
      </c>
      <c r="L192" s="2">
        <v>756</v>
      </c>
      <c r="M192" s="2">
        <v>594</v>
      </c>
      <c r="N192" s="2">
        <v>9</v>
      </c>
      <c r="O192" s="2">
        <v>5</v>
      </c>
      <c r="P192" s="2">
        <v>5</v>
      </c>
      <c r="Q192" s="2">
        <v>0</v>
      </c>
      <c r="R192" s="2">
        <v>32.4</v>
      </c>
      <c r="S192" s="2">
        <v>32.5</v>
      </c>
      <c r="V192" s="1">
        <v>1534</v>
      </c>
      <c r="W192" s="2">
        <v>12298.4</v>
      </c>
      <c r="X192" s="2">
        <v>1747.5</v>
      </c>
      <c r="Y192" s="1">
        <v>9557.2999999999993</v>
      </c>
      <c r="Z192" s="2" t="s">
        <v>47</v>
      </c>
      <c r="AA192" s="2">
        <v>4</v>
      </c>
      <c r="AB192" s="2">
        <v>0</v>
      </c>
      <c r="AD192" s="3" t="s">
        <v>58</v>
      </c>
      <c r="AE192" s="3" t="s">
        <v>115</v>
      </c>
      <c r="AF192" s="3" t="s">
        <v>59</v>
      </c>
      <c r="AG192" s="3" t="s">
        <v>74</v>
      </c>
      <c r="AH192" s="3" t="s">
        <v>75</v>
      </c>
      <c r="AI192" s="2">
        <v>1</v>
      </c>
      <c r="AJ192" s="2">
        <v>0</v>
      </c>
      <c r="AK192" s="2">
        <v>0</v>
      </c>
      <c r="AL192" s="2">
        <v>0</v>
      </c>
      <c r="AM192" s="2">
        <v>1</v>
      </c>
      <c r="AN192" s="2">
        <v>1</v>
      </c>
      <c r="AO192" s="2" t="s">
        <v>76</v>
      </c>
      <c r="AP192" s="1">
        <f>3921+588+638</f>
        <v>5147</v>
      </c>
      <c r="AQ192" s="1">
        <f>21.3+1086+1256+21.3</f>
        <v>2384.6000000000004</v>
      </c>
      <c r="AR192" s="4">
        <f t="shared" si="34"/>
        <v>0.31661267194221682</v>
      </c>
      <c r="AS192" s="18">
        <f t="shared" si="37"/>
        <v>1529.1679999999999</v>
      </c>
      <c r="AT192">
        <f t="shared" si="33"/>
        <v>0.64126813721378828</v>
      </c>
      <c r="AU192">
        <f t="shared" si="38"/>
        <v>1348.38</v>
      </c>
      <c r="AV192" s="9">
        <f t="shared" si="28"/>
        <v>0.56545332550532579</v>
      </c>
    </row>
    <row r="193" spans="1:49" x14ac:dyDescent="0.3">
      <c r="A193" s="23">
        <v>379</v>
      </c>
      <c r="B193" t="s">
        <v>42</v>
      </c>
      <c r="C193" s="1">
        <v>11222</v>
      </c>
      <c r="D193" t="s">
        <v>43</v>
      </c>
      <c r="E193" t="s">
        <v>44</v>
      </c>
      <c r="F193" t="s">
        <v>62</v>
      </c>
      <c r="G193" s="2">
        <v>1959</v>
      </c>
      <c r="H193" s="2" t="s">
        <v>63</v>
      </c>
      <c r="I193" s="2" t="str">
        <f t="shared" si="29"/>
        <v>1950-1980</v>
      </c>
      <c r="J193" s="2">
        <v>24</v>
      </c>
      <c r="K193" s="2">
        <f t="shared" si="26"/>
        <v>20</v>
      </c>
      <c r="L193" s="2">
        <v>95</v>
      </c>
      <c r="M193" s="2">
        <v>71</v>
      </c>
      <c r="N193" s="2">
        <v>4</v>
      </c>
      <c r="O193" s="2">
        <v>0</v>
      </c>
      <c r="P193" s="2">
        <v>2</v>
      </c>
      <c r="Q193" s="2">
        <v>1</v>
      </c>
      <c r="R193" s="2">
        <v>16</v>
      </c>
      <c r="S193" s="2">
        <v>16</v>
      </c>
      <c r="V193" s="1">
        <v>430</v>
      </c>
      <c r="W193" s="2">
        <v>1701.6</v>
      </c>
      <c r="X193" s="2">
        <v>459.7</v>
      </c>
      <c r="Y193" s="1">
        <v>1282</v>
      </c>
      <c r="Z193" s="2" t="s">
        <v>47</v>
      </c>
      <c r="AA193" s="2">
        <v>4</v>
      </c>
      <c r="AB193" s="2">
        <v>0</v>
      </c>
      <c r="AD193" s="3" t="s">
        <v>58</v>
      </c>
      <c r="AE193" s="3" t="s">
        <v>49</v>
      </c>
      <c r="AF193" s="3" t="s">
        <v>50</v>
      </c>
      <c r="AG193" s="3" t="s">
        <v>51</v>
      </c>
      <c r="AH193" s="3" t="s">
        <v>75</v>
      </c>
      <c r="AI193" s="2">
        <v>0</v>
      </c>
      <c r="AJ193" s="2">
        <v>1</v>
      </c>
      <c r="AK193" s="2">
        <v>0</v>
      </c>
      <c r="AL193" s="2">
        <v>0</v>
      </c>
      <c r="AM193" s="2">
        <v>1</v>
      </c>
      <c r="AN193" s="2">
        <v>1</v>
      </c>
      <c r="AO193" s="2" t="s">
        <v>76</v>
      </c>
      <c r="AP193" s="1">
        <v>1130.5999999999999</v>
      </c>
      <c r="AQ193" s="1">
        <f>89.4+92.2+28.2*2</f>
        <v>238.00000000000003</v>
      </c>
      <c r="AR193" s="4">
        <f t="shared" si="34"/>
        <v>0.17390033610989336</v>
      </c>
      <c r="AS193" s="18">
        <f t="shared" si="37"/>
        <v>205.12</v>
      </c>
      <c r="AT193">
        <f t="shared" si="33"/>
        <v>0.86184873949579821</v>
      </c>
      <c r="AU193">
        <f t="shared" si="38"/>
        <v>161.16999999999999</v>
      </c>
      <c r="AV193" s="9">
        <f t="shared" si="28"/>
        <v>0.67718487394957971</v>
      </c>
    </row>
    <row r="194" spans="1:49" x14ac:dyDescent="0.3">
      <c r="A194" s="23">
        <v>149</v>
      </c>
      <c r="B194" t="s">
        <v>42</v>
      </c>
      <c r="C194" s="1">
        <v>11222</v>
      </c>
      <c r="D194" t="s">
        <v>43</v>
      </c>
      <c r="E194" t="s">
        <v>44</v>
      </c>
      <c r="F194" t="s">
        <v>266</v>
      </c>
      <c r="G194" s="2">
        <v>1970</v>
      </c>
      <c r="H194" s="2" t="s">
        <v>57</v>
      </c>
      <c r="I194" s="2" t="str">
        <f t="shared" si="29"/>
        <v>1950-1980</v>
      </c>
      <c r="J194" s="2">
        <v>54</v>
      </c>
      <c r="K194" s="2">
        <f t="shared" ref="K194:K255" si="39">MROUND(J194,10)</f>
        <v>50</v>
      </c>
      <c r="L194" s="2">
        <v>270</v>
      </c>
      <c r="M194" s="2">
        <v>216</v>
      </c>
      <c r="N194" s="2">
        <v>10</v>
      </c>
      <c r="O194" s="2">
        <v>2</v>
      </c>
      <c r="P194" s="2">
        <v>2</v>
      </c>
      <c r="Q194" s="2">
        <v>0</v>
      </c>
      <c r="R194" s="2">
        <v>30.4</v>
      </c>
      <c r="S194" s="2">
        <v>30.5</v>
      </c>
      <c r="T194" s="2">
        <v>13.5</v>
      </c>
      <c r="U194" s="2">
        <v>48.6</v>
      </c>
      <c r="V194" s="1">
        <v>641.6</v>
      </c>
      <c r="W194" s="2">
        <v>4974.7</v>
      </c>
      <c r="X194" s="2">
        <v>797.3</v>
      </c>
      <c r="Y194" s="1">
        <v>4356.8999999999996</v>
      </c>
      <c r="Z194" s="2" t="s">
        <v>47</v>
      </c>
      <c r="AA194" s="2">
        <v>4</v>
      </c>
      <c r="AB194" s="2">
        <v>0</v>
      </c>
      <c r="AD194" s="3" t="s">
        <v>58</v>
      </c>
      <c r="AE194" s="3" t="s">
        <v>58</v>
      </c>
      <c r="AF194" s="3" t="s">
        <v>50</v>
      </c>
      <c r="AG194" s="3" t="s">
        <v>74</v>
      </c>
      <c r="AH194" s="3" t="s">
        <v>100</v>
      </c>
      <c r="AI194" s="2">
        <v>1</v>
      </c>
      <c r="AJ194" s="2">
        <v>0</v>
      </c>
      <c r="AK194" s="2">
        <v>0</v>
      </c>
      <c r="AL194" s="2">
        <v>1</v>
      </c>
      <c r="AM194" s="2">
        <v>0</v>
      </c>
      <c r="AN194" s="2">
        <v>1</v>
      </c>
      <c r="AO194" s="2" t="s">
        <v>88</v>
      </c>
      <c r="AP194" s="1">
        <f>2933.8</f>
        <v>2933.8</v>
      </c>
      <c r="AQ194" s="1">
        <f>465.4</f>
        <v>465.4</v>
      </c>
      <c r="AR194" s="4">
        <f t="shared" si="34"/>
        <v>0.1369145681336785</v>
      </c>
      <c r="AS194" s="18">
        <f t="shared" si="37"/>
        <v>697.10399999999993</v>
      </c>
      <c r="AT194">
        <f t="shared" si="33"/>
        <v>1.4978599054576707</v>
      </c>
      <c r="AU194">
        <f t="shared" si="38"/>
        <v>490.32</v>
      </c>
      <c r="AV194" s="9">
        <f t="shared" ref="AV194:AV257" si="40">IF(AQ194&lt;&gt;"",AU194/AQ194,"")</f>
        <v>1.0535453373442201</v>
      </c>
    </row>
    <row r="195" spans="1:49" x14ac:dyDescent="0.3">
      <c r="A195" s="23">
        <v>98</v>
      </c>
      <c r="B195" t="s">
        <v>42</v>
      </c>
      <c r="C195" s="1">
        <v>11222</v>
      </c>
      <c r="D195" t="s">
        <v>43</v>
      </c>
      <c r="E195" t="s">
        <v>44</v>
      </c>
      <c r="F195" t="s">
        <v>172</v>
      </c>
      <c r="G195" s="2">
        <v>1958</v>
      </c>
      <c r="H195" s="2" t="s">
        <v>63</v>
      </c>
      <c r="I195" s="2" t="str">
        <f t="shared" ref="I195:I258" si="41">IF(G195&lt;1951,"&lt;1950",IF(G195&lt;1981,"1950-1980","&gt;1980"))</f>
        <v>1950-1980</v>
      </c>
      <c r="J195" s="2">
        <v>18</v>
      </c>
      <c r="K195" s="2">
        <f t="shared" si="39"/>
        <v>20</v>
      </c>
      <c r="L195" s="2">
        <v>72</v>
      </c>
      <c r="M195" s="2">
        <v>54</v>
      </c>
      <c r="N195" s="2">
        <v>3</v>
      </c>
      <c r="O195" s="2">
        <v>0</v>
      </c>
      <c r="P195" s="2">
        <v>2</v>
      </c>
      <c r="Q195" s="2">
        <v>0</v>
      </c>
      <c r="R195" s="2">
        <v>11.3</v>
      </c>
      <c r="S195" s="2">
        <v>11.5</v>
      </c>
      <c r="T195" s="2">
        <v>13.2</v>
      </c>
      <c r="U195" s="2">
        <v>35</v>
      </c>
      <c r="V195" s="1">
        <v>445</v>
      </c>
      <c r="W195" s="2">
        <v>1031.0999999999999</v>
      </c>
      <c r="X195" s="2">
        <v>90.4</v>
      </c>
      <c r="Y195" s="1">
        <v>1031.0999999999999</v>
      </c>
      <c r="Z195" s="2" t="s">
        <v>47</v>
      </c>
      <c r="AA195" s="2">
        <v>4</v>
      </c>
      <c r="AB195" s="2">
        <v>0</v>
      </c>
      <c r="AD195" s="3" t="s">
        <v>58</v>
      </c>
      <c r="AE195" s="3" t="s">
        <v>66</v>
      </c>
      <c r="AF195" s="3" t="s">
        <v>50</v>
      </c>
      <c r="AG195" s="3" t="s">
        <v>51</v>
      </c>
      <c r="AH195" s="3" t="s">
        <v>81</v>
      </c>
      <c r="AI195" s="2">
        <v>0</v>
      </c>
      <c r="AJ195" s="2">
        <v>1</v>
      </c>
      <c r="AK195" s="2">
        <v>0</v>
      </c>
      <c r="AL195" s="2">
        <v>0</v>
      </c>
      <c r="AM195" s="2">
        <v>0</v>
      </c>
      <c r="AN195" s="2">
        <v>1</v>
      </c>
      <c r="AO195" s="2" t="s">
        <v>61</v>
      </c>
      <c r="AR195" s="4"/>
      <c r="AS195" s="18" t="str">
        <f t="shared" si="37"/>
        <v/>
      </c>
      <c r="AT195" t="str">
        <f t="shared" si="33"/>
        <v/>
      </c>
      <c r="AU195" t="str">
        <f>IF(AQ195&lt;&gt;"",2.3*M195,"")</f>
        <v/>
      </c>
      <c r="AV195" s="9" t="str">
        <f t="shared" si="40"/>
        <v/>
      </c>
    </row>
    <row r="196" spans="1:49" x14ac:dyDescent="0.3">
      <c r="A196" s="23">
        <v>297</v>
      </c>
      <c r="B196" t="s">
        <v>42</v>
      </c>
      <c r="C196" s="1">
        <v>11222</v>
      </c>
      <c r="D196" t="s">
        <v>43</v>
      </c>
      <c r="E196" t="s">
        <v>44</v>
      </c>
      <c r="F196" t="s">
        <v>62</v>
      </c>
      <c r="G196" s="2">
        <v>1938</v>
      </c>
      <c r="H196" s="2" t="s">
        <v>111</v>
      </c>
      <c r="I196" s="2" t="str">
        <f t="shared" si="41"/>
        <v>&lt;1950</v>
      </c>
      <c r="J196" s="2">
        <v>12</v>
      </c>
      <c r="K196" s="2">
        <f t="shared" si="39"/>
        <v>10</v>
      </c>
      <c r="L196" s="2">
        <v>57</v>
      </c>
      <c r="M196" s="2">
        <v>45</v>
      </c>
      <c r="N196" s="2">
        <v>3</v>
      </c>
      <c r="O196" s="2">
        <v>0</v>
      </c>
      <c r="P196" s="2">
        <v>1</v>
      </c>
      <c r="Q196" s="2">
        <v>1</v>
      </c>
      <c r="R196" s="2">
        <v>12.3</v>
      </c>
      <c r="S196" s="2">
        <v>12.5</v>
      </c>
      <c r="V196" s="1">
        <v>278</v>
      </c>
      <c r="W196" s="2">
        <v>836.5</v>
      </c>
      <c r="X196" s="2">
        <v>237.5</v>
      </c>
      <c r="Y196" s="1">
        <v>641</v>
      </c>
      <c r="Z196" s="2" t="s">
        <v>47</v>
      </c>
      <c r="AA196" s="2">
        <v>4</v>
      </c>
      <c r="AB196" s="2">
        <v>0</v>
      </c>
      <c r="AD196" s="3" t="s">
        <v>58</v>
      </c>
      <c r="AE196" s="3" t="s">
        <v>49</v>
      </c>
      <c r="AF196" s="3" t="s">
        <v>50</v>
      </c>
      <c r="AG196" s="3" t="s">
        <v>51</v>
      </c>
      <c r="AH196" s="3" t="s">
        <v>81</v>
      </c>
      <c r="AI196" s="2">
        <v>0</v>
      </c>
      <c r="AJ196" s="2">
        <v>1</v>
      </c>
      <c r="AK196" s="2">
        <v>0</v>
      </c>
      <c r="AL196" s="2">
        <v>0</v>
      </c>
      <c r="AM196" s="2">
        <v>0</v>
      </c>
      <c r="AN196" s="2">
        <v>1</v>
      </c>
      <c r="AO196" s="2" t="s">
        <v>84</v>
      </c>
      <c r="AP196" s="1">
        <f>215.8+408.5</f>
        <v>624.29999999999995</v>
      </c>
      <c r="AQ196" s="1">
        <v>121</v>
      </c>
      <c r="AR196" s="4">
        <f t="shared" ref="AR196:AR209" si="42">AQ196/(AP196+AQ196)</f>
        <v>0.16235073124916141</v>
      </c>
      <c r="AS196" s="18">
        <f t="shared" si="37"/>
        <v>102.56</v>
      </c>
      <c r="AT196">
        <f t="shared" si="33"/>
        <v>0.84760330578512399</v>
      </c>
      <c r="AU196">
        <f t="shared" ref="AU196:AU209" si="43">IF(AQ196&lt;&gt;"",2.27*M196,"")</f>
        <v>102.15</v>
      </c>
      <c r="AV196" s="9">
        <f t="shared" si="40"/>
        <v>0.84421487603305789</v>
      </c>
    </row>
    <row r="197" spans="1:49" x14ac:dyDescent="0.3">
      <c r="A197" s="23">
        <v>280</v>
      </c>
      <c r="B197" t="s">
        <v>42</v>
      </c>
      <c r="C197" s="1">
        <v>11222</v>
      </c>
      <c r="D197" t="s">
        <v>43</v>
      </c>
      <c r="E197" t="s">
        <v>44</v>
      </c>
      <c r="F197" t="s">
        <v>82</v>
      </c>
      <c r="G197" s="2">
        <v>1989</v>
      </c>
      <c r="H197" s="2" t="s">
        <v>131</v>
      </c>
      <c r="I197" s="2" t="str">
        <f t="shared" si="41"/>
        <v>&gt;1980</v>
      </c>
      <c r="J197" s="2">
        <v>33</v>
      </c>
      <c r="K197" s="2">
        <f t="shared" si="39"/>
        <v>30</v>
      </c>
      <c r="L197" s="2">
        <v>135</v>
      </c>
      <c r="M197" s="2">
        <v>102</v>
      </c>
      <c r="N197" s="2">
        <v>7</v>
      </c>
      <c r="O197" s="2">
        <v>2</v>
      </c>
      <c r="P197" s="2">
        <v>2</v>
      </c>
      <c r="Q197" s="2">
        <v>0</v>
      </c>
      <c r="R197" s="2">
        <v>23.9</v>
      </c>
      <c r="S197" s="2">
        <v>24</v>
      </c>
      <c r="T197" s="2">
        <v>24.6</v>
      </c>
      <c r="U197" s="2">
        <v>36.200000000000003</v>
      </c>
      <c r="V197" s="1">
        <v>533.6</v>
      </c>
      <c r="W197" s="2">
        <v>2566</v>
      </c>
      <c r="X197" s="2">
        <v>655.20000000000005</v>
      </c>
      <c r="Y197" s="1">
        <v>2520</v>
      </c>
      <c r="Z197" s="2" t="s">
        <v>47</v>
      </c>
      <c r="AA197" s="2">
        <v>8</v>
      </c>
      <c r="AB197" s="2">
        <v>4</v>
      </c>
      <c r="AD197" s="3" t="s">
        <v>58</v>
      </c>
      <c r="AE197" s="3" t="s">
        <v>58</v>
      </c>
      <c r="AF197" s="3" t="s">
        <v>50</v>
      </c>
      <c r="AG197" s="3" t="s">
        <v>51</v>
      </c>
      <c r="AH197" s="3" t="s">
        <v>81</v>
      </c>
      <c r="AI197" s="2">
        <v>0</v>
      </c>
      <c r="AJ197" s="2">
        <v>1</v>
      </c>
      <c r="AK197" s="2">
        <v>0</v>
      </c>
      <c r="AL197" s="2">
        <v>0</v>
      </c>
      <c r="AM197" s="2">
        <v>1</v>
      </c>
      <c r="AN197" s="2">
        <v>1</v>
      </c>
      <c r="AO197" s="2" t="s">
        <v>76</v>
      </c>
      <c r="AP197" s="1">
        <v>1199</v>
      </c>
      <c r="AQ197" s="1">
        <f>282+269+15</f>
        <v>566</v>
      </c>
      <c r="AR197" s="4">
        <f t="shared" si="42"/>
        <v>0.32067988668555242</v>
      </c>
      <c r="AS197" s="18">
        <f t="shared" si="37"/>
        <v>403.2</v>
      </c>
      <c r="AT197">
        <f t="shared" si="33"/>
        <v>0.71236749116607767</v>
      </c>
      <c r="AU197">
        <f t="shared" si="43"/>
        <v>231.54</v>
      </c>
      <c r="AV197" s="9">
        <f t="shared" si="40"/>
        <v>0.40908127208480566</v>
      </c>
    </row>
    <row r="198" spans="1:49" x14ac:dyDescent="0.3">
      <c r="A198" s="23">
        <v>198</v>
      </c>
      <c r="B198" t="s">
        <v>42</v>
      </c>
      <c r="C198" s="1">
        <v>11222</v>
      </c>
      <c r="D198" t="s">
        <v>43</v>
      </c>
      <c r="E198" t="s">
        <v>44</v>
      </c>
      <c r="F198" t="s">
        <v>62</v>
      </c>
      <c r="G198" s="2">
        <v>1968</v>
      </c>
      <c r="H198" s="2" t="s">
        <v>57</v>
      </c>
      <c r="I198" s="2" t="str">
        <f t="shared" si="41"/>
        <v>1950-1980</v>
      </c>
      <c r="J198" s="2">
        <v>18</v>
      </c>
      <c r="K198" s="2">
        <f t="shared" si="39"/>
        <v>20</v>
      </c>
      <c r="L198" s="2">
        <v>72</v>
      </c>
      <c r="M198" s="2">
        <v>54</v>
      </c>
      <c r="N198" s="2">
        <v>3</v>
      </c>
      <c r="O198" s="2">
        <v>0</v>
      </c>
      <c r="P198" s="2">
        <v>2</v>
      </c>
      <c r="Q198" s="2">
        <v>1</v>
      </c>
      <c r="R198" s="2">
        <v>10.9</v>
      </c>
      <c r="S198" s="2">
        <v>11</v>
      </c>
      <c r="T198" s="2">
        <v>11.3</v>
      </c>
      <c r="U198" s="2">
        <v>31</v>
      </c>
      <c r="V198" s="1">
        <v>337</v>
      </c>
      <c r="W198" s="2">
        <v>1022</v>
      </c>
      <c r="X198" s="2">
        <v>293.8</v>
      </c>
      <c r="Y198" s="1">
        <v>812</v>
      </c>
      <c r="Z198" s="2" t="s">
        <v>47</v>
      </c>
      <c r="AA198" s="2">
        <v>4</v>
      </c>
      <c r="AB198" s="2">
        <v>0</v>
      </c>
      <c r="AD198" s="3" t="s">
        <v>58</v>
      </c>
      <c r="AE198" s="3" t="s">
        <v>49</v>
      </c>
      <c r="AF198" s="3" t="s">
        <v>50</v>
      </c>
      <c r="AG198" s="3" t="s">
        <v>60</v>
      </c>
      <c r="AH198" s="3" t="s">
        <v>81</v>
      </c>
      <c r="AI198" s="2">
        <v>0</v>
      </c>
      <c r="AJ198" s="2">
        <v>1</v>
      </c>
      <c r="AK198" s="2">
        <v>0</v>
      </c>
      <c r="AL198" s="2">
        <v>0</v>
      </c>
      <c r="AM198" s="2">
        <v>0</v>
      </c>
      <c r="AN198" s="2">
        <v>1</v>
      </c>
      <c r="AO198" s="2" t="s">
        <v>103</v>
      </c>
      <c r="AP198" s="1">
        <v>533</v>
      </c>
      <c r="AQ198" s="1">
        <f>2*72</f>
        <v>144</v>
      </c>
      <c r="AR198" s="4">
        <f t="shared" si="42"/>
        <v>0.21270310192023634</v>
      </c>
      <c r="AS198" s="18">
        <f t="shared" si="37"/>
        <v>129.91999999999999</v>
      </c>
      <c r="AT198">
        <f t="shared" si="33"/>
        <v>0.90222222222222215</v>
      </c>
      <c r="AU198">
        <f t="shared" si="43"/>
        <v>122.58</v>
      </c>
      <c r="AV198" s="9">
        <f t="shared" si="40"/>
        <v>0.85124999999999995</v>
      </c>
    </row>
    <row r="199" spans="1:49" x14ac:dyDescent="0.3">
      <c r="A199" s="23">
        <v>21</v>
      </c>
      <c r="B199" t="s">
        <v>42</v>
      </c>
      <c r="C199" s="1">
        <v>12132</v>
      </c>
      <c r="D199" t="s">
        <v>43</v>
      </c>
      <c r="E199" t="s">
        <v>44</v>
      </c>
      <c r="F199" t="s">
        <v>172</v>
      </c>
      <c r="G199" s="2">
        <v>1983</v>
      </c>
      <c r="H199" s="2" t="s">
        <v>131</v>
      </c>
      <c r="I199" s="2" t="str">
        <f t="shared" si="41"/>
        <v>&gt;1980</v>
      </c>
      <c r="J199" s="2">
        <v>50</v>
      </c>
      <c r="K199" s="2">
        <f>MROUND(J199,10)</f>
        <v>50</v>
      </c>
      <c r="L199" s="2">
        <v>214</v>
      </c>
      <c r="M199" s="2">
        <v>164</v>
      </c>
      <c r="N199" s="2">
        <v>5</v>
      </c>
      <c r="O199" s="2">
        <v>0</v>
      </c>
      <c r="P199" s="2">
        <v>4</v>
      </c>
      <c r="Q199" s="2">
        <v>1</v>
      </c>
      <c r="R199" s="2">
        <v>17.3</v>
      </c>
      <c r="S199" s="2">
        <v>17.5</v>
      </c>
      <c r="T199" s="2">
        <v>18.600000000000001</v>
      </c>
      <c r="U199" s="2">
        <v>61.7</v>
      </c>
      <c r="V199" s="1">
        <v>888</v>
      </c>
      <c r="W199" s="2">
        <v>4109.6000000000004</v>
      </c>
      <c r="X199" s="2">
        <v>820.3</v>
      </c>
      <c r="Y199" s="1">
        <v>3392.7</v>
      </c>
      <c r="Z199" s="2" t="s">
        <v>47</v>
      </c>
      <c r="AA199" s="2">
        <v>21</v>
      </c>
      <c r="AB199" s="2">
        <v>17</v>
      </c>
      <c r="AD199" s="3" t="s">
        <v>80</v>
      </c>
      <c r="AE199" s="3" t="s">
        <v>58</v>
      </c>
      <c r="AF199" s="3" t="s">
        <v>50</v>
      </c>
      <c r="AG199" s="3" t="s">
        <v>74</v>
      </c>
      <c r="AH199" s="3" t="s">
        <v>324</v>
      </c>
      <c r="AI199" s="2">
        <v>1</v>
      </c>
      <c r="AJ199" s="2">
        <v>0</v>
      </c>
      <c r="AK199" s="2">
        <v>0</v>
      </c>
      <c r="AL199" s="2">
        <v>1</v>
      </c>
      <c r="AM199" s="2">
        <v>0</v>
      </c>
      <c r="AN199" s="2">
        <v>1</v>
      </c>
      <c r="AO199" s="2" t="s">
        <v>76</v>
      </c>
      <c r="AP199" s="1">
        <f>146.6+826.5+767.8+160.9</f>
        <v>1901.8000000000002</v>
      </c>
      <c r="AQ199" s="1">
        <f>155.3+104.9+206.5+106.8</f>
        <v>573.5</v>
      </c>
      <c r="AR199" s="4">
        <f t="shared" si="42"/>
        <v>0.23168908819133033</v>
      </c>
      <c r="AS199" s="18">
        <f t="shared" si="37"/>
        <v>542.83199999999999</v>
      </c>
      <c r="AT199">
        <f t="shared" si="33"/>
        <v>0.94652484742807319</v>
      </c>
      <c r="AU199">
        <f t="shared" si="43"/>
        <v>372.28000000000003</v>
      </c>
      <c r="AV199" s="9">
        <f t="shared" si="40"/>
        <v>0.64913687881429827</v>
      </c>
    </row>
    <row r="200" spans="1:49" x14ac:dyDescent="0.3">
      <c r="A200" s="23">
        <v>193</v>
      </c>
      <c r="B200" t="s">
        <v>42</v>
      </c>
      <c r="C200" s="1">
        <v>11222</v>
      </c>
      <c r="D200" t="s">
        <v>43</v>
      </c>
      <c r="E200" t="s">
        <v>44</v>
      </c>
      <c r="F200" t="s">
        <v>98</v>
      </c>
      <c r="G200" s="2">
        <v>1963</v>
      </c>
      <c r="H200" s="2" t="s">
        <v>57</v>
      </c>
      <c r="I200" s="2" t="str">
        <f t="shared" si="41"/>
        <v>1950-1980</v>
      </c>
      <c r="J200" s="2">
        <v>32</v>
      </c>
      <c r="K200" s="2">
        <f t="shared" si="39"/>
        <v>30</v>
      </c>
      <c r="L200" s="2">
        <v>131</v>
      </c>
      <c r="M200" s="2">
        <v>99</v>
      </c>
      <c r="N200" s="2">
        <v>4</v>
      </c>
      <c r="O200" s="2">
        <v>0</v>
      </c>
      <c r="P200" s="2">
        <v>2</v>
      </c>
      <c r="Q200" s="2">
        <v>1</v>
      </c>
      <c r="R200" s="2">
        <v>13.8</v>
      </c>
      <c r="S200" s="2">
        <v>14</v>
      </c>
      <c r="V200" s="1">
        <v>444</v>
      </c>
      <c r="W200" s="2">
        <v>1742.7</v>
      </c>
      <c r="X200" s="2">
        <v>408.4</v>
      </c>
      <c r="Y200" s="1">
        <v>1435.2</v>
      </c>
      <c r="Z200" s="2" t="s">
        <v>47</v>
      </c>
      <c r="AA200" s="2">
        <v>4</v>
      </c>
      <c r="AB200" s="2">
        <v>0</v>
      </c>
      <c r="AD200" s="3" t="s">
        <v>58</v>
      </c>
      <c r="AE200" s="3" t="s">
        <v>58</v>
      </c>
      <c r="AF200" s="3" t="s">
        <v>59</v>
      </c>
      <c r="AG200" s="3" t="s">
        <v>51</v>
      </c>
      <c r="AH200" s="3" t="s">
        <v>75</v>
      </c>
      <c r="AI200" s="2">
        <v>0</v>
      </c>
      <c r="AJ200" s="2">
        <v>1</v>
      </c>
      <c r="AK200" s="2">
        <v>0</v>
      </c>
      <c r="AL200" s="2">
        <v>0</v>
      </c>
      <c r="AM200" s="2">
        <v>0</v>
      </c>
      <c r="AN200" s="2">
        <v>1</v>
      </c>
      <c r="AO200" s="2" t="s">
        <v>88</v>
      </c>
      <c r="AP200" s="1">
        <v>887.3</v>
      </c>
      <c r="AQ200" s="1">
        <f>143.7+131.8+19.6+19.6</f>
        <v>314.70000000000005</v>
      </c>
      <c r="AR200" s="4">
        <f t="shared" si="42"/>
        <v>0.26181364392678874</v>
      </c>
      <c r="AS200" s="18">
        <f t="shared" si="37"/>
        <v>229.63200000000001</v>
      </c>
      <c r="AT200">
        <f t="shared" si="33"/>
        <v>0.72968541468064818</v>
      </c>
      <c r="AU200">
        <f t="shared" si="43"/>
        <v>224.73</v>
      </c>
      <c r="AV200" s="9">
        <f t="shared" si="40"/>
        <v>0.71410867492850316</v>
      </c>
    </row>
    <row r="201" spans="1:49" x14ac:dyDescent="0.3">
      <c r="A201" s="23">
        <v>339</v>
      </c>
      <c r="B201" t="s">
        <v>42</v>
      </c>
      <c r="C201" s="1">
        <v>12749</v>
      </c>
      <c r="D201" t="s">
        <v>43</v>
      </c>
      <c r="E201" t="s">
        <v>44</v>
      </c>
      <c r="F201" t="s">
        <v>98</v>
      </c>
      <c r="G201" s="2">
        <v>1980</v>
      </c>
      <c r="H201" s="2" t="s">
        <v>69</v>
      </c>
      <c r="I201" s="2" t="str">
        <f t="shared" si="41"/>
        <v>1950-1980</v>
      </c>
      <c r="J201" s="2">
        <v>60</v>
      </c>
      <c r="K201" s="2">
        <f>MROUND(J201,10)</f>
        <v>60</v>
      </c>
      <c r="L201" s="2">
        <v>205</v>
      </c>
      <c r="M201" s="2">
        <v>145</v>
      </c>
      <c r="N201" s="2">
        <v>5</v>
      </c>
      <c r="O201" s="2">
        <v>0</v>
      </c>
      <c r="P201" s="2">
        <v>3</v>
      </c>
      <c r="Q201" s="2">
        <v>1</v>
      </c>
      <c r="R201" s="2">
        <v>16.3</v>
      </c>
      <c r="S201" s="2">
        <v>16.5</v>
      </c>
      <c r="T201" s="2">
        <v>24</v>
      </c>
      <c r="U201" s="2">
        <v>58</v>
      </c>
      <c r="V201" s="1">
        <v>907</v>
      </c>
      <c r="W201" s="2">
        <v>3544</v>
      </c>
      <c r="X201" s="2">
        <v>1086.3</v>
      </c>
      <c r="Y201" s="1">
        <v>2952.2</v>
      </c>
      <c r="Z201" s="2" t="s">
        <v>47</v>
      </c>
      <c r="AA201" s="2">
        <v>8</v>
      </c>
      <c r="AB201" s="2">
        <v>4</v>
      </c>
      <c r="AD201" s="3" t="s">
        <v>58</v>
      </c>
      <c r="AE201" s="3" t="s">
        <v>139</v>
      </c>
      <c r="AF201" s="3" t="s">
        <v>139</v>
      </c>
      <c r="AG201" s="3" t="s">
        <v>74</v>
      </c>
      <c r="AH201" s="3" t="s">
        <v>100</v>
      </c>
      <c r="AI201" s="2">
        <v>1</v>
      </c>
      <c r="AJ201" s="2">
        <v>0</v>
      </c>
      <c r="AK201" s="2">
        <v>0</v>
      </c>
      <c r="AL201" s="2">
        <v>1</v>
      </c>
      <c r="AM201" s="2">
        <v>0</v>
      </c>
      <c r="AN201" s="2">
        <v>1</v>
      </c>
      <c r="AO201" s="2" t="s">
        <v>88</v>
      </c>
      <c r="AP201" s="1">
        <f>392+773</f>
        <v>1165</v>
      </c>
      <c r="AQ201" s="1">
        <f>504.8</f>
        <v>504.8</v>
      </c>
      <c r="AR201" s="4">
        <f t="shared" si="42"/>
        <v>0.30231165409031024</v>
      </c>
      <c r="AS201" s="18">
        <f t="shared" si="37"/>
        <v>472.35199999999998</v>
      </c>
      <c r="AT201">
        <f t="shared" si="33"/>
        <v>0.93572107765451662</v>
      </c>
      <c r="AU201">
        <f t="shared" si="43"/>
        <v>329.15</v>
      </c>
      <c r="AV201" s="9">
        <f t="shared" si="40"/>
        <v>0.65204041204437391</v>
      </c>
    </row>
    <row r="202" spans="1:49" x14ac:dyDescent="0.3">
      <c r="A202" s="23">
        <v>338</v>
      </c>
      <c r="B202" t="s">
        <v>42</v>
      </c>
      <c r="C202" s="1">
        <v>11222</v>
      </c>
      <c r="D202" t="s">
        <v>43</v>
      </c>
      <c r="E202" t="s">
        <v>44</v>
      </c>
      <c r="F202" t="s">
        <v>172</v>
      </c>
      <c r="G202" s="2">
        <v>1926</v>
      </c>
      <c r="H202" s="2" t="s">
        <v>173</v>
      </c>
      <c r="I202" s="2" t="str">
        <f t="shared" si="41"/>
        <v>&lt;1950</v>
      </c>
      <c r="J202" s="2">
        <v>10</v>
      </c>
      <c r="K202" s="2">
        <f t="shared" si="39"/>
        <v>10</v>
      </c>
      <c r="L202" s="2">
        <v>68</v>
      </c>
      <c r="M202" s="2">
        <v>58</v>
      </c>
      <c r="N202" s="2">
        <v>5</v>
      </c>
      <c r="O202" s="2">
        <v>0</v>
      </c>
      <c r="P202" s="2">
        <v>1</v>
      </c>
      <c r="Q202" s="2">
        <v>1</v>
      </c>
      <c r="R202" s="2">
        <v>23.3</v>
      </c>
      <c r="S202" s="2">
        <v>23.5</v>
      </c>
      <c r="V202" s="1">
        <v>246</v>
      </c>
      <c r="W202" s="2">
        <v>1079.2</v>
      </c>
      <c r="X202" s="2">
        <v>263.89999999999998</v>
      </c>
      <c r="Y202" s="1">
        <v>833.3</v>
      </c>
      <c r="Z202" s="2" t="s">
        <v>47</v>
      </c>
      <c r="AA202" s="2">
        <v>4</v>
      </c>
      <c r="AB202" s="2">
        <v>0</v>
      </c>
      <c r="AD202" s="3" t="s">
        <v>58</v>
      </c>
      <c r="AE202" s="3" t="s">
        <v>58</v>
      </c>
      <c r="AF202" s="3" t="s">
        <v>59</v>
      </c>
      <c r="AG202" s="3" t="s">
        <v>174</v>
      </c>
      <c r="AH202" s="3" t="s">
        <v>81</v>
      </c>
      <c r="AI202" s="2">
        <v>0</v>
      </c>
      <c r="AJ202" s="2">
        <v>1</v>
      </c>
      <c r="AK202" s="2">
        <v>0</v>
      </c>
      <c r="AL202" s="2">
        <v>0</v>
      </c>
      <c r="AM202" s="2">
        <v>0</v>
      </c>
      <c r="AN202" s="2">
        <v>1</v>
      </c>
      <c r="AO202" s="2" t="s">
        <v>61</v>
      </c>
      <c r="AP202" s="1">
        <f>196.5+211.7+127.8</f>
        <v>536</v>
      </c>
      <c r="AQ202" s="1">
        <f>102.5+73+22.1</f>
        <v>197.6</v>
      </c>
      <c r="AR202" s="4">
        <f t="shared" si="42"/>
        <v>0.26935659760087238</v>
      </c>
      <c r="AS202" s="18">
        <f t="shared" si="37"/>
        <v>133.328</v>
      </c>
      <c r="AT202">
        <f t="shared" si="33"/>
        <v>0.67473684210526319</v>
      </c>
      <c r="AU202">
        <f t="shared" si="43"/>
        <v>131.66</v>
      </c>
      <c r="AV202" s="9">
        <f t="shared" si="40"/>
        <v>0.66629554655870449</v>
      </c>
    </row>
    <row r="203" spans="1:49" x14ac:dyDescent="0.3">
      <c r="A203" s="24" t="s">
        <v>363</v>
      </c>
      <c r="B203" t="s">
        <v>42</v>
      </c>
      <c r="C203" s="2">
        <v>11222</v>
      </c>
      <c r="D203" t="s">
        <v>43</v>
      </c>
      <c r="E203" t="s">
        <v>44</v>
      </c>
      <c r="F203" t="s">
        <v>82</v>
      </c>
      <c r="G203" s="2">
        <v>1985</v>
      </c>
      <c r="H203" s="2" t="s">
        <v>131</v>
      </c>
      <c r="I203" s="2" t="str">
        <f t="shared" si="41"/>
        <v>&gt;1980</v>
      </c>
      <c r="J203" s="14">
        <v>56</v>
      </c>
      <c r="K203" s="2">
        <f t="shared" si="39"/>
        <v>60</v>
      </c>
      <c r="L203" s="14">
        <f>148+56*2</f>
        <v>260</v>
      </c>
      <c r="M203" s="14">
        <f>148+56</f>
        <v>204</v>
      </c>
      <c r="N203" s="2">
        <v>7</v>
      </c>
      <c r="O203" s="2">
        <v>1</v>
      </c>
      <c r="P203" s="2">
        <v>4</v>
      </c>
      <c r="Q203" s="2">
        <v>0</v>
      </c>
      <c r="R203" s="2">
        <v>24</v>
      </c>
      <c r="S203" s="2">
        <v>24</v>
      </c>
      <c r="T203" s="2">
        <v>24</v>
      </c>
      <c r="U203" s="2">
        <v>73</v>
      </c>
      <c r="V203" s="2">
        <v>1313</v>
      </c>
      <c r="W203" s="2">
        <v>5128.1000000000004</v>
      </c>
      <c r="Y203" s="2">
        <v>4193.7</v>
      </c>
      <c r="Z203" s="2" t="s">
        <v>47</v>
      </c>
      <c r="AA203" s="2">
        <v>12</v>
      </c>
      <c r="AB203" s="2">
        <v>8</v>
      </c>
      <c r="AC203"/>
      <c r="AD203" s="3" t="s">
        <v>95</v>
      </c>
      <c r="AE203" s="3" t="s">
        <v>58</v>
      </c>
      <c r="AF203" s="3" t="s">
        <v>50</v>
      </c>
      <c r="AG203" s="3" t="s">
        <v>74</v>
      </c>
      <c r="AH203" s="3" t="s">
        <v>81</v>
      </c>
      <c r="AI203" s="2">
        <v>0</v>
      </c>
      <c r="AJ203" s="2">
        <v>1</v>
      </c>
      <c r="AK203" s="2">
        <v>0</v>
      </c>
      <c r="AL203" s="2">
        <v>0</v>
      </c>
      <c r="AM203" s="2">
        <v>1</v>
      </c>
      <c r="AN203" s="2">
        <v>1</v>
      </c>
      <c r="AO203" s="2" t="s">
        <v>76</v>
      </c>
      <c r="AP203" s="2">
        <v>2206</v>
      </c>
      <c r="AQ203" s="2">
        <v>664.4</v>
      </c>
      <c r="AR203" s="4">
        <f t="shared" si="42"/>
        <v>0.23146599777034557</v>
      </c>
      <c r="AS203" s="18">
        <f t="shared" si="37"/>
        <v>670.99199999999996</v>
      </c>
      <c r="AT203">
        <f t="shared" si="33"/>
        <v>1.0099217338952438</v>
      </c>
      <c r="AU203">
        <f t="shared" si="43"/>
        <v>463.08</v>
      </c>
      <c r="AV203" s="9">
        <f t="shared" si="40"/>
        <v>0.69698976520168576</v>
      </c>
      <c r="AW203" t="s">
        <v>244</v>
      </c>
    </row>
    <row r="204" spans="1:49" x14ac:dyDescent="0.3">
      <c r="A204" s="23">
        <v>48</v>
      </c>
      <c r="B204" t="s">
        <v>42</v>
      </c>
      <c r="C204" s="1">
        <v>11222</v>
      </c>
      <c r="D204" t="s">
        <v>43</v>
      </c>
      <c r="E204" t="s">
        <v>44</v>
      </c>
      <c r="F204" t="s">
        <v>266</v>
      </c>
      <c r="G204" s="2">
        <v>1981</v>
      </c>
      <c r="H204" s="2" t="s">
        <v>131</v>
      </c>
      <c r="I204" s="2" t="str">
        <f t="shared" si="41"/>
        <v>&gt;1980</v>
      </c>
      <c r="J204" s="2">
        <v>28</v>
      </c>
      <c r="K204" s="2">
        <f t="shared" si="39"/>
        <v>30</v>
      </c>
      <c r="L204" s="2">
        <v>126</v>
      </c>
      <c r="M204" s="2">
        <v>98</v>
      </c>
      <c r="N204" s="2">
        <v>7</v>
      </c>
      <c r="O204" s="2">
        <v>1</v>
      </c>
      <c r="P204" s="2">
        <v>1</v>
      </c>
      <c r="Q204" s="2">
        <v>1</v>
      </c>
      <c r="R204" s="2">
        <v>26</v>
      </c>
      <c r="S204" s="2">
        <v>26</v>
      </c>
      <c r="T204" s="2">
        <v>16</v>
      </c>
      <c r="U204" s="2">
        <v>27.2</v>
      </c>
      <c r="V204" s="1">
        <v>372</v>
      </c>
      <c r="W204" s="2">
        <v>2100.8000000000002</v>
      </c>
      <c r="X204" s="2">
        <v>498.4</v>
      </c>
      <c r="Y204" s="1">
        <v>1602.4</v>
      </c>
      <c r="Z204" s="2" t="s">
        <v>47</v>
      </c>
      <c r="AA204" s="2">
        <v>10</v>
      </c>
      <c r="AB204" s="2">
        <v>6</v>
      </c>
      <c r="AD204" s="3" t="s">
        <v>58</v>
      </c>
      <c r="AE204" s="3" t="s">
        <v>139</v>
      </c>
      <c r="AF204" s="3" t="s">
        <v>50</v>
      </c>
      <c r="AG204" s="3" t="s">
        <v>74</v>
      </c>
      <c r="AH204" s="3" t="s">
        <v>75</v>
      </c>
      <c r="AI204" s="2">
        <v>1</v>
      </c>
      <c r="AJ204" s="2">
        <v>0</v>
      </c>
      <c r="AK204" s="2">
        <v>0</v>
      </c>
      <c r="AL204" s="2">
        <v>1</v>
      </c>
      <c r="AM204" s="2">
        <v>0</v>
      </c>
      <c r="AN204" s="2">
        <v>0</v>
      </c>
      <c r="AO204" s="2" t="s">
        <v>84</v>
      </c>
      <c r="AP204" s="16">
        <v>1412</v>
      </c>
      <c r="AQ204" s="16">
        <v>250.4</v>
      </c>
      <c r="AR204" s="4">
        <f t="shared" si="42"/>
        <v>0.15062560153994226</v>
      </c>
      <c r="AS204" s="18">
        <f t="shared" si="37"/>
        <v>256.38400000000001</v>
      </c>
      <c r="AT204">
        <f t="shared" si="33"/>
        <v>1.0238977635782749</v>
      </c>
      <c r="AU204">
        <f t="shared" si="43"/>
        <v>222.46</v>
      </c>
      <c r="AV204" s="9">
        <f t="shared" si="40"/>
        <v>0.8884185303514377</v>
      </c>
    </row>
    <row r="205" spans="1:49" x14ac:dyDescent="0.3">
      <c r="A205" s="23">
        <v>344</v>
      </c>
      <c r="B205" t="s">
        <v>42</v>
      </c>
      <c r="C205" s="1">
        <v>11222</v>
      </c>
      <c r="D205" t="s">
        <v>43</v>
      </c>
      <c r="E205" t="s">
        <v>44</v>
      </c>
      <c r="F205" t="s">
        <v>98</v>
      </c>
      <c r="G205" s="2">
        <v>1964</v>
      </c>
      <c r="H205" s="2" t="s">
        <v>57</v>
      </c>
      <c r="I205" s="2" t="str">
        <f t="shared" si="41"/>
        <v>1950-1980</v>
      </c>
      <c r="J205" s="2">
        <v>48</v>
      </c>
      <c r="K205" s="2">
        <f t="shared" si="39"/>
        <v>50</v>
      </c>
      <c r="L205" s="2">
        <v>204</v>
      </c>
      <c r="M205" s="2">
        <v>156</v>
      </c>
      <c r="N205" s="2">
        <v>4</v>
      </c>
      <c r="O205" s="2">
        <v>0</v>
      </c>
      <c r="P205" s="2">
        <v>3</v>
      </c>
      <c r="Q205" s="2">
        <v>1</v>
      </c>
      <c r="R205" s="2">
        <v>14</v>
      </c>
      <c r="S205" s="2">
        <v>14</v>
      </c>
      <c r="T205" s="2">
        <v>11</v>
      </c>
      <c r="U205" s="2">
        <v>61.5</v>
      </c>
      <c r="V205" s="1">
        <v>658</v>
      </c>
      <c r="W205" s="2">
        <v>2448.6</v>
      </c>
      <c r="X205" s="2">
        <v>440.5</v>
      </c>
      <c r="Y205" s="1">
        <v>2151</v>
      </c>
      <c r="Z205" s="2" t="s">
        <v>47</v>
      </c>
      <c r="AA205" s="2">
        <v>4</v>
      </c>
      <c r="AB205" s="2">
        <v>0</v>
      </c>
      <c r="AC205" s="2">
        <v>0</v>
      </c>
      <c r="AD205" s="3" t="s">
        <v>58</v>
      </c>
      <c r="AE205" s="3" t="s">
        <v>58</v>
      </c>
      <c r="AF205" s="3" t="s">
        <v>50</v>
      </c>
      <c r="AG205" s="3" t="s">
        <v>51</v>
      </c>
      <c r="AH205" s="3" t="s">
        <v>75</v>
      </c>
      <c r="AI205" s="2">
        <v>0</v>
      </c>
      <c r="AJ205" s="2">
        <v>1</v>
      </c>
      <c r="AK205" s="2">
        <v>0</v>
      </c>
      <c r="AL205" s="2">
        <v>0</v>
      </c>
      <c r="AM205" s="2">
        <v>0</v>
      </c>
      <c r="AN205" s="2">
        <v>1</v>
      </c>
      <c r="AO205" s="2" t="s">
        <v>123</v>
      </c>
      <c r="AP205" s="1">
        <f>960+131</f>
        <v>1091</v>
      </c>
      <c r="AQ205" s="1">
        <f>185+201+17*2</f>
        <v>420</v>
      </c>
      <c r="AR205" s="4">
        <f t="shared" si="42"/>
        <v>0.27796161482461945</v>
      </c>
      <c r="AS205" s="18">
        <f t="shared" si="37"/>
        <v>344.16</v>
      </c>
      <c r="AT205">
        <f t="shared" si="33"/>
        <v>0.81942857142857151</v>
      </c>
      <c r="AU205">
        <f t="shared" si="43"/>
        <v>354.12</v>
      </c>
      <c r="AV205" s="9">
        <f t="shared" si="40"/>
        <v>0.84314285714285719</v>
      </c>
    </row>
    <row r="206" spans="1:49" x14ac:dyDescent="0.3">
      <c r="A206" s="23">
        <v>177</v>
      </c>
      <c r="B206" t="s">
        <v>42</v>
      </c>
      <c r="C206" s="1">
        <v>11222</v>
      </c>
      <c r="D206" t="s">
        <v>43</v>
      </c>
      <c r="E206" t="s">
        <v>44</v>
      </c>
      <c r="F206" t="s">
        <v>266</v>
      </c>
      <c r="G206" s="2">
        <v>1983</v>
      </c>
      <c r="H206" s="2" t="s">
        <v>131</v>
      </c>
      <c r="I206" s="2" t="str">
        <f t="shared" si="41"/>
        <v>&gt;1980</v>
      </c>
      <c r="J206" s="2">
        <v>49</v>
      </c>
      <c r="K206" s="2">
        <f t="shared" si="39"/>
        <v>50</v>
      </c>
      <c r="L206" s="2">
        <v>230</v>
      </c>
      <c r="M206" s="2">
        <v>181</v>
      </c>
      <c r="N206" s="2">
        <v>5</v>
      </c>
      <c r="O206" s="2">
        <v>0</v>
      </c>
      <c r="P206" s="2">
        <v>4</v>
      </c>
      <c r="Q206" s="2">
        <v>1</v>
      </c>
      <c r="R206" s="2">
        <v>17.2</v>
      </c>
      <c r="S206" s="2">
        <v>17</v>
      </c>
      <c r="V206" s="1">
        <v>860</v>
      </c>
      <c r="W206" s="2">
        <v>3848.5</v>
      </c>
      <c r="X206" s="2">
        <v>984.2</v>
      </c>
      <c r="Y206" s="1">
        <v>3222</v>
      </c>
      <c r="Z206" s="2" t="s">
        <v>47</v>
      </c>
      <c r="AA206" s="2">
        <v>34</v>
      </c>
      <c r="AB206" s="2">
        <v>30</v>
      </c>
      <c r="AD206" s="3" t="s">
        <v>58</v>
      </c>
      <c r="AE206" s="3" t="s">
        <v>49</v>
      </c>
      <c r="AF206" s="3" t="s">
        <v>59</v>
      </c>
      <c r="AG206" s="3" t="s">
        <v>74</v>
      </c>
      <c r="AH206" s="3" t="s">
        <v>75</v>
      </c>
      <c r="AI206" s="2">
        <v>1</v>
      </c>
      <c r="AJ206" s="2">
        <v>0</v>
      </c>
      <c r="AK206" s="2">
        <v>0</v>
      </c>
      <c r="AL206" s="2">
        <v>1</v>
      </c>
      <c r="AM206" s="2">
        <v>0</v>
      </c>
      <c r="AN206" s="2">
        <v>1</v>
      </c>
      <c r="AO206" s="2" t="s">
        <v>84</v>
      </c>
      <c r="AP206" s="16">
        <v>1943</v>
      </c>
      <c r="AQ206" s="16">
        <v>472</v>
      </c>
      <c r="AR206" s="4">
        <f t="shared" si="42"/>
        <v>0.19544513457556936</v>
      </c>
      <c r="AS206" s="18">
        <f t="shared" si="37"/>
        <v>515.52</v>
      </c>
      <c r="AT206">
        <f t="shared" si="33"/>
        <v>1.0922033898305084</v>
      </c>
      <c r="AU206">
        <f t="shared" si="43"/>
        <v>410.87</v>
      </c>
      <c r="AV206" s="9">
        <f t="shared" si="40"/>
        <v>0.87048728813559328</v>
      </c>
    </row>
    <row r="207" spans="1:49" x14ac:dyDescent="0.3">
      <c r="A207" s="23">
        <v>122</v>
      </c>
      <c r="B207" t="s">
        <v>42</v>
      </c>
      <c r="C207" s="1">
        <v>11222</v>
      </c>
      <c r="D207" t="s">
        <v>43</v>
      </c>
      <c r="E207" t="s">
        <v>44</v>
      </c>
      <c r="F207" t="s">
        <v>98</v>
      </c>
      <c r="G207" s="2">
        <v>1964</v>
      </c>
      <c r="H207" s="2" t="s">
        <v>57</v>
      </c>
      <c r="I207" s="2" t="str">
        <f t="shared" si="41"/>
        <v>1950-1980</v>
      </c>
      <c r="J207" s="2">
        <v>32</v>
      </c>
      <c r="K207" s="2">
        <f t="shared" si="39"/>
        <v>30</v>
      </c>
      <c r="L207" s="2">
        <v>136</v>
      </c>
      <c r="M207" s="2">
        <v>104</v>
      </c>
      <c r="N207" s="2">
        <v>4</v>
      </c>
      <c r="O207" s="2">
        <v>0</v>
      </c>
      <c r="P207" s="2">
        <v>2</v>
      </c>
      <c r="Q207" s="2">
        <v>1</v>
      </c>
      <c r="R207" s="2">
        <v>14.8</v>
      </c>
      <c r="S207" s="2">
        <v>15</v>
      </c>
      <c r="V207" s="1">
        <v>445</v>
      </c>
      <c r="W207" s="2">
        <v>1672</v>
      </c>
      <c r="X207" s="2">
        <v>337.4</v>
      </c>
      <c r="Y207" s="1">
        <v>1432</v>
      </c>
      <c r="Z207" s="2" t="s">
        <v>47</v>
      </c>
      <c r="AA207" s="2">
        <v>4</v>
      </c>
      <c r="AB207" s="2">
        <v>0</v>
      </c>
      <c r="AD207" s="3" t="s">
        <v>58</v>
      </c>
      <c r="AE207" s="3" t="s">
        <v>58</v>
      </c>
      <c r="AF207" s="3" t="s">
        <v>50</v>
      </c>
      <c r="AG207" s="3" t="s">
        <v>51</v>
      </c>
      <c r="AH207" s="3" t="s">
        <v>75</v>
      </c>
      <c r="AI207" s="2">
        <v>0</v>
      </c>
      <c r="AJ207" s="2">
        <v>1</v>
      </c>
      <c r="AK207" s="2">
        <v>0</v>
      </c>
      <c r="AL207" s="2">
        <v>0</v>
      </c>
      <c r="AM207" s="2">
        <v>0</v>
      </c>
      <c r="AN207" s="2">
        <v>1</v>
      </c>
      <c r="AO207" s="2" t="s">
        <v>76</v>
      </c>
      <c r="AP207" s="1">
        <f>622+245</f>
        <v>867</v>
      </c>
      <c r="AQ207" s="1">
        <f>17+17+132+114</f>
        <v>280</v>
      </c>
      <c r="AR207" s="4">
        <f t="shared" si="42"/>
        <v>0.24411508282476024</v>
      </c>
      <c r="AS207" s="18">
        <f t="shared" si="37"/>
        <v>229.12</v>
      </c>
      <c r="AT207">
        <f t="shared" si="33"/>
        <v>0.81828571428571428</v>
      </c>
      <c r="AU207">
        <f t="shared" si="43"/>
        <v>236.08</v>
      </c>
      <c r="AV207" s="9">
        <f t="shared" si="40"/>
        <v>0.84314285714285719</v>
      </c>
    </row>
    <row r="208" spans="1:49" x14ac:dyDescent="0.3">
      <c r="A208" s="23">
        <v>371</v>
      </c>
      <c r="B208" t="s">
        <v>42</v>
      </c>
      <c r="C208" s="1">
        <v>11222</v>
      </c>
      <c r="D208" t="s">
        <v>43</v>
      </c>
      <c r="E208" t="s">
        <v>44</v>
      </c>
      <c r="F208" t="s">
        <v>98</v>
      </c>
      <c r="G208" s="2">
        <v>1970</v>
      </c>
      <c r="H208" s="2" t="s">
        <v>57</v>
      </c>
      <c r="I208" s="2" t="str">
        <f t="shared" si="41"/>
        <v>1950-1980</v>
      </c>
      <c r="J208" s="2">
        <v>60</v>
      </c>
      <c r="K208" s="2">
        <f t="shared" si="39"/>
        <v>60</v>
      </c>
      <c r="L208" s="2">
        <v>252</v>
      </c>
      <c r="M208" s="2">
        <v>192</v>
      </c>
      <c r="N208" s="2">
        <v>5</v>
      </c>
      <c r="O208" s="2">
        <v>0</v>
      </c>
      <c r="P208" s="2">
        <v>3</v>
      </c>
      <c r="Q208" s="2">
        <v>1</v>
      </c>
      <c r="R208" s="2">
        <v>17.8</v>
      </c>
      <c r="S208" s="2">
        <v>18</v>
      </c>
      <c r="V208" s="1">
        <v>711</v>
      </c>
      <c r="W208" s="2">
        <v>3162.8</v>
      </c>
      <c r="X208" s="2">
        <v>503.9</v>
      </c>
      <c r="Y208" s="1">
        <v>2858.1</v>
      </c>
      <c r="Z208" s="2" t="s">
        <v>47</v>
      </c>
      <c r="AA208" s="2">
        <v>4</v>
      </c>
      <c r="AB208" s="2">
        <v>0</v>
      </c>
      <c r="AD208" s="3" t="s">
        <v>58</v>
      </c>
      <c r="AE208" s="3" t="s">
        <v>49</v>
      </c>
      <c r="AF208" s="3" t="s">
        <v>59</v>
      </c>
      <c r="AG208" s="3" t="s">
        <v>60</v>
      </c>
      <c r="AH208" s="3" t="s">
        <v>75</v>
      </c>
      <c r="AI208" s="2">
        <v>0</v>
      </c>
      <c r="AJ208" s="2">
        <v>1</v>
      </c>
      <c r="AK208" s="2">
        <v>0</v>
      </c>
      <c r="AL208" s="2">
        <v>0</v>
      </c>
      <c r="AM208" s="2">
        <v>1</v>
      </c>
      <c r="AN208" s="2">
        <v>1</v>
      </c>
      <c r="AO208" s="2" t="s">
        <v>76</v>
      </c>
      <c r="AP208" s="1">
        <v>1340</v>
      </c>
      <c r="AQ208" s="1">
        <v>837</v>
      </c>
      <c r="AR208" s="4">
        <f t="shared" si="42"/>
        <v>0.38447404685346809</v>
      </c>
      <c r="AS208" s="18">
        <f t="shared" si="37"/>
        <v>457.29599999999999</v>
      </c>
      <c r="AT208">
        <f t="shared" si="33"/>
        <v>0.54635125448028676</v>
      </c>
      <c r="AU208">
        <f t="shared" si="43"/>
        <v>435.84000000000003</v>
      </c>
      <c r="AV208" s="9">
        <f t="shared" si="40"/>
        <v>0.52071684587813627</v>
      </c>
    </row>
    <row r="209" spans="1:48" x14ac:dyDescent="0.3">
      <c r="A209" s="23">
        <v>139</v>
      </c>
      <c r="B209" t="s">
        <v>42</v>
      </c>
      <c r="C209" s="1">
        <v>11222</v>
      </c>
      <c r="D209" t="s">
        <v>43</v>
      </c>
      <c r="E209" t="s">
        <v>44</v>
      </c>
      <c r="F209" t="s">
        <v>45</v>
      </c>
      <c r="G209" s="2">
        <v>1900</v>
      </c>
      <c r="H209" s="2" t="s">
        <v>46</v>
      </c>
      <c r="I209" s="2" t="str">
        <f t="shared" si="41"/>
        <v>&lt;1950</v>
      </c>
      <c r="J209" s="2">
        <v>5</v>
      </c>
      <c r="K209" s="2">
        <f t="shared" si="39"/>
        <v>10</v>
      </c>
      <c r="L209" s="2">
        <v>16</v>
      </c>
      <c r="M209" s="2">
        <v>11</v>
      </c>
      <c r="N209" s="2">
        <v>2</v>
      </c>
      <c r="O209" s="2">
        <v>0</v>
      </c>
      <c r="P209" s="2">
        <v>2</v>
      </c>
      <c r="Q209" s="2">
        <v>1</v>
      </c>
      <c r="R209" s="2">
        <v>10.4</v>
      </c>
      <c r="S209" s="2">
        <v>10.5</v>
      </c>
      <c r="T209" s="2">
        <v>6.8</v>
      </c>
      <c r="U209" s="2">
        <v>16.8</v>
      </c>
      <c r="V209" s="1">
        <v>110</v>
      </c>
      <c r="W209" s="2">
        <v>213.2</v>
      </c>
      <c r="X209" s="2">
        <v>41.6</v>
      </c>
      <c r="Y209" s="1">
        <v>162</v>
      </c>
      <c r="Z209" s="2" t="s">
        <v>47</v>
      </c>
      <c r="AA209" s="2">
        <v>5</v>
      </c>
      <c r="AB209" s="2">
        <v>1</v>
      </c>
      <c r="AC209" s="2">
        <v>0</v>
      </c>
      <c r="AD209" s="3" t="s">
        <v>48</v>
      </c>
      <c r="AE209" s="3" t="s">
        <v>49</v>
      </c>
      <c r="AF209" s="3" t="s">
        <v>50</v>
      </c>
      <c r="AG209" s="3" t="s">
        <v>51</v>
      </c>
      <c r="AH209" s="3" t="s">
        <v>52</v>
      </c>
      <c r="AI209" s="2">
        <v>1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 t="s">
        <v>53</v>
      </c>
      <c r="AP209" s="16">
        <v>227</v>
      </c>
      <c r="AQ209" s="16">
        <v>32</v>
      </c>
      <c r="AR209" s="4">
        <f t="shared" si="42"/>
        <v>0.12355212355212356</v>
      </c>
      <c r="AS209" s="18">
        <f t="shared" si="37"/>
        <v>25.92</v>
      </c>
      <c r="AT209">
        <f t="shared" ref="AT209:AT272" si="44">IF(AQ209&lt;&gt;"",AS209/AQ209,"")</f>
        <v>0.81</v>
      </c>
      <c r="AU209">
        <f t="shared" si="43"/>
        <v>24.97</v>
      </c>
      <c r="AV209" s="9">
        <f t="shared" si="40"/>
        <v>0.78031249999999996</v>
      </c>
    </row>
    <row r="210" spans="1:48" x14ac:dyDescent="0.3">
      <c r="A210" s="23">
        <v>256</v>
      </c>
      <c r="B210" t="s">
        <v>42</v>
      </c>
      <c r="C210" s="1">
        <v>11222</v>
      </c>
      <c r="D210" t="s">
        <v>43</v>
      </c>
      <c r="E210" t="s">
        <v>44</v>
      </c>
      <c r="F210" t="s">
        <v>266</v>
      </c>
      <c r="G210" s="2">
        <v>1972</v>
      </c>
      <c r="H210" s="2" t="s">
        <v>69</v>
      </c>
      <c r="I210" s="2" t="str">
        <f t="shared" si="41"/>
        <v>1950-1980</v>
      </c>
      <c r="J210" s="2">
        <v>54</v>
      </c>
      <c r="K210" s="2">
        <f t="shared" si="39"/>
        <v>50</v>
      </c>
      <c r="L210" s="2">
        <v>270</v>
      </c>
      <c r="M210" s="2">
        <v>216</v>
      </c>
      <c r="N210" s="2">
        <v>10</v>
      </c>
      <c r="O210" s="2">
        <v>2</v>
      </c>
      <c r="P210" s="2">
        <v>2</v>
      </c>
      <c r="Q210" s="2">
        <v>1</v>
      </c>
      <c r="R210" s="2">
        <v>33.5</v>
      </c>
      <c r="S210" s="2">
        <v>33.5</v>
      </c>
      <c r="V210" s="1">
        <v>1011</v>
      </c>
      <c r="W210" s="2">
        <v>4809.3999999999996</v>
      </c>
      <c r="X210" s="2">
        <v>1202.5</v>
      </c>
      <c r="Y210" s="1">
        <v>4305.8999999999996</v>
      </c>
      <c r="Z210" s="2" t="s">
        <v>47</v>
      </c>
      <c r="AA210" s="2">
        <v>4</v>
      </c>
      <c r="AB210" s="2">
        <v>0</v>
      </c>
      <c r="AD210" s="3" t="s">
        <v>58</v>
      </c>
      <c r="AE210" s="3" t="s">
        <v>58</v>
      </c>
      <c r="AF210" s="3" t="s">
        <v>50</v>
      </c>
      <c r="AG210" s="3" t="s">
        <v>74</v>
      </c>
      <c r="AH210" s="3" t="s">
        <v>75</v>
      </c>
      <c r="AI210" s="2">
        <v>1</v>
      </c>
      <c r="AJ210" s="2">
        <v>0</v>
      </c>
      <c r="AK210" s="2">
        <v>0</v>
      </c>
      <c r="AL210" s="2">
        <v>1</v>
      </c>
      <c r="AM210" s="2">
        <v>0</v>
      </c>
      <c r="AN210" s="2">
        <v>1</v>
      </c>
      <c r="AO210" s="2" t="s">
        <v>76</v>
      </c>
      <c r="AR210" s="4"/>
      <c r="AS210" s="18" t="str">
        <f t="shared" si="37"/>
        <v/>
      </c>
      <c r="AT210" t="str">
        <f t="shared" si="44"/>
        <v/>
      </c>
      <c r="AU210" t="str">
        <f>IF(AQ210&lt;&gt;"",2.3*M210,"")</f>
        <v/>
      </c>
      <c r="AV210" s="9" t="str">
        <f t="shared" si="40"/>
        <v/>
      </c>
    </row>
    <row r="211" spans="1:48" x14ac:dyDescent="0.3">
      <c r="A211" s="23">
        <v>357</v>
      </c>
      <c r="B211" t="s">
        <v>42</v>
      </c>
      <c r="C211" s="1">
        <v>11222</v>
      </c>
      <c r="D211" t="s">
        <v>43</v>
      </c>
      <c r="E211" t="s">
        <v>44</v>
      </c>
      <c r="F211" t="s">
        <v>62</v>
      </c>
      <c r="G211" s="2">
        <v>1961</v>
      </c>
      <c r="H211" s="2" t="s">
        <v>57</v>
      </c>
      <c r="I211" s="2" t="str">
        <f t="shared" si="41"/>
        <v>1950-1980</v>
      </c>
      <c r="J211" s="2">
        <v>32</v>
      </c>
      <c r="K211" s="2">
        <f t="shared" si="39"/>
        <v>30</v>
      </c>
      <c r="L211" s="2">
        <v>121</v>
      </c>
      <c r="M211" s="2">
        <v>89</v>
      </c>
      <c r="N211" s="2">
        <v>4</v>
      </c>
      <c r="O211" s="2">
        <v>0</v>
      </c>
      <c r="P211" s="2">
        <v>2</v>
      </c>
      <c r="Q211" s="2">
        <v>0</v>
      </c>
      <c r="R211" s="2">
        <v>15</v>
      </c>
      <c r="S211" s="2">
        <v>15</v>
      </c>
      <c r="T211" s="2">
        <v>11</v>
      </c>
      <c r="U211" s="2">
        <v>36</v>
      </c>
      <c r="V211" s="1">
        <v>393</v>
      </c>
      <c r="W211" s="2">
        <v>1224</v>
      </c>
      <c r="X211" s="2">
        <v>99.2</v>
      </c>
      <c r="Y211" s="1">
        <v>1213.4000000000001</v>
      </c>
      <c r="Z211" s="2" t="s">
        <v>47</v>
      </c>
      <c r="AA211" s="2">
        <v>4</v>
      </c>
      <c r="AB211" s="2">
        <v>0</v>
      </c>
      <c r="AC211" s="2">
        <v>0</v>
      </c>
      <c r="AD211" s="3" t="s">
        <v>58</v>
      </c>
      <c r="AE211" s="3" t="s">
        <v>58</v>
      </c>
      <c r="AF211" s="3" t="s">
        <v>139</v>
      </c>
      <c r="AG211" s="3" t="s">
        <v>51</v>
      </c>
      <c r="AH211" s="3" t="s">
        <v>75</v>
      </c>
      <c r="AI211" s="2">
        <v>0</v>
      </c>
      <c r="AJ211" s="2">
        <v>1</v>
      </c>
      <c r="AK211" s="2">
        <v>0</v>
      </c>
      <c r="AL211" s="2">
        <v>0</v>
      </c>
      <c r="AM211" s="2">
        <v>0</v>
      </c>
      <c r="AN211" s="2">
        <v>1</v>
      </c>
      <c r="AO211" s="2" t="s">
        <v>53</v>
      </c>
      <c r="AR211" s="4"/>
      <c r="AS211" s="18" t="str">
        <f t="shared" si="37"/>
        <v/>
      </c>
      <c r="AT211" t="str">
        <f t="shared" si="44"/>
        <v/>
      </c>
      <c r="AU211" t="str">
        <f>IF(AQ211&lt;&gt;"",2.3*M211,"")</f>
        <v/>
      </c>
      <c r="AV211" s="9" t="str">
        <f t="shared" si="40"/>
        <v/>
      </c>
    </row>
    <row r="212" spans="1:48" x14ac:dyDescent="0.3">
      <c r="A212" s="23">
        <v>155</v>
      </c>
      <c r="B212" t="s">
        <v>42</v>
      </c>
      <c r="C212" s="1">
        <v>11222</v>
      </c>
      <c r="D212" t="s">
        <v>43</v>
      </c>
      <c r="E212" t="s">
        <v>44</v>
      </c>
      <c r="F212" t="s">
        <v>98</v>
      </c>
      <c r="G212" s="2">
        <v>1984</v>
      </c>
      <c r="H212" s="2" t="s">
        <v>131</v>
      </c>
      <c r="I212" s="2" t="str">
        <f t="shared" si="41"/>
        <v>&gt;1980</v>
      </c>
      <c r="J212" s="2">
        <v>120</v>
      </c>
      <c r="K212" s="2">
        <f t="shared" si="39"/>
        <v>120</v>
      </c>
      <c r="L212" s="2">
        <v>365</v>
      </c>
      <c r="M212" s="2">
        <v>245</v>
      </c>
      <c r="N212" s="2">
        <v>5</v>
      </c>
      <c r="O212" s="2">
        <v>0</v>
      </c>
      <c r="P212" s="2">
        <v>2</v>
      </c>
      <c r="Q212" s="2">
        <v>1</v>
      </c>
      <c r="R212" s="2">
        <v>18.2</v>
      </c>
      <c r="S212" s="2">
        <v>18</v>
      </c>
      <c r="T212" s="2">
        <v>16</v>
      </c>
      <c r="U212" s="2">
        <v>79.5</v>
      </c>
      <c r="V212" s="1">
        <v>1458</v>
      </c>
      <c r="W212" s="2">
        <v>6197.9</v>
      </c>
      <c r="X212" s="2">
        <v>1898.7</v>
      </c>
      <c r="Y212" s="1">
        <v>5021</v>
      </c>
      <c r="Z212" s="2" t="s">
        <v>47</v>
      </c>
      <c r="AA212" s="2">
        <v>28</v>
      </c>
      <c r="AB212" s="2">
        <v>24</v>
      </c>
      <c r="AD212" s="3" t="s">
        <v>91</v>
      </c>
      <c r="AE212" s="3" t="s">
        <v>58</v>
      </c>
      <c r="AF212" s="3" t="s">
        <v>50</v>
      </c>
      <c r="AG212" s="3" t="s">
        <v>74</v>
      </c>
      <c r="AH212" s="3" t="s">
        <v>127</v>
      </c>
      <c r="AI212" s="2">
        <v>0</v>
      </c>
      <c r="AJ212" s="2">
        <v>1</v>
      </c>
      <c r="AK212" s="2">
        <v>0</v>
      </c>
      <c r="AL212" s="2">
        <v>1</v>
      </c>
      <c r="AM212" s="2">
        <v>0</v>
      </c>
      <c r="AN212" s="2">
        <v>1</v>
      </c>
      <c r="AO212" s="2" t="s">
        <v>84</v>
      </c>
      <c r="AP212" s="1">
        <f>2047.4</f>
        <v>2047.4</v>
      </c>
      <c r="AQ212" s="1">
        <f>387+26.6+361.2+26.6</f>
        <v>801.4</v>
      </c>
      <c r="AR212" s="4">
        <f t="shared" ref="AR212:AR229" si="45">AQ212/(AP212+AQ212)</f>
        <v>0.2813114293737714</v>
      </c>
      <c r="AS212" s="18">
        <f t="shared" si="37"/>
        <v>803.36</v>
      </c>
      <c r="AT212">
        <f t="shared" si="44"/>
        <v>1.0024457199900174</v>
      </c>
      <c r="AU212">
        <f t="shared" ref="AU212:AU229" si="46">IF(AQ212&lt;&gt;"",2.27*M212,"")</f>
        <v>556.15</v>
      </c>
      <c r="AV212" s="9">
        <f t="shared" si="40"/>
        <v>0.69397304716745689</v>
      </c>
    </row>
    <row r="213" spans="1:48" x14ac:dyDescent="0.3">
      <c r="A213" s="23">
        <v>145</v>
      </c>
      <c r="B213" t="s">
        <v>42</v>
      </c>
      <c r="C213" s="1">
        <v>11222</v>
      </c>
      <c r="D213" t="s">
        <v>43</v>
      </c>
      <c r="E213" t="s">
        <v>44</v>
      </c>
      <c r="F213" t="s">
        <v>98</v>
      </c>
      <c r="G213" s="2">
        <v>1977</v>
      </c>
      <c r="H213" s="2" t="s">
        <v>69</v>
      </c>
      <c r="I213" s="2" t="str">
        <f t="shared" si="41"/>
        <v>1950-1980</v>
      </c>
      <c r="J213" s="2">
        <v>38</v>
      </c>
      <c r="K213" s="2">
        <f t="shared" si="39"/>
        <v>40</v>
      </c>
      <c r="L213" s="2">
        <v>170</v>
      </c>
      <c r="M213" s="2">
        <v>132</v>
      </c>
      <c r="N213" s="2">
        <v>5</v>
      </c>
      <c r="O213" s="2">
        <v>0</v>
      </c>
      <c r="P213" s="2">
        <v>3</v>
      </c>
      <c r="Q213" s="2">
        <v>1</v>
      </c>
      <c r="R213" s="2">
        <v>15.5</v>
      </c>
      <c r="S213" s="2">
        <v>15.5</v>
      </c>
      <c r="V213" s="1">
        <v>644</v>
      </c>
      <c r="W213" s="2">
        <v>2697.6</v>
      </c>
      <c r="X213" s="2">
        <v>655.7</v>
      </c>
      <c r="Y213" s="1">
        <v>2428</v>
      </c>
      <c r="Z213" s="2" t="s">
        <v>47</v>
      </c>
      <c r="AA213" s="2">
        <v>4</v>
      </c>
      <c r="AB213" s="2">
        <v>0</v>
      </c>
      <c r="AD213" s="3" t="s">
        <v>58</v>
      </c>
      <c r="AE213" s="3" t="s">
        <v>49</v>
      </c>
      <c r="AF213" s="3" t="s">
        <v>50</v>
      </c>
      <c r="AG213" s="3" t="s">
        <v>74</v>
      </c>
      <c r="AH213" s="3" t="s">
        <v>75</v>
      </c>
      <c r="AI213" s="2">
        <v>1</v>
      </c>
      <c r="AJ213" s="2">
        <v>0</v>
      </c>
      <c r="AK213" s="2">
        <v>0</v>
      </c>
      <c r="AL213" s="2">
        <v>1</v>
      </c>
      <c r="AM213" s="2">
        <v>0</v>
      </c>
      <c r="AN213" s="2">
        <v>0</v>
      </c>
      <c r="AO213" s="2" t="s">
        <v>76</v>
      </c>
      <c r="AP213" s="1">
        <v>1181</v>
      </c>
      <c r="AQ213" s="1">
        <v>384</v>
      </c>
      <c r="AR213" s="4">
        <f t="shared" si="45"/>
        <v>0.24536741214057509</v>
      </c>
      <c r="AS213" s="18">
        <f t="shared" si="37"/>
        <v>388.48</v>
      </c>
      <c r="AT213">
        <f t="shared" si="44"/>
        <v>1.0116666666666667</v>
      </c>
      <c r="AU213">
        <f t="shared" si="46"/>
        <v>299.64</v>
      </c>
      <c r="AV213" s="9">
        <f t="shared" si="40"/>
        <v>0.78031249999999996</v>
      </c>
    </row>
    <row r="214" spans="1:48" x14ac:dyDescent="0.3">
      <c r="A214" s="23">
        <v>25</v>
      </c>
      <c r="B214" t="s">
        <v>42</v>
      </c>
      <c r="C214" s="1">
        <v>11222</v>
      </c>
      <c r="D214" t="s">
        <v>43</v>
      </c>
      <c r="E214" t="s">
        <v>44</v>
      </c>
      <c r="F214" t="s">
        <v>172</v>
      </c>
      <c r="G214" s="2">
        <v>1959</v>
      </c>
      <c r="H214" s="2" t="s">
        <v>63</v>
      </c>
      <c r="I214" s="2" t="str">
        <f t="shared" si="41"/>
        <v>1950-1980</v>
      </c>
      <c r="J214" s="2">
        <v>32</v>
      </c>
      <c r="K214" s="2">
        <f t="shared" si="39"/>
        <v>30</v>
      </c>
      <c r="L214" s="2">
        <v>120</v>
      </c>
      <c r="M214" s="2">
        <v>88</v>
      </c>
      <c r="N214" s="2">
        <v>4</v>
      </c>
      <c r="O214" s="2">
        <v>0</v>
      </c>
      <c r="P214" s="2">
        <v>3</v>
      </c>
      <c r="Q214" s="2">
        <v>1</v>
      </c>
      <c r="R214" s="2">
        <v>16.600000000000001</v>
      </c>
      <c r="S214" s="2">
        <v>16.5</v>
      </c>
      <c r="V214" s="1">
        <v>398</v>
      </c>
      <c r="W214" s="2">
        <v>1504.5</v>
      </c>
      <c r="X214" s="2">
        <v>319.3</v>
      </c>
      <c r="Y214" s="1">
        <v>1205.5999999999999</v>
      </c>
      <c r="Z214" s="2" t="s">
        <v>47</v>
      </c>
      <c r="AA214" s="2">
        <v>4</v>
      </c>
      <c r="AB214" s="2">
        <v>0</v>
      </c>
      <c r="AD214" s="3" t="s">
        <v>91</v>
      </c>
      <c r="AE214" s="3" t="s">
        <v>58</v>
      </c>
      <c r="AF214" s="3" t="s">
        <v>50</v>
      </c>
      <c r="AG214" s="3" t="s">
        <v>51</v>
      </c>
      <c r="AH214" s="3" t="s">
        <v>75</v>
      </c>
      <c r="AI214" s="2">
        <v>0</v>
      </c>
      <c r="AJ214" s="2">
        <v>1</v>
      </c>
      <c r="AK214" s="2">
        <v>0</v>
      </c>
      <c r="AL214" s="2">
        <v>0</v>
      </c>
      <c r="AM214" s="2">
        <v>0</v>
      </c>
      <c r="AN214" s="2">
        <v>1</v>
      </c>
      <c r="AO214" s="2" t="s">
        <v>76</v>
      </c>
      <c r="AP214" s="1">
        <v>727.1</v>
      </c>
      <c r="AQ214" s="1">
        <v>268.8</v>
      </c>
      <c r="AR214" s="4">
        <f t="shared" si="45"/>
        <v>0.26990661713023395</v>
      </c>
      <c r="AS214" s="18">
        <f t="shared" si="37"/>
        <v>192.89599999999999</v>
      </c>
      <c r="AT214">
        <f t="shared" si="44"/>
        <v>0.71761904761904749</v>
      </c>
      <c r="AU214">
        <f t="shared" si="46"/>
        <v>199.76</v>
      </c>
      <c r="AV214" s="9">
        <f t="shared" si="40"/>
        <v>0.74315476190476182</v>
      </c>
    </row>
    <row r="215" spans="1:48" x14ac:dyDescent="0.3">
      <c r="A215" s="23">
        <v>235</v>
      </c>
      <c r="B215" t="s">
        <v>42</v>
      </c>
      <c r="C215" s="1">
        <v>11222</v>
      </c>
      <c r="D215" t="s">
        <v>43</v>
      </c>
      <c r="E215" t="s">
        <v>44</v>
      </c>
      <c r="F215" t="s">
        <v>82</v>
      </c>
      <c r="G215" s="2">
        <v>1980</v>
      </c>
      <c r="H215" s="2" t="s">
        <v>69</v>
      </c>
      <c r="I215" s="2" t="str">
        <f t="shared" si="41"/>
        <v>1950-1980</v>
      </c>
      <c r="J215" s="2">
        <v>25</v>
      </c>
      <c r="K215" s="2">
        <f t="shared" si="39"/>
        <v>30</v>
      </c>
      <c r="L215" s="2">
        <v>133</v>
      </c>
      <c r="M215" s="2">
        <v>108</v>
      </c>
      <c r="N215" s="2">
        <v>5</v>
      </c>
      <c r="O215" s="2">
        <v>0</v>
      </c>
      <c r="P215" s="2">
        <v>2</v>
      </c>
      <c r="Q215" s="2">
        <v>1</v>
      </c>
      <c r="R215" s="2">
        <v>17.399999999999999</v>
      </c>
      <c r="S215" s="2">
        <v>17.5</v>
      </c>
      <c r="V215" s="1">
        <v>506</v>
      </c>
      <c r="W215" s="2">
        <v>2235.6999999999998</v>
      </c>
      <c r="X215" s="2">
        <v>565.4</v>
      </c>
      <c r="Y215" s="1">
        <v>1911</v>
      </c>
      <c r="Z215" s="2" t="s">
        <v>47</v>
      </c>
      <c r="AA215" s="2">
        <v>12</v>
      </c>
      <c r="AB215" s="2">
        <v>8</v>
      </c>
      <c r="AC215" s="2">
        <v>0</v>
      </c>
      <c r="AD215" s="3" t="s">
        <v>58</v>
      </c>
      <c r="AE215" s="3" t="s">
        <v>191</v>
      </c>
      <c r="AF215" s="3" t="s">
        <v>150</v>
      </c>
      <c r="AG215" s="3" t="s">
        <v>74</v>
      </c>
      <c r="AH215" s="3" t="s">
        <v>75</v>
      </c>
      <c r="AI215" s="2">
        <v>1</v>
      </c>
      <c r="AJ215" s="2">
        <v>0</v>
      </c>
      <c r="AK215" s="2">
        <v>0</v>
      </c>
      <c r="AL215" s="2">
        <v>1</v>
      </c>
      <c r="AM215" s="2">
        <v>0</v>
      </c>
      <c r="AN215" s="2">
        <v>0</v>
      </c>
      <c r="AO215" s="2" t="s">
        <v>84</v>
      </c>
      <c r="AP215" s="1">
        <v>2398.9</v>
      </c>
      <c r="AQ215" s="1">
        <f>224.7+154.3</f>
        <v>379</v>
      </c>
      <c r="AR215" s="4">
        <f t="shared" si="45"/>
        <v>0.13643399690413621</v>
      </c>
      <c r="AS215" s="18">
        <f t="shared" si="37"/>
        <v>305.76</v>
      </c>
      <c r="AT215">
        <f t="shared" si="44"/>
        <v>0.80675461741424803</v>
      </c>
      <c r="AU215">
        <f t="shared" si="46"/>
        <v>245.16</v>
      </c>
      <c r="AV215" s="9">
        <f t="shared" si="40"/>
        <v>0.64686015831134569</v>
      </c>
    </row>
    <row r="216" spans="1:48" x14ac:dyDescent="0.3">
      <c r="A216" s="23">
        <v>137</v>
      </c>
      <c r="B216" t="s">
        <v>42</v>
      </c>
      <c r="C216" s="1">
        <v>11222</v>
      </c>
      <c r="D216" t="s">
        <v>43</v>
      </c>
      <c r="E216" t="s">
        <v>44</v>
      </c>
      <c r="F216" t="s">
        <v>62</v>
      </c>
      <c r="G216" s="2">
        <v>1959</v>
      </c>
      <c r="H216" s="2" t="s">
        <v>63</v>
      </c>
      <c r="I216" s="2" t="str">
        <f t="shared" si="41"/>
        <v>1950-1980</v>
      </c>
      <c r="J216" s="2">
        <v>8</v>
      </c>
      <c r="K216" s="2">
        <f t="shared" si="39"/>
        <v>10</v>
      </c>
      <c r="L216" s="2">
        <v>36</v>
      </c>
      <c r="M216" s="2">
        <v>28</v>
      </c>
      <c r="N216" s="2">
        <v>2</v>
      </c>
      <c r="O216" s="2">
        <v>0</v>
      </c>
      <c r="P216" s="2">
        <v>2</v>
      </c>
      <c r="Q216" s="2">
        <v>1</v>
      </c>
      <c r="R216" s="2">
        <v>12.8</v>
      </c>
      <c r="S216" s="2">
        <v>13</v>
      </c>
      <c r="T216" s="2">
        <v>11.5</v>
      </c>
      <c r="U216" s="2">
        <v>26</v>
      </c>
      <c r="V216" s="1">
        <v>270</v>
      </c>
      <c r="W216" s="2">
        <v>547.70000000000005</v>
      </c>
      <c r="X216" s="2">
        <v>161.6</v>
      </c>
      <c r="Y216" s="1">
        <v>386.1</v>
      </c>
      <c r="Z216" s="2" t="s">
        <v>47</v>
      </c>
      <c r="AA216" s="2">
        <v>4</v>
      </c>
      <c r="AB216" s="2">
        <v>0</v>
      </c>
      <c r="AD216" s="3" t="s">
        <v>64</v>
      </c>
      <c r="AE216" s="3" t="s">
        <v>65</v>
      </c>
      <c r="AF216" s="3" t="s">
        <v>65</v>
      </c>
      <c r="AG216" s="3" t="s">
        <v>65</v>
      </c>
      <c r="AH216" s="3" t="s">
        <v>52</v>
      </c>
      <c r="AI216" s="2">
        <v>0</v>
      </c>
      <c r="AJ216" s="2">
        <v>1</v>
      </c>
      <c r="AK216" s="2">
        <v>0</v>
      </c>
      <c r="AL216" s="2">
        <v>0</v>
      </c>
      <c r="AM216" s="2">
        <v>0</v>
      </c>
      <c r="AN216" s="2">
        <v>1</v>
      </c>
      <c r="AO216" s="2" t="s">
        <v>61</v>
      </c>
      <c r="AP216" s="1">
        <v>290.89999999999998</v>
      </c>
      <c r="AQ216" s="1">
        <v>61</v>
      </c>
      <c r="AR216" s="4">
        <f t="shared" si="45"/>
        <v>0.17334470019892015</v>
      </c>
      <c r="AS216" s="18">
        <f t="shared" si="37"/>
        <v>61.776000000000003</v>
      </c>
      <c r="AT216">
        <f t="shared" si="44"/>
        <v>1.0127213114754099</v>
      </c>
      <c r="AU216">
        <f t="shared" si="46"/>
        <v>63.56</v>
      </c>
      <c r="AV216" s="9">
        <f t="shared" si="40"/>
        <v>1.0419672131147542</v>
      </c>
    </row>
    <row r="217" spans="1:48" x14ac:dyDescent="0.3">
      <c r="A217" s="23">
        <v>107</v>
      </c>
      <c r="B217" t="s">
        <v>42</v>
      </c>
      <c r="C217" s="1">
        <v>12322</v>
      </c>
      <c r="D217" t="s">
        <v>43</v>
      </c>
      <c r="E217" t="s">
        <v>44</v>
      </c>
      <c r="F217" t="s">
        <v>98</v>
      </c>
      <c r="G217" s="2">
        <v>1968</v>
      </c>
      <c r="H217" s="2" t="s">
        <v>57</v>
      </c>
      <c r="I217" s="2" t="str">
        <f t="shared" si="41"/>
        <v>1950-1980</v>
      </c>
      <c r="J217" s="2">
        <v>16</v>
      </c>
      <c r="K217" s="2">
        <f>MROUND(J217,10)</f>
        <v>20</v>
      </c>
      <c r="L217" s="2">
        <v>70</v>
      </c>
      <c r="M217" s="2">
        <v>54</v>
      </c>
      <c r="N217" s="2">
        <v>3</v>
      </c>
      <c r="O217" s="2">
        <v>0</v>
      </c>
      <c r="P217" s="2">
        <v>2</v>
      </c>
      <c r="Q217" s="2">
        <v>1</v>
      </c>
      <c r="R217" s="2">
        <v>13.1</v>
      </c>
      <c r="S217" s="2">
        <v>13</v>
      </c>
      <c r="T217" s="2">
        <v>13.7</v>
      </c>
      <c r="U217" s="2">
        <v>38.700000000000003</v>
      </c>
      <c r="V217" s="1">
        <v>595.29999999999995</v>
      </c>
      <c r="W217" s="2">
        <v>1517.5</v>
      </c>
      <c r="X217" s="2">
        <v>233.4</v>
      </c>
      <c r="Y217" s="1">
        <v>1495.1</v>
      </c>
      <c r="Z217" s="2" t="s">
        <v>47</v>
      </c>
      <c r="AA217" s="2">
        <v>4</v>
      </c>
      <c r="AB217" s="2">
        <v>0</v>
      </c>
      <c r="AD217" s="3" t="s">
        <v>95</v>
      </c>
      <c r="AE217" s="3" t="s">
        <v>66</v>
      </c>
      <c r="AF217" s="3" t="s">
        <v>150</v>
      </c>
      <c r="AG217" s="3" t="s">
        <v>67</v>
      </c>
      <c r="AH217" s="3" t="s">
        <v>75</v>
      </c>
      <c r="AI217" s="2">
        <v>0</v>
      </c>
      <c r="AJ217" s="2">
        <v>1</v>
      </c>
      <c r="AK217" s="2">
        <v>0</v>
      </c>
      <c r="AL217" s="2">
        <v>0</v>
      </c>
      <c r="AM217" s="2">
        <v>0</v>
      </c>
      <c r="AN217" s="2">
        <v>1</v>
      </c>
      <c r="AO217" s="2" t="s">
        <v>123</v>
      </c>
      <c r="AP217" s="1">
        <v>866.8</v>
      </c>
      <c r="AQ217" s="1">
        <v>197.5</v>
      </c>
      <c r="AR217" s="4">
        <f t="shared" si="45"/>
        <v>0.18556797895330265</v>
      </c>
      <c r="AS217" s="18">
        <f t="shared" si="37"/>
        <v>239.21599999999998</v>
      </c>
      <c r="AT217">
        <f t="shared" si="44"/>
        <v>1.2112202531645568</v>
      </c>
      <c r="AU217">
        <f t="shared" si="46"/>
        <v>122.58</v>
      </c>
      <c r="AV217" s="9">
        <f t="shared" si="40"/>
        <v>0.62065822784810121</v>
      </c>
    </row>
    <row r="218" spans="1:48" x14ac:dyDescent="0.3">
      <c r="A218" s="23">
        <v>102</v>
      </c>
      <c r="B218" t="s">
        <v>42</v>
      </c>
      <c r="C218" s="1">
        <v>11222</v>
      </c>
      <c r="D218" t="s">
        <v>43</v>
      </c>
      <c r="E218" t="s">
        <v>44</v>
      </c>
      <c r="F218" t="s">
        <v>82</v>
      </c>
      <c r="G218" s="2">
        <v>1959</v>
      </c>
      <c r="H218" s="2" t="s">
        <v>63</v>
      </c>
      <c r="I218" s="2" t="str">
        <f t="shared" si="41"/>
        <v>1950-1980</v>
      </c>
      <c r="J218" s="2">
        <v>24</v>
      </c>
      <c r="K218" s="2">
        <f t="shared" si="39"/>
        <v>20</v>
      </c>
      <c r="L218" s="2">
        <v>90</v>
      </c>
      <c r="M218" s="2">
        <v>66</v>
      </c>
      <c r="N218" s="2">
        <v>3</v>
      </c>
      <c r="O218" s="2">
        <v>0</v>
      </c>
      <c r="P218" s="2">
        <v>2</v>
      </c>
      <c r="Q218" s="2">
        <v>1</v>
      </c>
      <c r="R218" s="2">
        <v>12.1</v>
      </c>
      <c r="S218" s="2">
        <v>12</v>
      </c>
      <c r="T218" s="2">
        <v>11.4</v>
      </c>
      <c r="U218" s="2">
        <v>36.4</v>
      </c>
      <c r="V218" s="1">
        <v>393</v>
      </c>
      <c r="W218" s="2">
        <v>1185.8</v>
      </c>
      <c r="X218" s="2">
        <v>337.2</v>
      </c>
      <c r="Y218" s="1">
        <v>922.1</v>
      </c>
      <c r="Z218" s="2" t="s">
        <v>47</v>
      </c>
      <c r="AA218" s="2">
        <v>5</v>
      </c>
      <c r="AB218" s="2">
        <v>1</v>
      </c>
      <c r="AD218" s="3" t="s">
        <v>58</v>
      </c>
      <c r="AE218" s="3" t="s">
        <v>139</v>
      </c>
      <c r="AF218" s="3" t="s">
        <v>50</v>
      </c>
      <c r="AG218" s="3" t="s">
        <v>51</v>
      </c>
      <c r="AH218" s="3" t="s">
        <v>81</v>
      </c>
      <c r="AI218" s="2">
        <v>0</v>
      </c>
      <c r="AJ218" s="2">
        <v>1</v>
      </c>
      <c r="AK218" s="2">
        <v>0</v>
      </c>
      <c r="AL218" s="2">
        <v>0</v>
      </c>
      <c r="AM218" s="2">
        <v>0</v>
      </c>
      <c r="AN218" s="2">
        <v>1</v>
      </c>
      <c r="AO218" s="2" t="s">
        <v>61</v>
      </c>
      <c r="AP218" s="1">
        <f>500.5+106.5</f>
        <v>607</v>
      </c>
      <c r="AQ218" s="1">
        <f>16.1*2+91.3+105.8</f>
        <v>229.3</v>
      </c>
      <c r="AR218" s="4">
        <f t="shared" si="45"/>
        <v>0.27418390529714221</v>
      </c>
      <c r="AS218" s="18">
        <f t="shared" si="37"/>
        <v>147.536</v>
      </c>
      <c r="AT218">
        <f t="shared" si="44"/>
        <v>0.6434191016136066</v>
      </c>
      <c r="AU218">
        <f t="shared" si="46"/>
        <v>149.82</v>
      </c>
      <c r="AV218" s="9">
        <f t="shared" si="40"/>
        <v>0.65337985172263402</v>
      </c>
    </row>
    <row r="219" spans="1:48" x14ac:dyDescent="0.3">
      <c r="A219" s="23">
        <v>244</v>
      </c>
      <c r="B219" t="s">
        <v>42</v>
      </c>
      <c r="C219" s="1">
        <v>12339</v>
      </c>
      <c r="D219" t="s">
        <v>43</v>
      </c>
      <c r="E219" t="s">
        <v>44</v>
      </c>
      <c r="F219" t="s">
        <v>172</v>
      </c>
      <c r="G219" s="2">
        <v>1971</v>
      </c>
      <c r="H219" s="2" t="s">
        <v>69</v>
      </c>
      <c r="I219" s="2" t="str">
        <f t="shared" si="41"/>
        <v>1950-1980</v>
      </c>
      <c r="J219" s="2">
        <v>29</v>
      </c>
      <c r="K219" s="2">
        <f>MROUND(J219,10)</f>
        <v>30</v>
      </c>
      <c r="L219" s="2">
        <v>120</v>
      </c>
      <c r="M219" s="2">
        <v>91</v>
      </c>
      <c r="N219" s="2">
        <v>8</v>
      </c>
      <c r="O219" s="2">
        <v>1</v>
      </c>
      <c r="P219" s="2">
        <v>1</v>
      </c>
      <c r="Q219" s="2">
        <v>0</v>
      </c>
      <c r="R219" s="2">
        <v>25.7</v>
      </c>
      <c r="S219" s="2">
        <v>25.5</v>
      </c>
      <c r="V219" s="1">
        <v>314</v>
      </c>
      <c r="W219" s="2">
        <v>1853.5</v>
      </c>
      <c r="X219" s="2">
        <v>295.7</v>
      </c>
      <c r="Y219" s="1">
        <v>1756.6</v>
      </c>
      <c r="Z219" s="2" t="s">
        <v>47</v>
      </c>
      <c r="AA219" s="2">
        <v>6</v>
      </c>
      <c r="AB219" s="2">
        <v>2</v>
      </c>
      <c r="AD219" s="3" t="s">
        <v>58</v>
      </c>
      <c r="AE219" s="3" t="s">
        <v>58</v>
      </c>
      <c r="AF219" s="3" t="s">
        <v>50</v>
      </c>
      <c r="AG219" s="3" t="s">
        <v>74</v>
      </c>
      <c r="AH219" s="3" t="s">
        <v>100</v>
      </c>
      <c r="AI219" s="2">
        <v>1</v>
      </c>
      <c r="AJ219" s="2">
        <v>0</v>
      </c>
      <c r="AK219" s="2">
        <v>0</v>
      </c>
      <c r="AL219" s="2">
        <v>0</v>
      </c>
      <c r="AM219" s="2">
        <v>0</v>
      </c>
      <c r="AN219" s="2">
        <v>1</v>
      </c>
      <c r="AO219" s="2" t="s">
        <v>123</v>
      </c>
      <c r="AP219" s="1">
        <f>123+1328</f>
        <v>1451</v>
      </c>
      <c r="AQ219" s="1">
        <f>42+38+144+72</f>
        <v>296</v>
      </c>
      <c r="AR219" s="4">
        <f t="shared" si="45"/>
        <v>0.16943331425300515</v>
      </c>
      <c r="AS219" s="18">
        <f t="shared" si="37"/>
        <v>281.05599999999998</v>
      </c>
      <c r="AT219">
        <f t="shared" si="44"/>
        <v>0.94951351351351343</v>
      </c>
      <c r="AU219">
        <f t="shared" si="46"/>
        <v>206.57</v>
      </c>
      <c r="AV219" s="9">
        <f t="shared" si="40"/>
        <v>0.69787162162162164</v>
      </c>
    </row>
    <row r="220" spans="1:48" x14ac:dyDescent="0.3">
      <c r="A220" s="23">
        <v>258</v>
      </c>
      <c r="B220" t="s">
        <v>42</v>
      </c>
      <c r="C220" s="1">
        <v>11222</v>
      </c>
      <c r="D220" t="s">
        <v>43</v>
      </c>
      <c r="E220" t="s">
        <v>44</v>
      </c>
      <c r="F220" t="s">
        <v>98</v>
      </c>
      <c r="G220" s="2">
        <v>1972</v>
      </c>
      <c r="H220" s="2" t="s">
        <v>69</v>
      </c>
      <c r="I220" s="2" t="str">
        <f t="shared" si="41"/>
        <v>1950-1980</v>
      </c>
      <c r="J220" s="2">
        <v>8</v>
      </c>
      <c r="K220" s="2">
        <f t="shared" si="39"/>
        <v>10</v>
      </c>
      <c r="L220" s="2">
        <v>39</v>
      </c>
      <c r="M220" s="2">
        <v>31</v>
      </c>
      <c r="N220" s="2">
        <v>4</v>
      </c>
      <c r="O220" s="2">
        <v>0</v>
      </c>
      <c r="P220" s="2">
        <v>1</v>
      </c>
      <c r="Q220" s="2">
        <v>1</v>
      </c>
      <c r="R220" s="2">
        <v>14.6</v>
      </c>
      <c r="S220" s="2">
        <v>14.5</v>
      </c>
      <c r="T220" s="2">
        <v>12.4</v>
      </c>
      <c r="U220" s="2">
        <v>18.600000000000001</v>
      </c>
      <c r="V220" s="1">
        <v>257</v>
      </c>
      <c r="W220" s="2">
        <v>729.6</v>
      </c>
      <c r="X220" s="2">
        <v>186.6</v>
      </c>
      <c r="Y220" s="1">
        <v>595.70000000000005</v>
      </c>
      <c r="Z220" s="2" t="s">
        <v>47</v>
      </c>
      <c r="AA220" s="2">
        <v>6</v>
      </c>
      <c r="AB220" s="2">
        <v>2</v>
      </c>
      <c r="AD220" s="3" t="s">
        <v>58</v>
      </c>
      <c r="AE220" s="3" t="s">
        <v>58</v>
      </c>
      <c r="AF220" s="3" t="s">
        <v>99</v>
      </c>
      <c r="AG220" s="3" t="s">
        <v>74</v>
      </c>
      <c r="AH220" s="3" t="s">
        <v>100</v>
      </c>
      <c r="AI220" s="2">
        <v>1</v>
      </c>
      <c r="AJ220" s="2">
        <v>0</v>
      </c>
      <c r="AK220" s="2">
        <v>0</v>
      </c>
      <c r="AL220" s="2">
        <v>1</v>
      </c>
      <c r="AM220" s="2">
        <v>0</v>
      </c>
      <c r="AN220" s="2">
        <v>1</v>
      </c>
      <c r="AO220" s="2" t="s">
        <v>61</v>
      </c>
      <c r="AP220" s="1">
        <v>421.2</v>
      </c>
      <c r="AQ220" s="1">
        <v>122.2</v>
      </c>
      <c r="AR220" s="4">
        <f t="shared" si="45"/>
        <v>0.22488038277511962</v>
      </c>
      <c r="AS220" s="18">
        <f t="shared" si="37"/>
        <v>95.312000000000012</v>
      </c>
      <c r="AT220">
        <f t="shared" si="44"/>
        <v>0.77996726677577755</v>
      </c>
      <c r="AU220">
        <f t="shared" si="46"/>
        <v>70.37</v>
      </c>
      <c r="AV220" s="9">
        <f t="shared" si="40"/>
        <v>0.57585924713584291</v>
      </c>
    </row>
    <row r="221" spans="1:48" x14ac:dyDescent="0.3">
      <c r="A221" s="23">
        <v>119</v>
      </c>
      <c r="B221" t="s">
        <v>42</v>
      </c>
      <c r="C221" s="1">
        <v>11222</v>
      </c>
      <c r="D221" t="s">
        <v>158</v>
      </c>
      <c r="E221" t="s">
        <v>186</v>
      </c>
      <c r="F221" t="s">
        <v>186</v>
      </c>
      <c r="G221" s="2">
        <v>1989</v>
      </c>
      <c r="H221" s="2" t="s">
        <v>131</v>
      </c>
      <c r="I221" s="2" t="str">
        <f t="shared" si="41"/>
        <v>&gt;1980</v>
      </c>
      <c r="J221" s="2">
        <v>31</v>
      </c>
      <c r="K221" s="2">
        <f t="shared" si="39"/>
        <v>30</v>
      </c>
      <c r="L221" s="2">
        <v>137</v>
      </c>
      <c r="M221" s="2">
        <v>106</v>
      </c>
      <c r="N221" s="2">
        <v>4</v>
      </c>
      <c r="O221" s="2">
        <v>0</v>
      </c>
      <c r="P221" s="2">
        <v>3</v>
      </c>
      <c r="Q221" s="2">
        <v>1</v>
      </c>
      <c r="R221" s="2">
        <v>14</v>
      </c>
      <c r="S221" s="2">
        <v>14</v>
      </c>
      <c r="V221" s="1">
        <v>612</v>
      </c>
      <c r="W221" s="2">
        <v>2113.8000000000002</v>
      </c>
      <c r="X221" s="2">
        <v>498</v>
      </c>
      <c r="Y221" s="1">
        <v>1826</v>
      </c>
      <c r="Z221" s="2" t="s">
        <v>47</v>
      </c>
      <c r="AA221" s="2">
        <v>4</v>
      </c>
      <c r="AB221" s="2">
        <v>0</v>
      </c>
      <c r="AD221" s="3" t="s">
        <v>58</v>
      </c>
      <c r="AE221" s="3" t="s">
        <v>58</v>
      </c>
      <c r="AF221" s="3" t="s">
        <v>50</v>
      </c>
      <c r="AG221" s="3" t="s">
        <v>74</v>
      </c>
      <c r="AH221" s="3" t="s">
        <v>75</v>
      </c>
      <c r="AI221" s="2">
        <v>1</v>
      </c>
      <c r="AJ221" s="2">
        <v>0</v>
      </c>
      <c r="AK221" s="2">
        <v>0</v>
      </c>
      <c r="AL221" s="2">
        <v>1</v>
      </c>
      <c r="AM221" s="2">
        <v>0</v>
      </c>
      <c r="AN221" s="2">
        <v>0</v>
      </c>
      <c r="AO221" s="2" t="s">
        <v>76</v>
      </c>
      <c r="AP221" s="1">
        <v>1244</v>
      </c>
      <c r="AQ221" s="1">
        <v>289</v>
      </c>
      <c r="AR221" s="4">
        <f t="shared" si="45"/>
        <v>0.18851924331376385</v>
      </c>
      <c r="AS221" s="18">
        <f t="shared" ref="AS221:AS252" si="47">IF(AQ221&lt;&gt;"", Y221/6.25,"")</f>
        <v>292.16000000000003</v>
      </c>
      <c r="AT221">
        <f t="shared" si="44"/>
        <v>1.0109342560553634</v>
      </c>
      <c r="AU221">
        <f t="shared" si="46"/>
        <v>240.62</v>
      </c>
      <c r="AV221" s="9">
        <f t="shared" si="40"/>
        <v>0.83259515570934262</v>
      </c>
    </row>
    <row r="222" spans="1:48" x14ac:dyDescent="0.3">
      <c r="A222" s="23">
        <v>178</v>
      </c>
      <c r="B222" t="s">
        <v>42</v>
      </c>
      <c r="C222" s="1">
        <v>11222</v>
      </c>
      <c r="D222" t="s">
        <v>158</v>
      </c>
      <c r="E222" t="s">
        <v>186</v>
      </c>
      <c r="F222" t="s">
        <v>186</v>
      </c>
      <c r="G222" s="2">
        <v>1970</v>
      </c>
      <c r="H222" s="2" t="s">
        <v>57</v>
      </c>
      <c r="I222" s="2" t="str">
        <f t="shared" si="41"/>
        <v>1950-1980</v>
      </c>
      <c r="J222" s="2">
        <v>85</v>
      </c>
      <c r="K222" s="2">
        <f t="shared" si="39"/>
        <v>90</v>
      </c>
      <c r="L222" s="2">
        <v>354</v>
      </c>
      <c r="M222" s="2">
        <v>269</v>
      </c>
      <c r="N222" s="2">
        <v>5</v>
      </c>
      <c r="O222" s="2">
        <v>0</v>
      </c>
      <c r="P222" s="2">
        <v>6</v>
      </c>
      <c r="Q222" s="2">
        <v>1</v>
      </c>
      <c r="R222" s="2">
        <v>17</v>
      </c>
      <c r="S222" s="2">
        <v>17</v>
      </c>
      <c r="V222" s="1">
        <v>1118</v>
      </c>
      <c r="W222" s="2">
        <v>4933.1000000000004</v>
      </c>
      <c r="X222" s="2">
        <v>688.8</v>
      </c>
      <c r="Y222" s="1">
        <v>4337</v>
      </c>
      <c r="Z222" s="2" t="s">
        <v>47</v>
      </c>
      <c r="AA222" s="2">
        <v>4</v>
      </c>
      <c r="AB222" s="2">
        <v>0</v>
      </c>
      <c r="AC222" s="2">
        <v>2</v>
      </c>
      <c r="AD222" s="3" t="s">
        <v>58</v>
      </c>
      <c r="AE222" s="3" t="s">
        <v>58</v>
      </c>
      <c r="AF222" s="3" t="s">
        <v>50</v>
      </c>
      <c r="AG222" s="3" t="s">
        <v>74</v>
      </c>
      <c r="AH222" s="3" t="s">
        <v>75</v>
      </c>
      <c r="AI222" s="2">
        <v>1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 t="s">
        <v>76</v>
      </c>
      <c r="AP222" s="1">
        <v>2218</v>
      </c>
      <c r="AQ222" s="1">
        <v>906</v>
      </c>
      <c r="AR222" s="4">
        <f t="shared" si="45"/>
        <v>0.29001280409731112</v>
      </c>
      <c r="AS222" s="18">
        <f t="shared" si="47"/>
        <v>693.92</v>
      </c>
      <c r="AT222">
        <f t="shared" si="44"/>
        <v>0.76591611479028698</v>
      </c>
      <c r="AU222">
        <f t="shared" si="46"/>
        <v>610.63</v>
      </c>
      <c r="AV222" s="9">
        <f t="shared" si="40"/>
        <v>0.6739845474613686</v>
      </c>
    </row>
    <row r="223" spans="1:48" x14ac:dyDescent="0.3">
      <c r="A223" s="23">
        <v>141</v>
      </c>
      <c r="B223" t="s">
        <v>42</v>
      </c>
      <c r="C223" s="1">
        <v>11222</v>
      </c>
      <c r="D223" t="s">
        <v>158</v>
      </c>
      <c r="E223" t="s">
        <v>186</v>
      </c>
      <c r="F223" t="s">
        <v>186</v>
      </c>
      <c r="G223" s="2">
        <v>1963</v>
      </c>
      <c r="H223" s="2" t="s">
        <v>57</v>
      </c>
      <c r="I223" s="2" t="str">
        <f t="shared" si="41"/>
        <v>1950-1980</v>
      </c>
      <c r="J223" s="2">
        <v>24</v>
      </c>
      <c r="K223" s="2">
        <f t="shared" si="39"/>
        <v>20</v>
      </c>
      <c r="L223" s="2">
        <v>90</v>
      </c>
      <c r="M223" s="2">
        <v>66</v>
      </c>
      <c r="N223" s="2">
        <v>3</v>
      </c>
      <c r="O223" s="2">
        <v>0</v>
      </c>
      <c r="P223" s="2">
        <v>2</v>
      </c>
      <c r="Q223" s="2">
        <v>1</v>
      </c>
      <c r="R223" s="2">
        <v>13.5</v>
      </c>
      <c r="S223" s="2">
        <v>13.5</v>
      </c>
      <c r="V223" s="1">
        <v>430</v>
      </c>
      <c r="W223" s="2">
        <v>1092.4000000000001</v>
      </c>
      <c r="X223" s="2">
        <v>210.3</v>
      </c>
      <c r="Y223" s="1">
        <v>877</v>
      </c>
      <c r="Z223" s="2" t="s">
        <v>47</v>
      </c>
      <c r="AA223" s="2">
        <v>4</v>
      </c>
      <c r="AB223" s="2">
        <v>0</v>
      </c>
      <c r="AD223" s="3" t="s">
        <v>58</v>
      </c>
      <c r="AE223" s="3" t="s">
        <v>58</v>
      </c>
      <c r="AF223" s="3" t="s">
        <v>50</v>
      </c>
      <c r="AG223" s="3" t="s">
        <v>51</v>
      </c>
      <c r="AH223" s="3" t="s">
        <v>75</v>
      </c>
      <c r="AI223" s="2">
        <v>0</v>
      </c>
      <c r="AJ223" s="2">
        <v>1</v>
      </c>
      <c r="AK223" s="2">
        <v>0</v>
      </c>
      <c r="AL223" s="2">
        <v>0</v>
      </c>
      <c r="AM223" s="2">
        <v>0</v>
      </c>
      <c r="AN223" s="2">
        <v>1</v>
      </c>
      <c r="AO223" s="2" t="s">
        <v>84</v>
      </c>
      <c r="AP223" s="1">
        <v>584</v>
      </c>
      <c r="AQ223" s="1">
        <v>205</v>
      </c>
      <c r="AR223" s="4">
        <f t="shared" si="45"/>
        <v>0.25982256020278832</v>
      </c>
      <c r="AS223" s="18">
        <f t="shared" si="47"/>
        <v>140.32</v>
      </c>
      <c r="AT223">
        <f t="shared" si="44"/>
        <v>0.68448780487804872</v>
      </c>
      <c r="AU223">
        <f t="shared" si="46"/>
        <v>149.82</v>
      </c>
      <c r="AV223" s="9">
        <f t="shared" si="40"/>
        <v>0.73082926829268291</v>
      </c>
    </row>
    <row r="224" spans="1:48" x14ac:dyDescent="0.3">
      <c r="A224" s="23">
        <v>124</v>
      </c>
      <c r="B224" t="s">
        <v>42</v>
      </c>
      <c r="C224" s="1">
        <v>11222</v>
      </c>
      <c r="D224" t="s">
        <v>158</v>
      </c>
      <c r="E224" t="s">
        <v>186</v>
      </c>
      <c r="F224" t="s">
        <v>186</v>
      </c>
      <c r="G224" s="2">
        <v>1962</v>
      </c>
      <c r="H224" s="2" t="s">
        <v>57</v>
      </c>
      <c r="I224" s="2" t="str">
        <f t="shared" si="41"/>
        <v>1950-1980</v>
      </c>
      <c r="J224" s="2">
        <v>32</v>
      </c>
      <c r="K224" s="2">
        <f t="shared" si="39"/>
        <v>30</v>
      </c>
      <c r="L224" s="2">
        <v>120</v>
      </c>
      <c r="M224" s="2">
        <v>88</v>
      </c>
      <c r="N224" s="2">
        <v>4</v>
      </c>
      <c r="O224" s="2">
        <v>0</v>
      </c>
      <c r="P224" s="2">
        <v>2</v>
      </c>
      <c r="Q224" s="2">
        <v>1</v>
      </c>
      <c r="R224" s="2">
        <v>15</v>
      </c>
      <c r="S224" s="2">
        <v>15</v>
      </c>
      <c r="V224" s="1">
        <v>394</v>
      </c>
      <c r="W224" s="2">
        <v>1294.3</v>
      </c>
      <c r="X224" s="2">
        <v>97.8</v>
      </c>
      <c r="Y224" s="1">
        <v>1209</v>
      </c>
      <c r="Z224" s="2" t="s">
        <v>47</v>
      </c>
      <c r="AA224" s="2">
        <v>4</v>
      </c>
      <c r="AB224" s="2">
        <v>0</v>
      </c>
      <c r="AD224" s="3" t="s">
        <v>58</v>
      </c>
      <c r="AE224" s="3" t="s">
        <v>49</v>
      </c>
      <c r="AF224" s="3" t="s">
        <v>59</v>
      </c>
      <c r="AG224" s="3" t="s">
        <v>60</v>
      </c>
      <c r="AH224" s="3" t="s">
        <v>75</v>
      </c>
      <c r="AI224" s="2">
        <v>0</v>
      </c>
      <c r="AJ224" s="2">
        <v>1</v>
      </c>
      <c r="AK224" s="2">
        <v>0</v>
      </c>
      <c r="AL224" s="2">
        <v>0</v>
      </c>
      <c r="AM224" s="2">
        <v>0</v>
      </c>
      <c r="AN224" s="2">
        <v>1</v>
      </c>
      <c r="AO224" s="2" t="s">
        <v>76</v>
      </c>
      <c r="AP224" s="1">
        <v>742</v>
      </c>
      <c r="AQ224" s="1">
        <v>255</v>
      </c>
      <c r="AR224" s="4">
        <f t="shared" si="45"/>
        <v>0.25576730190571717</v>
      </c>
      <c r="AS224" s="18">
        <f t="shared" si="47"/>
        <v>193.44</v>
      </c>
      <c r="AT224">
        <f t="shared" si="44"/>
        <v>0.75858823529411767</v>
      </c>
      <c r="AU224">
        <f t="shared" si="46"/>
        <v>199.76</v>
      </c>
      <c r="AV224" s="9">
        <f t="shared" si="40"/>
        <v>0.78337254901960784</v>
      </c>
    </row>
    <row r="225" spans="1:48" x14ac:dyDescent="0.3">
      <c r="A225" s="23">
        <v>201</v>
      </c>
      <c r="B225" t="s">
        <v>42</v>
      </c>
      <c r="C225" s="1">
        <v>11222</v>
      </c>
      <c r="D225" t="s">
        <v>158</v>
      </c>
      <c r="E225" t="s">
        <v>186</v>
      </c>
      <c r="F225" t="s">
        <v>186</v>
      </c>
      <c r="G225" s="2">
        <v>1968</v>
      </c>
      <c r="H225" s="2" t="s">
        <v>57</v>
      </c>
      <c r="I225" s="2" t="str">
        <f t="shared" si="41"/>
        <v>1950-1980</v>
      </c>
      <c r="J225" s="2">
        <v>36</v>
      </c>
      <c r="K225" s="2">
        <f t="shared" si="39"/>
        <v>40</v>
      </c>
      <c r="L225" s="2">
        <v>144</v>
      </c>
      <c r="M225" s="2">
        <v>108</v>
      </c>
      <c r="N225" s="2">
        <v>3</v>
      </c>
      <c r="O225" s="2">
        <v>0</v>
      </c>
      <c r="P225" s="2">
        <v>6</v>
      </c>
      <c r="Q225" s="2">
        <v>1</v>
      </c>
      <c r="R225" s="2">
        <v>11.4</v>
      </c>
      <c r="S225" s="2">
        <v>11.5</v>
      </c>
      <c r="T225" s="2">
        <v>9.8000000000000007</v>
      </c>
      <c r="U225" s="2">
        <v>76.099999999999994</v>
      </c>
      <c r="V225" s="1">
        <v>756.1</v>
      </c>
      <c r="W225" s="2">
        <v>2251.1</v>
      </c>
      <c r="X225" s="2">
        <v>736.2</v>
      </c>
      <c r="Y225" s="1">
        <v>1608</v>
      </c>
      <c r="Z225" s="2" t="s">
        <v>47</v>
      </c>
      <c r="AA225" s="2">
        <v>6</v>
      </c>
      <c r="AB225" s="2">
        <v>2</v>
      </c>
      <c r="AC225" s="2">
        <v>0</v>
      </c>
      <c r="AD225" s="3" t="s">
        <v>58</v>
      </c>
      <c r="AE225" s="3" t="s">
        <v>58</v>
      </c>
      <c r="AF225" s="3" t="s">
        <v>50</v>
      </c>
      <c r="AG225" s="3" t="s">
        <v>67</v>
      </c>
      <c r="AH225" s="3" t="s">
        <v>151</v>
      </c>
      <c r="AI225" s="2">
        <v>0</v>
      </c>
      <c r="AJ225" s="2">
        <v>1</v>
      </c>
      <c r="AK225" s="2">
        <v>0</v>
      </c>
      <c r="AL225" s="2">
        <v>0</v>
      </c>
      <c r="AM225" s="2">
        <v>0</v>
      </c>
      <c r="AN225" s="2">
        <v>1</v>
      </c>
      <c r="AO225" s="2" t="s">
        <v>76</v>
      </c>
      <c r="AP225" s="1">
        <v>1440.4</v>
      </c>
      <c r="AQ225" s="1">
        <v>351.6</v>
      </c>
      <c r="AR225" s="4">
        <f t="shared" si="45"/>
        <v>0.19620535714285717</v>
      </c>
      <c r="AS225" s="18">
        <f t="shared" si="47"/>
        <v>257.27999999999997</v>
      </c>
      <c r="AT225">
        <f t="shared" si="44"/>
        <v>0.73174061433447091</v>
      </c>
      <c r="AU225">
        <f t="shared" si="46"/>
        <v>245.16</v>
      </c>
      <c r="AV225" s="9">
        <f t="shared" si="40"/>
        <v>0.69726962457337882</v>
      </c>
    </row>
    <row r="226" spans="1:48" x14ac:dyDescent="0.3">
      <c r="A226" s="23">
        <v>266</v>
      </c>
      <c r="B226" t="s">
        <v>42</v>
      </c>
      <c r="C226" s="1">
        <v>11222</v>
      </c>
      <c r="D226" t="s">
        <v>158</v>
      </c>
      <c r="E226" t="s">
        <v>186</v>
      </c>
      <c r="F226" t="s">
        <v>209</v>
      </c>
      <c r="G226" s="2">
        <v>1972</v>
      </c>
      <c r="H226" s="2" t="s">
        <v>69</v>
      </c>
      <c r="I226" s="2" t="str">
        <f t="shared" si="41"/>
        <v>1950-1980</v>
      </c>
      <c r="J226" s="2">
        <v>18</v>
      </c>
      <c r="K226" s="2">
        <f t="shared" si="39"/>
        <v>20</v>
      </c>
      <c r="L226" s="2">
        <v>87</v>
      </c>
      <c r="M226" s="2">
        <v>69</v>
      </c>
      <c r="N226" s="2">
        <v>3</v>
      </c>
      <c r="O226" s="2">
        <v>0</v>
      </c>
      <c r="P226" s="2">
        <v>3</v>
      </c>
      <c r="Q226" s="2">
        <v>1</v>
      </c>
      <c r="R226" s="2">
        <v>10.3</v>
      </c>
      <c r="S226" s="2">
        <v>10.5</v>
      </c>
      <c r="V226" s="1">
        <v>452</v>
      </c>
      <c r="W226" s="2">
        <v>1255.3</v>
      </c>
      <c r="X226" s="2">
        <v>362.9</v>
      </c>
      <c r="Y226" s="1">
        <v>1011.3</v>
      </c>
      <c r="Z226" s="2" t="s">
        <v>47</v>
      </c>
      <c r="AA226" s="2">
        <v>4</v>
      </c>
      <c r="AB226" s="2">
        <v>0</v>
      </c>
      <c r="AD226" s="3" t="s">
        <v>58</v>
      </c>
      <c r="AE226" s="3" t="s">
        <v>49</v>
      </c>
      <c r="AF226" s="3" t="s">
        <v>65</v>
      </c>
      <c r="AG226" s="3" t="s">
        <v>74</v>
      </c>
      <c r="AH226" s="3" t="s">
        <v>75</v>
      </c>
      <c r="AI226" s="2">
        <v>1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 t="s">
        <v>76</v>
      </c>
      <c r="AP226" s="1">
        <v>674.9</v>
      </c>
      <c r="AQ226" s="1">
        <v>201.6</v>
      </c>
      <c r="AR226" s="4">
        <f t="shared" si="45"/>
        <v>0.23000570450656019</v>
      </c>
      <c r="AS226" s="18">
        <f t="shared" si="47"/>
        <v>161.80799999999999</v>
      </c>
      <c r="AT226">
        <f t="shared" si="44"/>
        <v>0.80261904761904757</v>
      </c>
      <c r="AU226">
        <f t="shared" si="46"/>
        <v>156.63</v>
      </c>
      <c r="AV226" s="9">
        <f t="shared" si="40"/>
        <v>0.77693452380952377</v>
      </c>
    </row>
    <row r="227" spans="1:48" x14ac:dyDescent="0.3">
      <c r="A227" s="23">
        <v>269</v>
      </c>
      <c r="B227" t="s">
        <v>42</v>
      </c>
      <c r="C227" s="1">
        <v>11222</v>
      </c>
      <c r="D227" t="s">
        <v>158</v>
      </c>
      <c r="E227" t="s">
        <v>186</v>
      </c>
      <c r="F227" t="s">
        <v>186</v>
      </c>
      <c r="G227" s="2">
        <v>1970</v>
      </c>
      <c r="H227" s="2" t="s">
        <v>57</v>
      </c>
      <c r="I227" s="2" t="str">
        <f t="shared" si="41"/>
        <v>1950-1980</v>
      </c>
      <c r="J227" s="2">
        <v>85</v>
      </c>
      <c r="K227" s="2">
        <f t="shared" si="39"/>
        <v>90</v>
      </c>
      <c r="L227" s="2">
        <v>356</v>
      </c>
      <c r="M227" s="2">
        <v>271</v>
      </c>
      <c r="N227" s="2">
        <v>5</v>
      </c>
      <c r="O227" s="2">
        <v>0</v>
      </c>
      <c r="P227" s="2">
        <v>6</v>
      </c>
      <c r="Q227" s="2">
        <v>1</v>
      </c>
      <c r="R227" s="2">
        <v>17</v>
      </c>
      <c r="S227" s="2">
        <v>17</v>
      </c>
      <c r="V227" s="1">
        <v>1130</v>
      </c>
      <c r="W227" s="2">
        <v>4864.3</v>
      </c>
      <c r="X227" s="2">
        <v>874</v>
      </c>
      <c r="Y227" s="1">
        <v>4588</v>
      </c>
      <c r="Z227" s="2" t="s">
        <v>47</v>
      </c>
      <c r="AA227" s="2">
        <v>4</v>
      </c>
      <c r="AB227" s="2">
        <v>0</v>
      </c>
      <c r="AC227" s="2">
        <v>2</v>
      </c>
      <c r="AD227" s="3" t="s">
        <v>58</v>
      </c>
      <c r="AE227" s="3" t="s">
        <v>235</v>
      </c>
      <c r="AF227" s="3" t="s">
        <v>73</v>
      </c>
      <c r="AG227" s="3" t="s">
        <v>74</v>
      </c>
      <c r="AH227" s="3" t="s">
        <v>75</v>
      </c>
      <c r="AI227" s="2">
        <v>1</v>
      </c>
      <c r="AJ227" s="2">
        <v>0</v>
      </c>
      <c r="AK227" s="2">
        <v>0</v>
      </c>
      <c r="AL227" s="2">
        <v>0</v>
      </c>
      <c r="AM227" s="2">
        <v>0</v>
      </c>
      <c r="AN227" s="2">
        <v>1</v>
      </c>
      <c r="AO227" s="2" t="s">
        <v>76</v>
      </c>
      <c r="AP227" s="1">
        <f>1977+327</f>
        <v>2304</v>
      </c>
      <c r="AQ227" s="1">
        <f>21+393+475</f>
        <v>889</v>
      </c>
      <c r="AR227" s="4">
        <f t="shared" si="45"/>
        <v>0.27842154713435641</v>
      </c>
      <c r="AS227" s="18">
        <f t="shared" si="47"/>
        <v>734.08</v>
      </c>
      <c r="AT227">
        <f t="shared" si="44"/>
        <v>0.82573678290213726</v>
      </c>
      <c r="AU227">
        <f t="shared" si="46"/>
        <v>615.16999999999996</v>
      </c>
      <c r="AV227" s="9">
        <f t="shared" si="40"/>
        <v>0.69197975253093358</v>
      </c>
    </row>
    <row r="228" spans="1:48" x14ac:dyDescent="0.3">
      <c r="A228" s="23">
        <v>351</v>
      </c>
      <c r="B228" t="s">
        <v>42</v>
      </c>
      <c r="C228" s="1">
        <v>12311</v>
      </c>
      <c r="D228" t="s">
        <v>85</v>
      </c>
      <c r="E228" t="s">
        <v>86</v>
      </c>
      <c r="F228" t="s">
        <v>86</v>
      </c>
      <c r="G228" s="2">
        <v>1963</v>
      </c>
      <c r="H228" s="2" t="s">
        <v>57</v>
      </c>
      <c r="I228" s="2" t="str">
        <f t="shared" si="41"/>
        <v>1950-1980</v>
      </c>
      <c r="J228" s="2">
        <v>49</v>
      </c>
      <c r="K228" s="2">
        <f>MROUND(J228,10)</f>
        <v>50</v>
      </c>
      <c r="L228" s="2">
        <v>204</v>
      </c>
      <c r="M228" s="2">
        <v>155</v>
      </c>
      <c r="N228" s="2">
        <v>4</v>
      </c>
      <c r="O228" s="2">
        <v>0</v>
      </c>
      <c r="P228" s="2">
        <v>4</v>
      </c>
      <c r="Q228" s="2">
        <v>1</v>
      </c>
      <c r="R228" s="2">
        <v>16.7</v>
      </c>
      <c r="S228" s="2">
        <v>16.5</v>
      </c>
      <c r="V228" s="1">
        <v>659</v>
      </c>
      <c r="W228" s="2">
        <v>2521.1999999999998</v>
      </c>
      <c r="X228" s="2">
        <v>398.5</v>
      </c>
      <c r="Y228" s="1">
        <v>2140</v>
      </c>
      <c r="Z228" s="2" t="s">
        <v>47</v>
      </c>
      <c r="AA228" s="2">
        <v>4</v>
      </c>
      <c r="AB228" s="2">
        <v>0</v>
      </c>
      <c r="AD228" s="3" t="s">
        <v>58</v>
      </c>
      <c r="AE228" s="3" t="s">
        <v>92</v>
      </c>
      <c r="AF228" s="3" t="s">
        <v>59</v>
      </c>
      <c r="AG228" s="3" t="s">
        <v>60</v>
      </c>
      <c r="AH228" s="3" t="s">
        <v>75</v>
      </c>
      <c r="AI228" s="2">
        <v>0</v>
      </c>
      <c r="AJ228" s="2">
        <v>1</v>
      </c>
      <c r="AK228" s="2">
        <v>0</v>
      </c>
      <c r="AL228" s="2">
        <v>0</v>
      </c>
      <c r="AM228" s="2">
        <v>0</v>
      </c>
      <c r="AN228" s="2">
        <v>1</v>
      </c>
      <c r="AO228" s="2" t="s">
        <v>123</v>
      </c>
      <c r="AP228" s="1">
        <f>1306.5+265.8</f>
        <v>1572.3</v>
      </c>
      <c r="AQ228" s="1">
        <f>190+204.6+21.5+16.4</f>
        <v>432.5</v>
      </c>
      <c r="AR228" s="4">
        <f t="shared" si="45"/>
        <v>0.21573224261771748</v>
      </c>
      <c r="AS228" s="18">
        <f t="shared" si="47"/>
        <v>342.4</v>
      </c>
      <c r="AT228">
        <f t="shared" si="44"/>
        <v>0.79167630057803462</v>
      </c>
      <c r="AU228">
        <f t="shared" si="46"/>
        <v>351.85</v>
      </c>
      <c r="AV228" s="9">
        <f t="shared" si="40"/>
        <v>0.81352601156069371</v>
      </c>
    </row>
    <row r="229" spans="1:48" x14ac:dyDescent="0.3">
      <c r="A229" s="23">
        <v>366</v>
      </c>
      <c r="B229" t="s">
        <v>42</v>
      </c>
      <c r="C229" s="1">
        <v>12201</v>
      </c>
      <c r="D229" t="s">
        <v>85</v>
      </c>
      <c r="E229" t="s">
        <v>86</v>
      </c>
      <c r="F229" t="s">
        <v>86</v>
      </c>
      <c r="G229" s="2">
        <v>1963</v>
      </c>
      <c r="H229" s="2" t="s">
        <v>57</v>
      </c>
      <c r="I229" s="2" t="str">
        <f t="shared" si="41"/>
        <v>1950-1980</v>
      </c>
      <c r="J229" s="2">
        <v>31</v>
      </c>
      <c r="K229" s="2">
        <f>MROUND(J229,10)</f>
        <v>30</v>
      </c>
      <c r="L229" s="2">
        <v>127</v>
      </c>
      <c r="M229" s="2">
        <v>96</v>
      </c>
      <c r="N229" s="2">
        <v>4</v>
      </c>
      <c r="O229" s="2">
        <v>0</v>
      </c>
      <c r="P229" s="2">
        <v>2</v>
      </c>
      <c r="Q229" s="2">
        <v>1</v>
      </c>
      <c r="R229" s="2">
        <v>15.3</v>
      </c>
      <c r="S229" s="2">
        <v>15.5</v>
      </c>
      <c r="T229" s="2">
        <v>11.7</v>
      </c>
      <c r="U229" s="2">
        <v>41.2</v>
      </c>
      <c r="V229" s="1">
        <v>445</v>
      </c>
      <c r="W229" s="2">
        <v>1604.1</v>
      </c>
      <c r="X229" s="2">
        <v>244.9</v>
      </c>
      <c r="Y229" s="1">
        <v>1420</v>
      </c>
      <c r="Z229" s="2" t="s">
        <v>47</v>
      </c>
      <c r="AA229" s="2">
        <v>5</v>
      </c>
      <c r="AB229" s="2">
        <v>1</v>
      </c>
      <c r="AD229" s="3" t="s">
        <v>231</v>
      </c>
      <c r="AE229" s="3" t="s">
        <v>58</v>
      </c>
      <c r="AF229" s="3" t="s">
        <v>50</v>
      </c>
      <c r="AG229" s="3" t="s">
        <v>51</v>
      </c>
      <c r="AH229" s="3" t="s">
        <v>75</v>
      </c>
      <c r="AI229" s="2">
        <v>0</v>
      </c>
      <c r="AJ229" s="2">
        <v>1</v>
      </c>
      <c r="AK229" s="2">
        <v>0</v>
      </c>
      <c r="AL229" s="2">
        <v>0</v>
      </c>
      <c r="AM229" s="2">
        <v>0</v>
      </c>
      <c r="AN229" s="2">
        <v>1</v>
      </c>
      <c r="AO229" s="2" t="s">
        <v>88</v>
      </c>
      <c r="AP229" s="1">
        <f>966.6</f>
        <v>966.6</v>
      </c>
      <c r="AQ229" s="1">
        <f>135.2+126.4+17.9*2</f>
        <v>297.40000000000003</v>
      </c>
      <c r="AR229" s="4">
        <f t="shared" si="45"/>
        <v>0.23528481012658231</v>
      </c>
      <c r="AS229" s="18">
        <f t="shared" si="47"/>
        <v>227.2</v>
      </c>
      <c r="AT229">
        <f t="shared" si="44"/>
        <v>0.76395427034297225</v>
      </c>
      <c r="AU229">
        <f t="shared" si="46"/>
        <v>217.92000000000002</v>
      </c>
      <c r="AV229" s="9">
        <f t="shared" si="40"/>
        <v>0.73275050437121714</v>
      </c>
    </row>
    <row r="230" spans="1:48" x14ac:dyDescent="0.3">
      <c r="A230" s="23">
        <v>38</v>
      </c>
      <c r="B230" t="s">
        <v>42</v>
      </c>
      <c r="C230" s="1">
        <v>11222</v>
      </c>
      <c r="D230" t="s">
        <v>85</v>
      </c>
      <c r="E230" t="s">
        <v>86</v>
      </c>
      <c r="F230" t="s">
        <v>86</v>
      </c>
      <c r="G230" s="2">
        <v>1977</v>
      </c>
      <c r="H230" s="2" t="s">
        <v>69</v>
      </c>
      <c r="I230" s="2" t="str">
        <f t="shared" si="41"/>
        <v>1950-1980</v>
      </c>
      <c r="J230" s="2">
        <v>24</v>
      </c>
      <c r="K230" s="2">
        <f t="shared" si="39"/>
        <v>20</v>
      </c>
      <c r="L230" s="2">
        <v>101</v>
      </c>
      <c r="M230" s="2">
        <v>77</v>
      </c>
      <c r="N230" s="2">
        <v>3</v>
      </c>
      <c r="O230" s="2">
        <v>0</v>
      </c>
      <c r="P230" s="2">
        <v>2</v>
      </c>
      <c r="Q230" s="2">
        <v>1</v>
      </c>
      <c r="R230" s="2">
        <v>11</v>
      </c>
      <c r="S230" s="2">
        <v>11</v>
      </c>
      <c r="V230" s="1">
        <v>458</v>
      </c>
      <c r="W230" s="2">
        <v>1380.6</v>
      </c>
      <c r="X230" s="2">
        <v>57.8</v>
      </c>
      <c r="Y230" s="1">
        <v>1045.5999999999999</v>
      </c>
      <c r="Z230" s="2" t="s">
        <v>47</v>
      </c>
      <c r="AA230" s="2">
        <v>4</v>
      </c>
      <c r="AB230" s="2">
        <v>0</v>
      </c>
      <c r="AD230" s="3" t="s">
        <v>80</v>
      </c>
      <c r="AE230" s="3" t="s">
        <v>58</v>
      </c>
      <c r="AF230" s="3" t="s">
        <v>202</v>
      </c>
      <c r="AG230" s="3" t="s">
        <v>51</v>
      </c>
      <c r="AH230" s="3" t="s">
        <v>75</v>
      </c>
      <c r="AI230" s="2">
        <v>0</v>
      </c>
      <c r="AJ230" s="2">
        <v>1</v>
      </c>
      <c r="AK230" s="2">
        <v>0</v>
      </c>
      <c r="AL230" s="2">
        <v>0</v>
      </c>
      <c r="AM230" s="2">
        <v>0</v>
      </c>
      <c r="AN230" s="2">
        <v>1</v>
      </c>
      <c r="AO230" s="2" t="s">
        <v>61</v>
      </c>
      <c r="AR230" s="4"/>
      <c r="AS230" s="18" t="str">
        <f t="shared" si="47"/>
        <v/>
      </c>
      <c r="AT230" t="str">
        <f t="shared" si="44"/>
        <v/>
      </c>
      <c r="AU230" t="str">
        <f>IF(AQ230&lt;&gt;"",2.3*M230,"")</f>
        <v/>
      </c>
      <c r="AV230" s="9" t="str">
        <f t="shared" si="40"/>
        <v/>
      </c>
    </row>
    <row r="231" spans="1:48" x14ac:dyDescent="0.3">
      <c r="A231" s="23">
        <v>301</v>
      </c>
      <c r="B231" t="s">
        <v>42</v>
      </c>
      <c r="C231" s="1">
        <v>11222</v>
      </c>
      <c r="D231" t="s">
        <v>85</v>
      </c>
      <c r="E231" t="s">
        <v>86</v>
      </c>
      <c r="F231" t="s">
        <v>86</v>
      </c>
      <c r="G231" s="2">
        <v>1960</v>
      </c>
      <c r="H231" s="2" t="s">
        <v>63</v>
      </c>
      <c r="I231" s="2" t="str">
        <f t="shared" si="41"/>
        <v>1950-1980</v>
      </c>
      <c r="J231" s="2">
        <v>32</v>
      </c>
      <c r="K231" s="2">
        <f t="shared" si="39"/>
        <v>30</v>
      </c>
      <c r="L231" s="2">
        <v>120</v>
      </c>
      <c r="M231" s="2">
        <v>88</v>
      </c>
      <c r="N231" s="2">
        <v>4</v>
      </c>
      <c r="O231" s="2">
        <v>0</v>
      </c>
      <c r="P231" s="2">
        <v>2</v>
      </c>
      <c r="Q231" s="2">
        <v>1</v>
      </c>
      <c r="R231" s="2">
        <v>17.2</v>
      </c>
      <c r="S231" s="2">
        <v>17</v>
      </c>
      <c r="T231" s="2">
        <v>13</v>
      </c>
      <c r="U231" s="2">
        <v>35.1</v>
      </c>
      <c r="V231" s="1">
        <v>467</v>
      </c>
      <c r="W231" s="2">
        <v>1652</v>
      </c>
      <c r="X231" s="2">
        <v>143.9</v>
      </c>
      <c r="Y231" s="1">
        <v>1355</v>
      </c>
      <c r="Z231" s="2" t="s">
        <v>47</v>
      </c>
      <c r="AA231" s="2">
        <v>4</v>
      </c>
      <c r="AB231" s="2">
        <v>0</v>
      </c>
      <c r="AD231" s="3" t="s">
        <v>58</v>
      </c>
      <c r="AE231" s="3" t="s">
        <v>49</v>
      </c>
      <c r="AF231" s="3" t="s">
        <v>50</v>
      </c>
      <c r="AG231" s="3" t="s">
        <v>60</v>
      </c>
      <c r="AH231" s="3" t="s">
        <v>75</v>
      </c>
      <c r="AI231" s="2">
        <v>0</v>
      </c>
      <c r="AJ231" s="2">
        <v>1</v>
      </c>
      <c r="AK231" s="2">
        <v>0</v>
      </c>
      <c r="AL231" s="2">
        <v>0</v>
      </c>
      <c r="AM231" s="2">
        <v>0</v>
      </c>
      <c r="AN231" s="2">
        <v>1</v>
      </c>
      <c r="AO231" s="2" t="s">
        <v>84</v>
      </c>
      <c r="AP231" s="1">
        <f>849.4+178</f>
        <v>1027.4000000000001</v>
      </c>
      <c r="AQ231" s="1">
        <f>99.7+96.7+19.5*2</f>
        <v>235.4</v>
      </c>
      <c r="AR231" s="4">
        <f t="shared" ref="AR231:AR243" si="48">AQ231/(AP231+AQ231)</f>
        <v>0.18641114982578394</v>
      </c>
      <c r="AS231" s="18">
        <f t="shared" si="47"/>
        <v>216.8</v>
      </c>
      <c r="AT231">
        <f t="shared" si="44"/>
        <v>0.92098555649957525</v>
      </c>
      <c r="AU231">
        <f t="shared" ref="AU231:AU243" si="49">IF(AQ231&lt;&gt;"",2.27*M231,"")</f>
        <v>199.76</v>
      </c>
      <c r="AV231" s="9">
        <f t="shared" si="40"/>
        <v>0.84859813084112146</v>
      </c>
    </row>
    <row r="232" spans="1:48" x14ac:dyDescent="0.3">
      <c r="A232" s="23">
        <v>166</v>
      </c>
      <c r="B232" t="s">
        <v>42</v>
      </c>
      <c r="C232" s="1">
        <v>11222</v>
      </c>
      <c r="D232" t="s">
        <v>85</v>
      </c>
      <c r="E232" t="s">
        <v>86</v>
      </c>
      <c r="F232" t="s">
        <v>86</v>
      </c>
      <c r="G232" s="2">
        <v>1977</v>
      </c>
      <c r="H232" s="2" t="s">
        <v>69</v>
      </c>
      <c r="I232" s="2" t="str">
        <f t="shared" si="41"/>
        <v>1950-1980</v>
      </c>
      <c r="J232" s="2">
        <v>85</v>
      </c>
      <c r="K232" s="2">
        <f t="shared" si="39"/>
        <v>90</v>
      </c>
      <c r="L232" s="2">
        <v>355</v>
      </c>
      <c r="M232" s="2">
        <v>270</v>
      </c>
      <c r="N232" s="2">
        <v>5</v>
      </c>
      <c r="O232" s="2">
        <v>0</v>
      </c>
      <c r="P232" s="2">
        <v>6</v>
      </c>
      <c r="Q232" s="2">
        <v>1</v>
      </c>
      <c r="R232" s="2">
        <v>18.7</v>
      </c>
      <c r="S232" s="2">
        <v>18.5</v>
      </c>
      <c r="V232" s="1">
        <v>1076</v>
      </c>
      <c r="W232" s="2">
        <v>5357.2</v>
      </c>
      <c r="X232" s="2">
        <v>1533</v>
      </c>
      <c r="Y232" s="1">
        <v>4139.2</v>
      </c>
      <c r="Z232" s="2" t="s">
        <v>47</v>
      </c>
      <c r="AA232" s="2">
        <v>15</v>
      </c>
      <c r="AB232" s="2">
        <v>11</v>
      </c>
      <c r="AD232" s="3" t="s">
        <v>58</v>
      </c>
      <c r="AE232" s="3" t="s">
        <v>58</v>
      </c>
      <c r="AF232" s="3" t="s">
        <v>50</v>
      </c>
      <c r="AG232" s="3" t="s">
        <v>74</v>
      </c>
      <c r="AH232" s="3" t="s">
        <v>75</v>
      </c>
      <c r="AI232" s="2">
        <v>1</v>
      </c>
      <c r="AJ232" s="2">
        <v>0</v>
      </c>
      <c r="AK232" s="2">
        <v>0</v>
      </c>
      <c r="AL232" s="2">
        <v>0</v>
      </c>
      <c r="AM232" s="2">
        <v>1</v>
      </c>
      <c r="AN232" s="2">
        <v>1</v>
      </c>
      <c r="AO232" s="2" t="s">
        <v>84</v>
      </c>
      <c r="AP232" s="1">
        <f>2791</f>
        <v>2791</v>
      </c>
      <c r="AQ232" s="1">
        <f>421+96+355</f>
        <v>872</v>
      </c>
      <c r="AR232" s="4">
        <f t="shared" si="48"/>
        <v>0.23805623805623805</v>
      </c>
      <c r="AS232" s="18">
        <f t="shared" si="47"/>
        <v>662.27199999999993</v>
      </c>
      <c r="AT232">
        <f t="shared" si="44"/>
        <v>0.75948623853211006</v>
      </c>
      <c r="AU232">
        <f t="shared" si="49"/>
        <v>612.9</v>
      </c>
      <c r="AV232" s="9">
        <f t="shared" si="40"/>
        <v>0.7028669724770642</v>
      </c>
    </row>
    <row r="233" spans="1:48" x14ac:dyDescent="0.3">
      <c r="A233" s="23">
        <v>372</v>
      </c>
      <c r="B233" t="s">
        <v>42</v>
      </c>
      <c r="C233" s="1">
        <v>11222</v>
      </c>
      <c r="D233" t="s">
        <v>85</v>
      </c>
      <c r="E233" t="s">
        <v>86</v>
      </c>
      <c r="F233" t="s">
        <v>86</v>
      </c>
      <c r="G233" s="2">
        <v>1969</v>
      </c>
      <c r="H233" s="2" t="s">
        <v>57</v>
      </c>
      <c r="I233" s="2" t="str">
        <f t="shared" si="41"/>
        <v>1950-1980</v>
      </c>
      <c r="J233" s="2">
        <v>18</v>
      </c>
      <c r="K233" s="2">
        <f t="shared" si="39"/>
        <v>20</v>
      </c>
      <c r="L233" s="2">
        <v>72</v>
      </c>
      <c r="M233" s="2">
        <v>54</v>
      </c>
      <c r="N233" s="2">
        <v>3</v>
      </c>
      <c r="O233" s="2">
        <v>0</v>
      </c>
      <c r="P233" s="2">
        <v>2</v>
      </c>
      <c r="Q233" s="2">
        <v>1</v>
      </c>
      <c r="R233" s="2">
        <v>12</v>
      </c>
      <c r="S233" s="2">
        <v>12</v>
      </c>
      <c r="V233" s="1">
        <v>359</v>
      </c>
      <c r="W233" s="2">
        <v>1122.7</v>
      </c>
      <c r="X233" s="2">
        <v>338.4</v>
      </c>
      <c r="Y233" s="1">
        <v>859</v>
      </c>
      <c r="Z233" s="2" t="s">
        <v>47</v>
      </c>
      <c r="AA233" s="2">
        <v>4</v>
      </c>
      <c r="AB233" s="2">
        <v>0</v>
      </c>
      <c r="AD233" s="3" t="s">
        <v>58</v>
      </c>
      <c r="AE233" s="3" t="s">
        <v>49</v>
      </c>
      <c r="AF233" s="3" t="s">
        <v>65</v>
      </c>
      <c r="AG233" s="3" t="s">
        <v>60</v>
      </c>
      <c r="AH233" s="3" t="s">
        <v>75</v>
      </c>
      <c r="AI233" s="2">
        <v>0</v>
      </c>
      <c r="AJ233" s="2">
        <v>1</v>
      </c>
      <c r="AK233" s="2">
        <v>0</v>
      </c>
      <c r="AL233" s="2">
        <v>0</v>
      </c>
      <c r="AM233" s="2">
        <v>0</v>
      </c>
      <c r="AN233" s="2">
        <v>1</v>
      </c>
      <c r="AO233" s="2" t="s">
        <v>123</v>
      </c>
      <c r="AP233" s="1">
        <v>550</v>
      </c>
      <c r="AQ233" s="1">
        <v>179</v>
      </c>
      <c r="AR233" s="4">
        <f t="shared" si="48"/>
        <v>0.24554183813443073</v>
      </c>
      <c r="AS233" s="18">
        <f t="shared" si="47"/>
        <v>137.44</v>
      </c>
      <c r="AT233">
        <f t="shared" si="44"/>
        <v>0.76782122905027927</v>
      </c>
      <c r="AU233">
        <f t="shared" si="49"/>
        <v>122.58</v>
      </c>
      <c r="AV233" s="9">
        <f t="shared" si="40"/>
        <v>0.68480446927374305</v>
      </c>
    </row>
    <row r="234" spans="1:48" x14ac:dyDescent="0.3">
      <c r="A234" s="23">
        <v>307</v>
      </c>
      <c r="B234" t="s">
        <v>42</v>
      </c>
      <c r="C234" s="1">
        <v>11222</v>
      </c>
      <c r="D234" t="s">
        <v>85</v>
      </c>
      <c r="E234" t="s">
        <v>86</v>
      </c>
      <c r="F234" t="s">
        <v>86</v>
      </c>
      <c r="G234" s="2">
        <v>1970</v>
      </c>
      <c r="H234" s="2" t="s">
        <v>57</v>
      </c>
      <c r="I234" s="2" t="str">
        <f t="shared" si="41"/>
        <v>1950-1980</v>
      </c>
      <c r="J234" s="2">
        <v>60</v>
      </c>
      <c r="K234" s="2">
        <f t="shared" si="39"/>
        <v>60</v>
      </c>
      <c r="L234" s="2">
        <v>265</v>
      </c>
      <c r="M234" s="2">
        <v>205</v>
      </c>
      <c r="N234" s="2">
        <v>5</v>
      </c>
      <c r="O234" s="2">
        <v>0</v>
      </c>
      <c r="P234" s="2">
        <v>4</v>
      </c>
      <c r="Q234" s="2">
        <v>1</v>
      </c>
      <c r="R234" s="2">
        <v>18.7</v>
      </c>
      <c r="S234" s="2">
        <v>18.5</v>
      </c>
      <c r="T234" s="2">
        <v>13.7</v>
      </c>
      <c r="U234" s="2">
        <v>85.2</v>
      </c>
      <c r="V234" s="1">
        <v>1066</v>
      </c>
      <c r="W234" s="2">
        <v>4920</v>
      </c>
      <c r="X234" s="2">
        <v>1164</v>
      </c>
      <c r="Y234" s="1">
        <v>3623.5</v>
      </c>
      <c r="Z234" s="2" t="s">
        <v>47</v>
      </c>
      <c r="AA234" s="2">
        <v>13</v>
      </c>
      <c r="AB234" s="2">
        <v>9</v>
      </c>
      <c r="AD234" s="3" t="s">
        <v>80</v>
      </c>
      <c r="AE234" s="3" t="s">
        <v>58</v>
      </c>
      <c r="AF234" s="3" t="s">
        <v>350</v>
      </c>
      <c r="AG234" s="3" t="s">
        <v>74</v>
      </c>
      <c r="AH234" s="3" t="s">
        <v>127</v>
      </c>
      <c r="AI234" s="2">
        <v>1</v>
      </c>
      <c r="AJ234" s="2">
        <v>0</v>
      </c>
      <c r="AK234" s="2">
        <v>0</v>
      </c>
      <c r="AL234" s="2">
        <v>0</v>
      </c>
      <c r="AM234" s="2">
        <v>1</v>
      </c>
      <c r="AN234" s="2">
        <v>1</v>
      </c>
      <c r="AP234" s="1">
        <f>855+200</f>
        <v>1055</v>
      </c>
      <c r="AQ234" s="1">
        <f>239+233</f>
        <v>472</v>
      </c>
      <c r="AR234" s="4">
        <f t="shared" si="48"/>
        <v>0.30910281597904388</v>
      </c>
      <c r="AS234" s="18">
        <f t="shared" si="47"/>
        <v>579.76</v>
      </c>
      <c r="AT234">
        <f t="shared" si="44"/>
        <v>1.2283050847457626</v>
      </c>
      <c r="AU234">
        <f t="shared" si="49"/>
        <v>465.35</v>
      </c>
      <c r="AV234" s="9">
        <f t="shared" si="40"/>
        <v>0.98591101694915262</v>
      </c>
    </row>
    <row r="235" spans="1:48" x14ac:dyDescent="0.3">
      <c r="A235" s="23">
        <v>332</v>
      </c>
      <c r="B235" t="s">
        <v>42</v>
      </c>
      <c r="C235" s="1">
        <v>11222</v>
      </c>
      <c r="D235" t="s">
        <v>85</v>
      </c>
      <c r="E235" t="s">
        <v>86</v>
      </c>
      <c r="F235" t="s">
        <v>86</v>
      </c>
      <c r="G235" s="2">
        <v>1973</v>
      </c>
      <c r="H235" s="2" t="s">
        <v>69</v>
      </c>
      <c r="I235" s="2" t="str">
        <f t="shared" si="41"/>
        <v>1950-1980</v>
      </c>
      <c r="J235" s="2">
        <v>110</v>
      </c>
      <c r="K235" s="2">
        <f t="shared" si="39"/>
        <v>110</v>
      </c>
      <c r="L235" s="2">
        <v>468</v>
      </c>
      <c r="M235" s="2">
        <v>358</v>
      </c>
      <c r="N235" s="2">
        <v>5</v>
      </c>
      <c r="O235" s="2">
        <v>0</v>
      </c>
      <c r="P235" s="2">
        <v>8</v>
      </c>
      <c r="Q235" s="2">
        <v>1</v>
      </c>
      <c r="R235" s="2">
        <v>17.8</v>
      </c>
      <c r="S235" s="2">
        <v>18</v>
      </c>
      <c r="V235" s="1">
        <v>1433</v>
      </c>
      <c r="W235" s="2">
        <v>7350</v>
      </c>
      <c r="X235" s="2">
        <v>462.8</v>
      </c>
      <c r="Y235" s="1">
        <v>5736</v>
      </c>
      <c r="Z235" s="2" t="s">
        <v>47</v>
      </c>
      <c r="AA235" s="2">
        <v>4</v>
      </c>
      <c r="AB235" s="2">
        <v>0</v>
      </c>
      <c r="AD235" s="3" t="s">
        <v>236</v>
      </c>
      <c r="AE235" s="3" t="s">
        <v>49</v>
      </c>
      <c r="AF235" s="3" t="s">
        <v>59</v>
      </c>
      <c r="AG235" s="3" t="s">
        <v>74</v>
      </c>
      <c r="AH235" s="3" t="s">
        <v>75</v>
      </c>
      <c r="AI235" s="2">
        <v>1</v>
      </c>
      <c r="AJ235" s="2">
        <v>0</v>
      </c>
      <c r="AK235" s="2">
        <v>0</v>
      </c>
      <c r="AL235" s="2">
        <v>1</v>
      </c>
      <c r="AM235" s="2">
        <v>0</v>
      </c>
      <c r="AN235" s="2">
        <v>1</v>
      </c>
      <c r="AO235" s="2" t="s">
        <v>76</v>
      </c>
      <c r="AP235" s="1">
        <f>2190.2+106.2+16.4+32.6</f>
        <v>2345.3999999999996</v>
      </c>
      <c r="AQ235" s="7">
        <f>18.8+624+18.8+667.2</f>
        <v>1328.8</v>
      </c>
      <c r="AR235" s="4">
        <f t="shared" si="48"/>
        <v>0.36165695933808722</v>
      </c>
      <c r="AS235" s="18">
        <f t="shared" si="47"/>
        <v>917.76</v>
      </c>
      <c r="AT235">
        <f t="shared" si="44"/>
        <v>0.69066827212522575</v>
      </c>
      <c r="AU235">
        <f t="shared" si="49"/>
        <v>812.66</v>
      </c>
      <c r="AV235" s="9">
        <f t="shared" si="40"/>
        <v>0.61157435279951833</v>
      </c>
    </row>
    <row r="236" spans="1:48" x14ac:dyDescent="0.3">
      <c r="A236" s="23">
        <v>267</v>
      </c>
      <c r="B236" t="s">
        <v>42</v>
      </c>
      <c r="C236" s="1">
        <v>12646</v>
      </c>
      <c r="D236" t="s">
        <v>85</v>
      </c>
      <c r="E236" t="s">
        <v>86</v>
      </c>
      <c r="F236" t="s">
        <v>86</v>
      </c>
      <c r="G236" s="2">
        <v>1988</v>
      </c>
      <c r="H236" s="2" t="s">
        <v>131</v>
      </c>
      <c r="I236" s="2" t="str">
        <f t="shared" si="41"/>
        <v>&gt;1980</v>
      </c>
      <c r="J236" s="2">
        <v>79</v>
      </c>
      <c r="K236" s="2">
        <f>MROUND(J236,10)</f>
        <v>80</v>
      </c>
      <c r="L236" s="2">
        <v>359</v>
      </c>
      <c r="M236" s="2">
        <v>280</v>
      </c>
      <c r="N236" s="2">
        <v>5</v>
      </c>
      <c r="O236" s="2">
        <v>0</v>
      </c>
      <c r="P236" s="2">
        <v>7</v>
      </c>
      <c r="Q236" s="2">
        <v>1</v>
      </c>
      <c r="R236" s="2">
        <v>16.100000000000001</v>
      </c>
      <c r="S236" s="2">
        <v>16</v>
      </c>
      <c r="T236" s="2">
        <v>13.6</v>
      </c>
      <c r="U236" s="2">
        <v>118</v>
      </c>
      <c r="V236" s="1">
        <v>1569</v>
      </c>
      <c r="W236" s="2">
        <v>6999.2</v>
      </c>
      <c r="X236" s="2">
        <v>1581</v>
      </c>
      <c r="Y236" s="1">
        <v>5996.6</v>
      </c>
      <c r="Z236" s="2" t="s">
        <v>47</v>
      </c>
      <c r="AA236" s="2">
        <v>30</v>
      </c>
      <c r="AB236" s="2">
        <v>26</v>
      </c>
      <c r="AD236" s="3" t="s">
        <v>171</v>
      </c>
      <c r="AE236" s="3" t="s">
        <v>58</v>
      </c>
      <c r="AF236" s="3" t="s">
        <v>50</v>
      </c>
      <c r="AG236" s="3" t="s">
        <v>74</v>
      </c>
      <c r="AH236" s="3" t="s">
        <v>75</v>
      </c>
      <c r="AI236" s="2">
        <v>1</v>
      </c>
      <c r="AJ236" s="2">
        <v>0</v>
      </c>
      <c r="AK236" s="2">
        <v>0</v>
      </c>
      <c r="AL236" s="2">
        <v>1</v>
      </c>
      <c r="AM236" s="2">
        <v>0</v>
      </c>
      <c r="AN236" s="2">
        <v>1</v>
      </c>
      <c r="AO236" s="2" t="s">
        <v>88</v>
      </c>
      <c r="AP236" s="1">
        <f>3786.8</f>
        <v>3786.8</v>
      </c>
      <c r="AQ236" s="1">
        <f>349.3+475.8</f>
        <v>825.1</v>
      </c>
      <c r="AR236" s="4">
        <f t="shared" si="48"/>
        <v>0.17890674125631517</v>
      </c>
      <c r="AS236" s="18">
        <f t="shared" si="47"/>
        <v>959.45600000000002</v>
      </c>
      <c r="AT236">
        <f t="shared" si="44"/>
        <v>1.1628360198763785</v>
      </c>
      <c r="AU236">
        <f t="shared" si="49"/>
        <v>635.6</v>
      </c>
      <c r="AV236" s="9">
        <f t="shared" si="40"/>
        <v>0.77033086898557757</v>
      </c>
    </row>
    <row r="237" spans="1:48" x14ac:dyDescent="0.3">
      <c r="A237" s="23">
        <v>251</v>
      </c>
      <c r="B237" t="s">
        <v>42</v>
      </c>
      <c r="C237" s="1">
        <v>11222</v>
      </c>
      <c r="D237" t="s">
        <v>85</v>
      </c>
      <c r="E237" t="s">
        <v>86</v>
      </c>
      <c r="F237" t="s">
        <v>86</v>
      </c>
      <c r="G237" s="2">
        <v>1991</v>
      </c>
      <c r="H237" s="2" t="s">
        <v>167</v>
      </c>
      <c r="I237" s="2" t="str">
        <f t="shared" si="41"/>
        <v>&gt;1980</v>
      </c>
      <c r="J237" s="2">
        <v>24</v>
      </c>
      <c r="K237" s="2">
        <f t="shared" si="39"/>
        <v>20</v>
      </c>
      <c r="L237" s="2">
        <v>126</v>
      </c>
      <c r="M237" s="2">
        <v>102</v>
      </c>
      <c r="N237" s="2">
        <v>4</v>
      </c>
      <c r="O237" s="2">
        <v>0</v>
      </c>
      <c r="P237" s="2">
        <v>2</v>
      </c>
      <c r="Q237" s="2">
        <v>1</v>
      </c>
      <c r="R237" s="2">
        <v>15.1</v>
      </c>
      <c r="S237" s="2">
        <v>15</v>
      </c>
      <c r="T237" s="2">
        <v>34</v>
      </c>
      <c r="U237" s="2">
        <v>38.6</v>
      </c>
      <c r="V237" s="1">
        <v>602</v>
      </c>
      <c r="W237" s="2">
        <v>2246.6</v>
      </c>
      <c r="X237" s="2">
        <v>608.4</v>
      </c>
      <c r="Y237" s="1">
        <v>1709.6</v>
      </c>
      <c r="Z237" s="2" t="s">
        <v>47</v>
      </c>
      <c r="AA237" s="2">
        <v>18</v>
      </c>
      <c r="AB237" s="2">
        <v>14</v>
      </c>
      <c r="AD237" s="3" t="s">
        <v>236</v>
      </c>
      <c r="AE237" s="3" t="s">
        <v>235</v>
      </c>
      <c r="AF237" s="3" t="s">
        <v>50</v>
      </c>
      <c r="AG237" s="3" t="s">
        <v>74</v>
      </c>
      <c r="AH237" s="3" t="s">
        <v>75</v>
      </c>
      <c r="AI237" s="2">
        <v>1</v>
      </c>
      <c r="AJ237" s="2">
        <v>0</v>
      </c>
      <c r="AK237" s="2">
        <v>0</v>
      </c>
      <c r="AL237" s="2">
        <v>1</v>
      </c>
      <c r="AM237" s="2">
        <v>0</v>
      </c>
      <c r="AN237" s="2">
        <v>0</v>
      </c>
      <c r="AO237" s="2" t="s">
        <v>76</v>
      </c>
      <c r="AP237" s="1">
        <f>1346.2</f>
        <v>1346.2</v>
      </c>
      <c r="AQ237" s="1">
        <f>64+60.5+64</f>
        <v>188.5</v>
      </c>
      <c r="AR237" s="4">
        <f t="shared" si="48"/>
        <v>0.12282530787776112</v>
      </c>
      <c r="AS237" s="18">
        <f t="shared" si="47"/>
        <v>273.536</v>
      </c>
      <c r="AT237">
        <f t="shared" si="44"/>
        <v>1.4511193633952255</v>
      </c>
      <c r="AU237">
        <f t="shared" si="49"/>
        <v>231.54</v>
      </c>
      <c r="AV237" s="9">
        <f t="shared" si="40"/>
        <v>1.2283289124668435</v>
      </c>
    </row>
    <row r="238" spans="1:48" x14ac:dyDescent="0.3">
      <c r="A238" s="23">
        <v>156</v>
      </c>
      <c r="B238" t="s">
        <v>42</v>
      </c>
      <c r="C238" s="1">
        <v>11222</v>
      </c>
      <c r="D238" t="s">
        <v>85</v>
      </c>
      <c r="E238" t="s">
        <v>86</v>
      </c>
      <c r="F238" t="s">
        <v>86</v>
      </c>
      <c r="G238" s="2">
        <v>1990</v>
      </c>
      <c r="H238" s="2" t="s">
        <v>131</v>
      </c>
      <c r="I238" s="2" t="str">
        <f t="shared" si="41"/>
        <v>&gt;1980</v>
      </c>
      <c r="J238" s="2">
        <v>40</v>
      </c>
      <c r="K238" s="2">
        <f t="shared" si="39"/>
        <v>40</v>
      </c>
      <c r="L238" s="2">
        <v>148</v>
      </c>
      <c r="M238" s="2">
        <v>108</v>
      </c>
      <c r="N238" s="2">
        <v>5</v>
      </c>
      <c r="O238" s="2">
        <v>0</v>
      </c>
      <c r="P238" s="2">
        <v>4</v>
      </c>
      <c r="Q238" s="2">
        <v>1</v>
      </c>
      <c r="R238" s="2">
        <v>16.8</v>
      </c>
      <c r="S238" s="2">
        <v>17</v>
      </c>
      <c r="T238" s="2">
        <v>14.5</v>
      </c>
      <c r="U238" s="2">
        <v>38</v>
      </c>
      <c r="V238" s="1">
        <v>552</v>
      </c>
      <c r="W238" s="2">
        <v>2394.1999999999998</v>
      </c>
      <c r="X238" s="2">
        <v>287.89999999999998</v>
      </c>
      <c r="Y238" s="1">
        <v>1966.2</v>
      </c>
      <c r="Z238" s="2" t="s">
        <v>47</v>
      </c>
      <c r="AA238" s="2">
        <v>8</v>
      </c>
      <c r="AB238" s="2">
        <v>4</v>
      </c>
      <c r="AD238" s="3" t="s">
        <v>58</v>
      </c>
      <c r="AE238" s="3" t="s">
        <v>49</v>
      </c>
      <c r="AF238" s="3" t="s">
        <v>50</v>
      </c>
      <c r="AG238" s="3" t="s">
        <v>74</v>
      </c>
      <c r="AH238" s="3" t="s">
        <v>75</v>
      </c>
      <c r="AI238" s="2">
        <v>1</v>
      </c>
      <c r="AJ238" s="2">
        <v>0</v>
      </c>
      <c r="AK238" s="2">
        <v>0</v>
      </c>
      <c r="AL238" s="2">
        <v>1</v>
      </c>
      <c r="AM238" s="2">
        <v>0</v>
      </c>
      <c r="AN238" s="2">
        <v>1</v>
      </c>
      <c r="AO238" s="2" t="s">
        <v>76</v>
      </c>
      <c r="AP238" s="1">
        <v>1465.3</v>
      </c>
      <c r="AQ238" s="1">
        <v>313.8</v>
      </c>
      <c r="AR238" s="4">
        <f t="shared" si="48"/>
        <v>0.17638131639593055</v>
      </c>
      <c r="AS238" s="18">
        <f t="shared" si="47"/>
        <v>314.59199999999998</v>
      </c>
      <c r="AT238">
        <f t="shared" si="44"/>
        <v>1.0025239005736137</v>
      </c>
      <c r="AU238">
        <f t="shared" si="49"/>
        <v>245.16</v>
      </c>
      <c r="AV238" s="9">
        <f t="shared" si="40"/>
        <v>0.78126195028680689</v>
      </c>
    </row>
    <row r="239" spans="1:48" x14ac:dyDescent="0.3">
      <c r="A239" s="23">
        <v>308</v>
      </c>
      <c r="B239" t="s">
        <v>327</v>
      </c>
      <c r="C239" s="1">
        <v>11321</v>
      </c>
      <c r="D239" t="s">
        <v>85</v>
      </c>
      <c r="E239" t="s">
        <v>86</v>
      </c>
      <c r="F239" t="s">
        <v>86</v>
      </c>
      <c r="G239" s="2">
        <v>1976</v>
      </c>
      <c r="H239" s="2" t="s">
        <v>69</v>
      </c>
      <c r="I239" s="2" t="str">
        <f t="shared" si="41"/>
        <v>1950-1980</v>
      </c>
      <c r="J239" s="2">
        <v>53</v>
      </c>
      <c r="K239" s="2">
        <f>MROUND(J239,10)</f>
        <v>50</v>
      </c>
      <c r="L239" s="2">
        <v>195</v>
      </c>
      <c r="M239" s="2">
        <v>142</v>
      </c>
      <c r="N239" s="2">
        <v>5</v>
      </c>
      <c r="O239" s="2">
        <v>0</v>
      </c>
      <c r="P239" s="2">
        <v>6</v>
      </c>
      <c r="Q239" s="2">
        <v>1</v>
      </c>
      <c r="R239" s="2">
        <v>16.3</v>
      </c>
      <c r="S239" s="2">
        <v>16.5</v>
      </c>
      <c r="V239" s="1">
        <v>670</v>
      </c>
      <c r="W239" s="2">
        <v>3178</v>
      </c>
      <c r="X239" s="2">
        <v>514.79999999999995</v>
      </c>
      <c r="Y239" s="1">
        <v>2700.8</v>
      </c>
      <c r="Z239" s="2" t="s">
        <v>47</v>
      </c>
      <c r="AA239" s="2">
        <v>4</v>
      </c>
      <c r="AB239" s="2">
        <v>0</v>
      </c>
      <c r="AD239" s="3" t="s">
        <v>58</v>
      </c>
      <c r="AE239" s="3" t="s">
        <v>49</v>
      </c>
      <c r="AF239" s="3" t="s">
        <v>65</v>
      </c>
      <c r="AG239" s="3" t="s">
        <v>74</v>
      </c>
      <c r="AH239" s="3" t="s">
        <v>75</v>
      </c>
      <c r="AI239" s="2">
        <v>1</v>
      </c>
      <c r="AJ239" s="2">
        <v>0</v>
      </c>
      <c r="AK239" s="2">
        <v>0</v>
      </c>
      <c r="AL239" s="2">
        <v>1</v>
      </c>
      <c r="AM239" s="2">
        <v>0</v>
      </c>
      <c r="AN239" s="2">
        <v>1</v>
      </c>
      <c r="AO239" s="2" t="s">
        <v>123</v>
      </c>
      <c r="AP239" s="1">
        <v>1286.7</v>
      </c>
      <c r="AQ239" s="1">
        <v>443.3</v>
      </c>
      <c r="AR239" s="4">
        <f t="shared" si="48"/>
        <v>0.25624277456647399</v>
      </c>
      <c r="AS239" s="18">
        <f t="shared" si="47"/>
        <v>432.12800000000004</v>
      </c>
      <c r="AT239">
        <f t="shared" si="44"/>
        <v>0.97479810512068588</v>
      </c>
      <c r="AU239">
        <f t="shared" si="49"/>
        <v>322.33999999999997</v>
      </c>
      <c r="AV239" s="9">
        <f t="shared" si="40"/>
        <v>0.72713737875028195</v>
      </c>
    </row>
    <row r="240" spans="1:48" x14ac:dyDescent="0.3">
      <c r="A240" s="23">
        <v>12</v>
      </c>
      <c r="B240" t="s">
        <v>42</v>
      </c>
      <c r="C240" s="1">
        <v>11222</v>
      </c>
      <c r="D240" t="s">
        <v>85</v>
      </c>
      <c r="E240" t="s">
        <v>86</v>
      </c>
      <c r="F240" t="s">
        <v>206</v>
      </c>
      <c r="G240" s="2">
        <v>1972</v>
      </c>
      <c r="H240" s="2" t="s">
        <v>69</v>
      </c>
      <c r="I240" s="2" t="str">
        <f t="shared" si="41"/>
        <v>1950-1980</v>
      </c>
      <c r="J240" s="2">
        <v>18</v>
      </c>
      <c r="K240" s="2">
        <f t="shared" si="39"/>
        <v>20</v>
      </c>
      <c r="L240" s="2">
        <v>87</v>
      </c>
      <c r="M240" s="2">
        <v>69</v>
      </c>
      <c r="N240" s="2">
        <v>3</v>
      </c>
      <c r="O240" s="2">
        <v>0</v>
      </c>
      <c r="P240" s="2">
        <v>3</v>
      </c>
      <c r="Q240" s="2">
        <v>1</v>
      </c>
      <c r="R240" s="2">
        <v>10.199999999999999</v>
      </c>
      <c r="S240" s="2">
        <v>10</v>
      </c>
      <c r="V240" s="1">
        <v>438</v>
      </c>
      <c r="W240" s="2">
        <v>1305.8</v>
      </c>
      <c r="X240" s="2">
        <v>424.1</v>
      </c>
      <c r="Y240" s="1">
        <v>998</v>
      </c>
      <c r="Z240" s="2" t="s">
        <v>47</v>
      </c>
      <c r="AA240" s="2">
        <v>4</v>
      </c>
      <c r="AB240" s="2">
        <v>0</v>
      </c>
      <c r="AD240" s="3" t="s">
        <v>58</v>
      </c>
      <c r="AE240" s="3" t="s">
        <v>49</v>
      </c>
      <c r="AF240" s="3" t="s">
        <v>59</v>
      </c>
      <c r="AG240" s="3" t="s">
        <v>60</v>
      </c>
      <c r="AH240" s="3" t="s">
        <v>75</v>
      </c>
      <c r="AI240" s="2">
        <v>1</v>
      </c>
      <c r="AJ240" s="2">
        <v>0</v>
      </c>
      <c r="AK240" s="2">
        <v>0</v>
      </c>
      <c r="AL240" s="2">
        <v>0</v>
      </c>
      <c r="AM240" s="2">
        <v>0</v>
      </c>
      <c r="AN240" s="2">
        <v>1</v>
      </c>
      <c r="AO240" s="2" t="s">
        <v>76</v>
      </c>
      <c r="AP240" s="1">
        <v>693</v>
      </c>
      <c r="AQ240" s="1">
        <f>19+98+119</f>
        <v>236</v>
      </c>
      <c r="AR240" s="4">
        <f t="shared" si="48"/>
        <v>0.25403659849300325</v>
      </c>
      <c r="AS240" s="18">
        <f t="shared" si="47"/>
        <v>159.68</v>
      </c>
      <c r="AT240">
        <f t="shared" si="44"/>
        <v>0.67661016949152541</v>
      </c>
      <c r="AU240">
        <f t="shared" si="49"/>
        <v>156.63</v>
      </c>
      <c r="AV240" s="9">
        <f t="shared" si="40"/>
        <v>0.66368644067796612</v>
      </c>
    </row>
    <row r="241" spans="1:49" x14ac:dyDescent="0.3">
      <c r="A241" s="23">
        <v>15</v>
      </c>
      <c r="B241" t="s">
        <v>42</v>
      </c>
      <c r="C241" s="1">
        <v>11222</v>
      </c>
      <c r="D241" t="s">
        <v>85</v>
      </c>
      <c r="E241" t="s">
        <v>86</v>
      </c>
      <c r="F241" t="s">
        <v>206</v>
      </c>
      <c r="G241" s="2">
        <v>1974</v>
      </c>
      <c r="H241" s="2" t="s">
        <v>69</v>
      </c>
      <c r="I241" s="2" t="str">
        <f t="shared" si="41"/>
        <v>1950-1980</v>
      </c>
      <c r="J241" s="2">
        <v>18</v>
      </c>
      <c r="K241" s="2">
        <f t="shared" si="39"/>
        <v>20</v>
      </c>
      <c r="L241" s="2">
        <v>87</v>
      </c>
      <c r="M241" s="2">
        <v>69</v>
      </c>
      <c r="N241" s="2">
        <v>3</v>
      </c>
      <c r="O241" s="2">
        <v>0</v>
      </c>
      <c r="P241" s="2">
        <v>3</v>
      </c>
      <c r="Q241" s="2">
        <v>1</v>
      </c>
      <c r="R241" s="2">
        <v>10.4</v>
      </c>
      <c r="S241" s="2">
        <v>10.5</v>
      </c>
      <c r="V241" s="1">
        <v>438</v>
      </c>
      <c r="W241" s="2">
        <v>1305.8</v>
      </c>
      <c r="X241" s="2">
        <v>122.3</v>
      </c>
      <c r="Y241" s="1">
        <v>998</v>
      </c>
      <c r="Z241" s="2" t="s">
        <v>47</v>
      </c>
      <c r="AA241" s="2">
        <v>4</v>
      </c>
      <c r="AB241" s="2">
        <v>0</v>
      </c>
      <c r="AD241" s="3" t="s">
        <v>58</v>
      </c>
      <c r="AE241" s="3" t="s">
        <v>49</v>
      </c>
      <c r="AF241" s="3" t="s">
        <v>59</v>
      </c>
      <c r="AG241" s="3" t="s">
        <v>60</v>
      </c>
      <c r="AH241" s="3" t="s">
        <v>75</v>
      </c>
      <c r="AI241" s="2">
        <v>1</v>
      </c>
      <c r="AJ241" s="2">
        <v>0</v>
      </c>
      <c r="AK241" s="2">
        <v>0</v>
      </c>
      <c r="AL241" s="2">
        <v>0</v>
      </c>
      <c r="AM241" s="2">
        <v>0</v>
      </c>
      <c r="AN241" s="2">
        <v>1</v>
      </c>
      <c r="AO241" s="2" t="s">
        <v>61</v>
      </c>
      <c r="AP241" s="1">
        <v>693</v>
      </c>
      <c r="AQ241" s="1">
        <f>119+19+98</f>
        <v>236</v>
      </c>
      <c r="AR241" s="4">
        <f t="shared" si="48"/>
        <v>0.25403659849300325</v>
      </c>
      <c r="AS241" s="18">
        <f t="shared" si="47"/>
        <v>159.68</v>
      </c>
      <c r="AT241">
        <f t="shared" si="44"/>
        <v>0.67661016949152541</v>
      </c>
      <c r="AU241">
        <f t="shared" si="49"/>
        <v>156.63</v>
      </c>
      <c r="AV241" s="9">
        <f t="shared" si="40"/>
        <v>0.66368644067796612</v>
      </c>
    </row>
    <row r="242" spans="1:49" x14ac:dyDescent="0.3">
      <c r="A242" s="23">
        <v>293</v>
      </c>
      <c r="B242" t="s">
        <v>42</v>
      </c>
      <c r="C242" s="1">
        <v>11222</v>
      </c>
      <c r="D242" t="s">
        <v>85</v>
      </c>
      <c r="E242" t="s">
        <v>86</v>
      </c>
      <c r="F242" t="s">
        <v>86</v>
      </c>
      <c r="G242" s="2">
        <v>1918</v>
      </c>
      <c r="H242" s="2" t="s">
        <v>208</v>
      </c>
      <c r="I242" s="2" t="str">
        <f t="shared" si="41"/>
        <v>&lt;1950</v>
      </c>
      <c r="J242" s="2">
        <v>21</v>
      </c>
      <c r="K242" s="2">
        <f t="shared" si="39"/>
        <v>20</v>
      </c>
      <c r="L242" s="2">
        <v>60</v>
      </c>
      <c r="M242" s="2">
        <v>39</v>
      </c>
      <c r="N242" s="2">
        <v>3</v>
      </c>
      <c r="O242" s="2">
        <v>0</v>
      </c>
      <c r="P242" s="2">
        <v>1</v>
      </c>
      <c r="Q242" s="2">
        <v>1</v>
      </c>
      <c r="R242" s="2">
        <v>13.8</v>
      </c>
      <c r="S242" s="2">
        <v>14</v>
      </c>
      <c r="T242" s="2">
        <v>24.2</v>
      </c>
      <c r="U242" s="2">
        <v>26.1</v>
      </c>
      <c r="V242" s="1">
        <v>443.7</v>
      </c>
      <c r="W242" s="2">
        <v>1069.4000000000001</v>
      </c>
      <c r="X242" s="2">
        <v>105</v>
      </c>
      <c r="Y242" s="1">
        <v>999</v>
      </c>
      <c r="Z242" s="2" t="s">
        <v>47</v>
      </c>
      <c r="AA242" s="2">
        <v>5</v>
      </c>
      <c r="AB242" s="2">
        <v>1</v>
      </c>
      <c r="AD242" s="3" t="s">
        <v>58</v>
      </c>
      <c r="AE242" s="3" t="s">
        <v>58</v>
      </c>
      <c r="AF242" s="3" t="s">
        <v>50</v>
      </c>
      <c r="AG242" s="3" t="s">
        <v>139</v>
      </c>
      <c r="AH242" s="3" t="s">
        <v>127</v>
      </c>
      <c r="AI242" s="2">
        <v>0</v>
      </c>
      <c r="AJ242" s="2">
        <v>1</v>
      </c>
      <c r="AK242" s="2">
        <v>0</v>
      </c>
      <c r="AL242" s="2">
        <v>0</v>
      </c>
      <c r="AM242" s="2">
        <v>0</v>
      </c>
      <c r="AN242" s="2">
        <v>1</v>
      </c>
      <c r="AO242" s="2" t="s">
        <v>76</v>
      </c>
      <c r="AP242" s="1">
        <v>819.4</v>
      </c>
      <c r="AQ242" s="1">
        <f>40.1+31+52.6+25.2</f>
        <v>148.89999999999998</v>
      </c>
      <c r="AR242" s="4">
        <f t="shared" si="48"/>
        <v>0.15377465661468551</v>
      </c>
      <c r="AS242" s="18">
        <f t="shared" si="47"/>
        <v>159.84</v>
      </c>
      <c r="AT242">
        <f t="shared" si="44"/>
        <v>1.0734721289456013</v>
      </c>
      <c r="AU242">
        <f t="shared" si="49"/>
        <v>88.53</v>
      </c>
      <c r="AV242" s="9">
        <f t="shared" si="40"/>
        <v>0.5945601074546677</v>
      </c>
    </row>
    <row r="243" spans="1:49" x14ac:dyDescent="0.3">
      <c r="A243" s="23">
        <v>97</v>
      </c>
      <c r="B243" t="s">
        <v>42</v>
      </c>
      <c r="C243" s="1">
        <v>11222</v>
      </c>
      <c r="D243" t="s">
        <v>85</v>
      </c>
      <c r="E243" t="s">
        <v>86</v>
      </c>
      <c r="F243" t="s">
        <v>86</v>
      </c>
      <c r="G243" s="2">
        <v>1959</v>
      </c>
      <c r="H243" s="2" t="s">
        <v>63</v>
      </c>
      <c r="I243" s="2" t="str">
        <f t="shared" si="41"/>
        <v>1950-1980</v>
      </c>
      <c r="J243" s="2">
        <v>12</v>
      </c>
      <c r="K243" s="2">
        <f t="shared" si="39"/>
        <v>10</v>
      </c>
      <c r="L243" s="2">
        <v>51</v>
      </c>
      <c r="M243" s="2">
        <v>39</v>
      </c>
      <c r="N243" s="2">
        <v>3</v>
      </c>
      <c r="O243" s="2">
        <v>0</v>
      </c>
      <c r="P243" s="2">
        <v>1</v>
      </c>
      <c r="Q243" s="2">
        <v>1</v>
      </c>
      <c r="R243" s="2">
        <v>11.7</v>
      </c>
      <c r="S243" s="2">
        <v>11.5</v>
      </c>
      <c r="V243" s="1">
        <v>305</v>
      </c>
      <c r="W243" s="2">
        <v>731.8</v>
      </c>
      <c r="X243" s="2">
        <v>92.2</v>
      </c>
      <c r="Y243" s="1">
        <v>684.2</v>
      </c>
      <c r="Z243" s="2" t="s">
        <v>47</v>
      </c>
      <c r="AA243" s="2">
        <v>4</v>
      </c>
      <c r="AB243" s="2">
        <v>0</v>
      </c>
      <c r="AD243" s="3" t="s">
        <v>91</v>
      </c>
      <c r="AE243" s="3" t="s">
        <v>49</v>
      </c>
      <c r="AF243" s="3" t="s">
        <v>50</v>
      </c>
      <c r="AG243" s="3" t="s">
        <v>60</v>
      </c>
      <c r="AH243" s="3" t="s">
        <v>75</v>
      </c>
      <c r="AI243" s="2">
        <v>0</v>
      </c>
      <c r="AJ243" s="2">
        <v>1</v>
      </c>
      <c r="AK243" s="2">
        <v>0</v>
      </c>
      <c r="AL243" s="2">
        <v>0</v>
      </c>
      <c r="AM243" s="2">
        <v>0</v>
      </c>
      <c r="AN243" s="2">
        <v>1</v>
      </c>
      <c r="AO243" s="2" t="s">
        <v>84</v>
      </c>
      <c r="AP243" s="1">
        <v>490</v>
      </c>
      <c r="AQ243" s="1">
        <v>110.2</v>
      </c>
      <c r="AR243" s="4">
        <f t="shared" si="48"/>
        <v>0.18360546484505164</v>
      </c>
      <c r="AS243" s="18">
        <f t="shared" si="47"/>
        <v>109.47200000000001</v>
      </c>
      <c r="AT243">
        <f t="shared" si="44"/>
        <v>0.993393829401089</v>
      </c>
      <c r="AU243">
        <f t="shared" si="49"/>
        <v>88.53</v>
      </c>
      <c r="AV243" s="9">
        <f t="shared" si="40"/>
        <v>0.80335753176043556</v>
      </c>
    </row>
    <row r="244" spans="1:49" x14ac:dyDescent="0.3">
      <c r="A244" s="23">
        <v>5</v>
      </c>
      <c r="B244" t="s">
        <v>42</v>
      </c>
      <c r="C244" s="1">
        <v>11222</v>
      </c>
      <c r="D244" t="s">
        <v>85</v>
      </c>
      <c r="E244" t="s">
        <v>86</v>
      </c>
      <c r="F244" t="s">
        <v>86</v>
      </c>
      <c r="G244" s="2">
        <v>1976</v>
      </c>
      <c r="H244" s="2" t="s">
        <v>69</v>
      </c>
      <c r="I244" s="2" t="str">
        <f t="shared" si="41"/>
        <v>1950-1980</v>
      </c>
      <c r="J244" s="2">
        <v>27</v>
      </c>
      <c r="K244" s="2">
        <f t="shared" si="39"/>
        <v>30</v>
      </c>
      <c r="L244" s="2">
        <v>108</v>
      </c>
      <c r="M244" s="2">
        <v>81</v>
      </c>
      <c r="N244" s="2">
        <v>3</v>
      </c>
      <c r="O244" s="2">
        <v>0</v>
      </c>
      <c r="P244" s="2">
        <v>3</v>
      </c>
      <c r="Q244" s="2">
        <v>1</v>
      </c>
      <c r="R244" s="2">
        <v>12.3</v>
      </c>
      <c r="S244" s="2">
        <v>12.5</v>
      </c>
      <c r="V244" s="1">
        <v>547</v>
      </c>
      <c r="W244" s="2">
        <v>1665.1</v>
      </c>
      <c r="X244" s="2">
        <v>500.6</v>
      </c>
      <c r="Y244" s="1">
        <v>1221</v>
      </c>
      <c r="Z244" s="2" t="s">
        <v>47</v>
      </c>
      <c r="AA244" s="2">
        <v>4</v>
      </c>
      <c r="AB244" s="2">
        <v>0</v>
      </c>
      <c r="AD244" s="3" t="s">
        <v>139</v>
      </c>
      <c r="AE244" s="3" t="s">
        <v>49</v>
      </c>
      <c r="AF244" s="3" t="s">
        <v>65</v>
      </c>
      <c r="AG244" s="3" t="s">
        <v>60</v>
      </c>
      <c r="AH244" s="3" t="s">
        <v>75</v>
      </c>
      <c r="AI244" s="2">
        <v>0</v>
      </c>
      <c r="AJ244" s="2">
        <v>1</v>
      </c>
      <c r="AK244" s="2">
        <v>0</v>
      </c>
      <c r="AL244" s="2">
        <v>1</v>
      </c>
      <c r="AM244" s="2">
        <v>0</v>
      </c>
      <c r="AN244" s="2">
        <v>1</v>
      </c>
      <c r="AO244" s="2" t="s">
        <v>61</v>
      </c>
      <c r="AR244" s="4"/>
      <c r="AS244" s="18" t="str">
        <f t="shared" si="47"/>
        <v/>
      </c>
      <c r="AT244" t="str">
        <f t="shared" si="44"/>
        <v/>
      </c>
      <c r="AU244" t="str">
        <f>IF(AQ244&lt;&gt;"",2.3*M244,"")</f>
        <v/>
      </c>
      <c r="AV244" s="9" t="str">
        <f t="shared" si="40"/>
        <v/>
      </c>
    </row>
    <row r="245" spans="1:49" x14ac:dyDescent="0.3">
      <c r="A245" s="23">
        <v>340</v>
      </c>
      <c r="B245" t="s">
        <v>42</v>
      </c>
      <c r="C245" s="1">
        <v>12311</v>
      </c>
      <c r="D245" t="s">
        <v>85</v>
      </c>
      <c r="E245" t="s">
        <v>86</v>
      </c>
      <c r="F245" t="s">
        <v>86</v>
      </c>
      <c r="G245" s="2">
        <v>1981</v>
      </c>
      <c r="H245" s="2" t="s">
        <v>131</v>
      </c>
      <c r="I245" s="2" t="str">
        <f t="shared" si="41"/>
        <v>&gt;1980</v>
      </c>
      <c r="J245" s="2">
        <v>61</v>
      </c>
      <c r="K245" s="2">
        <f>MROUND(J245,10)</f>
        <v>60</v>
      </c>
      <c r="L245" s="2">
        <v>144</v>
      </c>
      <c r="M245" s="2">
        <v>83</v>
      </c>
      <c r="N245" s="2">
        <v>5</v>
      </c>
      <c r="O245" s="2">
        <v>0</v>
      </c>
      <c r="P245" s="2">
        <v>1</v>
      </c>
      <c r="Q245" s="2">
        <v>1</v>
      </c>
      <c r="R245" s="2">
        <v>15.5</v>
      </c>
      <c r="S245" s="2">
        <v>15.5</v>
      </c>
      <c r="V245" s="1">
        <v>871</v>
      </c>
      <c r="W245" s="2">
        <v>3305.9</v>
      </c>
      <c r="X245" s="2">
        <v>852.1</v>
      </c>
      <c r="Y245" s="1">
        <v>3189</v>
      </c>
      <c r="Z245" s="2" t="s">
        <v>47</v>
      </c>
      <c r="AA245" s="2">
        <v>10</v>
      </c>
      <c r="AB245" s="2">
        <v>6</v>
      </c>
      <c r="AC245" s="2">
        <v>0</v>
      </c>
      <c r="AD245" s="3" t="s">
        <v>392</v>
      </c>
      <c r="AE245" s="3" t="s">
        <v>191</v>
      </c>
      <c r="AF245" s="3" t="s">
        <v>50</v>
      </c>
      <c r="AG245" s="3" t="s">
        <v>74</v>
      </c>
      <c r="AH245" s="3" t="s">
        <v>75</v>
      </c>
      <c r="AI245" s="2">
        <v>1</v>
      </c>
      <c r="AJ245" s="2">
        <v>0</v>
      </c>
      <c r="AK245" s="2">
        <v>0</v>
      </c>
      <c r="AL245" s="2">
        <v>0</v>
      </c>
      <c r="AM245" s="2">
        <v>0</v>
      </c>
      <c r="AN245" s="2">
        <v>1</v>
      </c>
      <c r="AO245" s="2" t="s">
        <v>123</v>
      </c>
      <c r="AR245" s="4"/>
      <c r="AS245" s="18" t="str">
        <f t="shared" si="47"/>
        <v/>
      </c>
      <c r="AT245" t="str">
        <f t="shared" si="44"/>
        <v/>
      </c>
      <c r="AU245" t="str">
        <f>IF(AQ245&lt;&gt;"",2.3*M245,"")</f>
        <v/>
      </c>
      <c r="AV245" s="9" t="str">
        <f t="shared" si="40"/>
        <v/>
      </c>
    </row>
    <row r="246" spans="1:49" x14ac:dyDescent="0.3">
      <c r="A246" s="24" t="s">
        <v>237</v>
      </c>
      <c r="B246" t="s">
        <v>42</v>
      </c>
      <c r="C246" s="2">
        <v>11222</v>
      </c>
      <c r="D246" t="s">
        <v>85</v>
      </c>
      <c r="E246" t="s">
        <v>225</v>
      </c>
      <c r="F246" t="s">
        <v>238</v>
      </c>
      <c r="G246" s="2" t="s">
        <v>239</v>
      </c>
      <c r="H246" s="2" t="s">
        <v>69</v>
      </c>
      <c r="I246" s="2" t="str">
        <f t="shared" si="41"/>
        <v>&gt;1980</v>
      </c>
      <c r="J246" s="14">
        <v>27</v>
      </c>
      <c r="K246" s="2">
        <f t="shared" si="39"/>
        <v>30</v>
      </c>
      <c r="L246" s="14">
        <f>54+27*2</f>
        <v>108</v>
      </c>
      <c r="M246" s="14">
        <f>54+27</f>
        <v>81</v>
      </c>
      <c r="N246" s="2">
        <v>3</v>
      </c>
      <c r="O246" s="2">
        <v>0</v>
      </c>
      <c r="P246" s="2">
        <v>3</v>
      </c>
      <c r="Q246" s="2">
        <v>0</v>
      </c>
      <c r="R246" s="15">
        <v>10.79</v>
      </c>
      <c r="S246" s="2">
        <v>11</v>
      </c>
      <c r="T246" s="15">
        <v>12.2</v>
      </c>
      <c r="U246" s="15">
        <v>50.3</v>
      </c>
      <c r="V246" s="2">
        <v>635</v>
      </c>
      <c r="W246" s="2">
        <v>1524.7</v>
      </c>
      <c r="X246" s="2">
        <v>411.7</v>
      </c>
      <c r="Y246" s="2">
        <v>1235.2</v>
      </c>
      <c r="Z246" s="2" t="s">
        <v>47</v>
      </c>
      <c r="AA246">
        <v>4</v>
      </c>
      <c r="AB246" s="2">
        <v>0</v>
      </c>
      <c r="AC246"/>
      <c r="AD246" s="3" t="s">
        <v>58</v>
      </c>
      <c r="AE246" s="3" t="s">
        <v>240</v>
      </c>
      <c r="AF246" s="3" t="s">
        <v>59</v>
      </c>
      <c r="AG246" s="3" t="s">
        <v>67</v>
      </c>
      <c r="AH246" s="3" t="s">
        <v>81</v>
      </c>
      <c r="AI246" s="2">
        <v>1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 t="s">
        <v>76</v>
      </c>
      <c r="AP246" s="2">
        <v>847.40000000000009</v>
      </c>
      <c r="AQ246" s="2">
        <v>189.1</v>
      </c>
      <c r="AR246" s="4">
        <f t="shared" ref="AR246:AR262" si="50">AQ246/(AP246+AQ246)</f>
        <v>0.18244090689821515</v>
      </c>
      <c r="AS246" s="18">
        <f t="shared" si="47"/>
        <v>197.63200000000001</v>
      </c>
      <c r="AT246">
        <f t="shared" si="44"/>
        <v>1.0451189846641988</v>
      </c>
      <c r="AU246">
        <f t="shared" ref="AU246:AU262" si="51">IF(AQ246&lt;&gt;"",2.27*M246,"")</f>
        <v>183.87</v>
      </c>
      <c r="AV246" s="9">
        <f t="shared" si="40"/>
        <v>0.97234267583289269</v>
      </c>
      <c r="AW246" t="s">
        <v>251</v>
      </c>
    </row>
    <row r="247" spans="1:49" x14ac:dyDescent="0.3">
      <c r="A247" s="23">
        <v>328</v>
      </c>
      <c r="B247" t="s">
        <v>42</v>
      </c>
      <c r="C247" s="1">
        <v>11222</v>
      </c>
      <c r="D247" t="s">
        <v>85</v>
      </c>
      <c r="E247" t="s">
        <v>86</v>
      </c>
      <c r="F247" t="s">
        <v>86</v>
      </c>
      <c r="G247" s="2">
        <v>1960</v>
      </c>
      <c r="H247" s="2" t="s">
        <v>63</v>
      </c>
      <c r="I247" s="2" t="str">
        <f t="shared" si="41"/>
        <v>1950-1980</v>
      </c>
      <c r="J247" s="2">
        <v>24</v>
      </c>
      <c r="K247" s="2">
        <f t="shared" si="39"/>
        <v>20</v>
      </c>
      <c r="L247" s="2">
        <v>90</v>
      </c>
      <c r="M247" s="2">
        <v>66</v>
      </c>
      <c r="N247" s="2">
        <v>3</v>
      </c>
      <c r="O247" s="2">
        <v>0</v>
      </c>
      <c r="P247" s="2">
        <v>2</v>
      </c>
      <c r="Q247" s="2">
        <v>1</v>
      </c>
      <c r="R247" s="2">
        <v>12.1</v>
      </c>
      <c r="S247" s="2">
        <v>12</v>
      </c>
      <c r="T247" s="2">
        <v>11.5</v>
      </c>
      <c r="U247" s="2">
        <v>35.9</v>
      </c>
      <c r="V247" s="1">
        <v>388</v>
      </c>
      <c r="W247" s="2">
        <v>1017</v>
      </c>
      <c r="X247" s="2">
        <v>192</v>
      </c>
      <c r="Y247" s="1">
        <v>872</v>
      </c>
      <c r="Z247" s="2" t="s">
        <v>47</v>
      </c>
      <c r="AA247" s="2">
        <v>4</v>
      </c>
      <c r="AB247" s="2">
        <v>0</v>
      </c>
      <c r="AD247" s="3" t="s">
        <v>185</v>
      </c>
      <c r="AE247" s="3" t="s">
        <v>58</v>
      </c>
      <c r="AF247" s="3" t="s">
        <v>50</v>
      </c>
      <c r="AG247" s="3" t="s">
        <v>51</v>
      </c>
      <c r="AH247" s="3" t="s">
        <v>75</v>
      </c>
      <c r="AI247" s="2">
        <v>0</v>
      </c>
      <c r="AJ247" s="2">
        <v>1</v>
      </c>
      <c r="AK247" s="2">
        <v>0</v>
      </c>
      <c r="AL247" s="2">
        <v>0</v>
      </c>
      <c r="AM247" s="2">
        <v>0</v>
      </c>
      <c r="AN247" s="2">
        <v>1</v>
      </c>
      <c r="AO247" s="2" t="s">
        <v>88</v>
      </c>
      <c r="AP247" s="1">
        <v>460</v>
      </c>
      <c r="AQ247" s="1">
        <f>80+14+98+14</f>
        <v>206</v>
      </c>
      <c r="AR247" s="4">
        <f t="shared" si="50"/>
        <v>0.30930930930930933</v>
      </c>
      <c r="AS247" s="18">
        <f t="shared" si="47"/>
        <v>139.52000000000001</v>
      </c>
      <c r="AT247">
        <f t="shared" si="44"/>
        <v>0.67728155339805829</v>
      </c>
      <c r="AU247">
        <f t="shared" si="51"/>
        <v>149.82</v>
      </c>
      <c r="AV247" s="9">
        <f t="shared" si="40"/>
        <v>0.72728155339805822</v>
      </c>
    </row>
    <row r="248" spans="1:49" x14ac:dyDescent="0.3">
      <c r="A248" s="24" t="s">
        <v>117</v>
      </c>
      <c r="B248" t="s">
        <v>42</v>
      </c>
      <c r="C248" s="2">
        <v>11222</v>
      </c>
      <c r="D248" t="s">
        <v>85</v>
      </c>
      <c r="E248" t="s">
        <v>118</v>
      </c>
      <c r="F248" t="s">
        <v>119</v>
      </c>
      <c r="G248" s="2" t="s">
        <v>120</v>
      </c>
      <c r="H248" s="2" t="s">
        <v>57</v>
      </c>
      <c r="I248" s="2" t="str">
        <f t="shared" si="41"/>
        <v>&gt;1980</v>
      </c>
      <c r="J248" s="14">
        <v>12</v>
      </c>
      <c r="K248" s="2">
        <f t="shared" si="39"/>
        <v>10</v>
      </c>
      <c r="L248" s="14">
        <f>24+12*2</f>
        <v>48</v>
      </c>
      <c r="M248" s="14">
        <f>24+12</f>
        <v>36</v>
      </c>
      <c r="N248" s="2">
        <v>2</v>
      </c>
      <c r="O248" s="2">
        <v>0</v>
      </c>
      <c r="P248" s="2">
        <v>3</v>
      </c>
      <c r="Q248" s="2">
        <v>0</v>
      </c>
      <c r="R248" s="15">
        <v>7.27</v>
      </c>
      <c r="S248" s="2">
        <v>7.5</v>
      </c>
      <c r="T248" s="15">
        <v>11.3</v>
      </c>
      <c r="U248" s="15">
        <v>38.569000000000003</v>
      </c>
      <c r="V248" s="2">
        <v>372</v>
      </c>
      <c r="W248" s="2">
        <v>893.8</v>
      </c>
      <c r="Y248" s="2">
        <v>672.8</v>
      </c>
      <c r="Z248" s="2" t="s">
        <v>47</v>
      </c>
      <c r="AA248">
        <v>4</v>
      </c>
      <c r="AB248" s="2">
        <v>0</v>
      </c>
      <c r="AC248"/>
      <c r="AD248" s="3" t="s">
        <v>58</v>
      </c>
      <c r="AE248" s="3" t="s">
        <v>115</v>
      </c>
      <c r="AF248" s="3" t="s">
        <v>59</v>
      </c>
      <c r="AG248" s="3" t="s">
        <v>60</v>
      </c>
      <c r="AH248" s="3" t="s">
        <v>52</v>
      </c>
      <c r="AI248" s="2">
        <v>0</v>
      </c>
      <c r="AJ248" s="2">
        <v>1</v>
      </c>
      <c r="AK248" s="2">
        <v>0</v>
      </c>
      <c r="AL248" s="2">
        <v>0</v>
      </c>
      <c r="AM248" s="2">
        <v>0</v>
      </c>
      <c r="AN248" s="2">
        <v>1</v>
      </c>
      <c r="AO248" s="2" t="s">
        <v>76</v>
      </c>
      <c r="AP248" s="2">
        <v>472.8</v>
      </c>
      <c r="AQ248" s="2">
        <v>123.69999999999999</v>
      </c>
      <c r="AR248" s="4">
        <f t="shared" si="50"/>
        <v>0.20737636211232185</v>
      </c>
      <c r="AS248" s="18">
        <f t="shared" si="47"/>
        <v>107.648</v>
      </c>
      <c r="AT248">
        <f t="shared" si="44"/>
        <v>0.8702344381568311</v>
      </c>
      <c r="AU248">
        <f t="shared" si="51"/>
        <v>81.72</v>
      </c>
      <c r="AV248" s="9">
        <f t="shared" si="40"/>
        <v>0.66063055780113178</v>
      </c>
      <c r="AW248" t="s">
        <v>245</v>
      </c>
    </row>
    <row r="249" spans="1:49" x14ac:dyDescent="0.3">
      <c r="A249" s="23">
        <v>384</v>
      </c>
      <c r="B249" t="s">
        <v>42</v>
      </c>
      <c r="C249" s="1">
        <v>12319</v>
      </c>
      <c r="D249" t="s">
        <v>85</v>
      </c>
      <c r="E249" t="s">
        <v>86</v>
      </c>
      <c r="F249" t="s">
        <v>86</v>
      </c>
      <c r="G249" s="2">
        <v>1958</v>
      </c>
      <c r="H249" s="2" t="s">
        <v>63</v>
      </c>
      <c r="I249" s="2" t="str">
        <f t="shared" si="41"/>
        <v>1950-1980</v>
      </c>
      <c r="J249" s="2">
        <v>21</v>
      </c>
      <c r="K249" s="2">
        <f>MROUND(J249,10)</f>
        <v>20</v>
      </c>
      <c r="L249" s="2">
        <v>62</v>
      </c>
      <c r="M249" s="2">
        <v>41</v>
      </c>
      <c r="N249" s="2">
        <v>4</v>
      </c>
      <c r="O249" s="2">
        <v>0</v>
      </c>
      <c r="P249" s="2">
        <v>3</v>
      </c>
      <c r="Q249" s="2">
        <v>1</v>
      </c>
      <c r="R249" s="2">
        <v>18</v>
      </c>
      <c r="S249" s="2">
        <v>18</v>
      </c>
      <c r="T249" s="2">
        <v>14.2</v>
      </c>
      <c r="U249" s="2">
        <v>35.4</v>
      </c>
      <c r="V249" s="1">
        <v>472</v>
      </c>
      <c r="W249" s="2">
        <v>1777.7</v>
      </c>
      <c r="X249" s="2">
        <v>353.4</v>
      </c>
      <c r="Y249" s="1">
        <v>1404.7</v>
      </c>
      <c r="Z249" s="2" t="s">
        <v>47</v>
      </c>
      <c r="AA249" s="2">
        <v>4</v>
      </c>
      <c r="AB249" s="2">
        <v>0</v>
      </c>
      <c r="AD249" s="3" t="s">
        <v>257</v>
      </c>
      <c r="AE249" s="3" t="s">
        <v>58</v>
      </c>
      <c r="AF249" s="3" t="s">
        <v>50</v>
      </c>
      <c r="AG249" s="3" t="s">
        <v>51</v>
      </c>
      <c r="AH249" s="3" t="s">
        <v>127</v>
      </c>
      <c r="AI249" s="2">
        <v>0</v>
      </c>
      <c r="AJ249" s="2">
        <v>1</v>
      </c>
      <c r="AK249" s="2">
        <v>0</v>
      </c>
      <c r="AL249" s="2">
        <v>0</v>
      </c>
      <c r="AM249" s="2">
        <v>0</v>
      </c>
      <c r="AN249" s="2">
        <v>1</v>
      </c>
      <c r="AO249" s="2" t="s">
        <v>88</v>
      </c>
      <c r="AP249" s="1">
        <v>846</v>
      </c>
      <c r="AQ249" s="1">
        <f>180.5+140.1</f>
        <v>320.60000000000002</v>
      </c>
      <c r="AR249" s="4">
        <f t="shared" si="50"/>
        <v>0.27481570375450032</v>
      </c>
      <c r="AS249" s="18">
        <f t="shared" si="47"/>
        <v>224.75200000000001</v>
      </c>
      <c r="AT249">
        <f t="shared" si="44"/>
        <v>0.70103555832813469</v>
      </c>
      <c r="AU249">
        <f t="shared" si="51"/>
        <v>93.070000000000007</v>
      </c>
      <c r="AV249" s="9">
        <f t="shared" si="40"/>
        <v>0.29029943855271367</v>
      </c>
    </row>
    <row r="250" spans="1:49" x14ac:dyDescent="0.3">
      <c r="A250" s="23">
        <v>329</v>
      </c>
      <c r="B250" t="s">
        <v>42</v>
      </c>
      <c r="C250" s="1">
        <v>11222</v>
      </c>
      <c r="D250" t="s">
        <v>85</v>
      </c>
      <c r="E250" t="s">
        <v>86</v>
      </c>
      <c r="F250" t="s">
        <v>86</v>
      </c>
      <c r="G250" s="2">
        <v>1959</v>
      </c>
      <c r="H250" s="2" t="s">
        <v>63</v>
      </c>
      <c r="I250" s="2" t="str">
        <f t="shared" si="41"/>
        <v>1950-1980</v>
      </c>
      <c r="J250" s="2">
        <v>24</v>
      </c>
      <c r="K250" s="2">
        <f t="shared" si="39"/>
        <v>20</v>
      </c>
      <c r="L250" s="2">
        <v>90</v>
      </c>
      <c r="M250" s="2">
        <v>66</v>
      </c>
      <c r="N250" s="2">
        <v>3</v>
      </c>
      <c r="O250" s="2">
        <v>0</v>
      </c>
      <c r="P250" s="2">
        <v>2</v>
      </c>
      <c r="Q250" s="2">
        <v>1</v>
      </c>
      <c r="R250" s="2">
        <v>13.9</v>
      </c>
      <c r="S250" s="2">
        <v>14</v>
      </c>
      <c r="T250" s="2">
        <v>11.5</v>
      </c>
      <c r="U250" s="2">
        <v>35.9</v>
      </c>
      <c r="V250" s="1">
        <v>396</v>
      </c>
      <c r="W250" s="2">
        <v>1211.5999999999999</v>
      </c>
      <c r="X250" s="2">
        <v>370</v>
      </c>
      <c r="Y250" s="1">
        <v>1211.5999999999999</v>
      </c>
      <c r="Z250" s="2" t="s">
        <v>47</v>
      </c>
      <c r="AA250" s="2">
        <v>4</v>
      </c>
      <c r="AB250" s="2">
        <v>0</v>
      </c>
      <c r="AD250" s="3" t="s">
        <v>230</v>
      </c>
      <c r="AE250" s="3" t="s">
        <v>58</v>
      </c>
      <c r="AF250" s="3" t="s">
        <v>50</v>
      </c>
      <c r="AG250" s="3" t="s">
        <v>51</v>
      </c>
      <c r="AH250" s="3" t="s">
        <v>75</v>
      </c>
      <c r="AI250" s="2">
        <v>0</v>
      </c>
      <c r="AJ250" s="2">
        <v>1</v>
      </c>
      <c r="AK250" s="2">
        <v>0</v>
      </c>
      <c r="AL250" s="2">
        <v>0</v>
      </c>
      <c r="AM250" s="2">
        <v>0</v>
      </c>
      <c r="AN250" s="2">
        <v>1</v>
      </c>
      <c r="AO250" s="2" t="s">
        <v>88</v>
      </c>
      <c r="AP250" s="1">
        <f>512</f>
        <v>512</v>
      </c>
      <c r="AQ250" s="1">
        <f>80+14+99+14+7.4</f>
        <v>214.4</v>
      </c>
      <c r="AR250" s="4">
        <f t="shared" si="50"/>
        <v>0.29515418502202645</v>
      </c>
      <c r="AS250" s="18">
        <f t="shared" si="47"/>
        <v>193.85599999999999</v>
      </c>
      <c r="AT250">
        <f t="shared" si="44"/>
        <v>0.90417910447761185</v>
      </c>
      <c r="AU250">
        <f t="shared" si="51"/>
        <v>149.82</v>
      </c>
      <c r="AV250" s="9">
        <f t="shared" si="40"/>
        <v>0.69878731343283573</v>
      </c>
    </row>
    <row r="251" spans="1:49" x14ac:dyDescent="0.3">
      <c r="A251" s="23">
        <v>316</v>
      </c>
      <c r="B251" t="s">
        <v>42</v>
      </c>
      <c r="C251" s="1">
        <v>11222</v>
      </c>
      <c r="D251" t="s">
        <v>85</v>
      </c>
      <c r="E251" t="s">
        <v>86</v>
      </c>
      <c r="F251" t="s">
        <v>86</v>
      </c>
      <c r="G251" s="2">
        <v>1912</v>
      </c>
      <c r="H251" s="2" t="s">
        <v>208</v>
      </c>
      <c r="I251" s="2" t="str">
        <f t="shared" si="41"/>
        <v>&lt;1950</v>
      </c>
      <c r="J251" s="2">
        <v>45</v>
      </c>
      <c r="K251" s="2">
        <f t="shared" si="39"/>
        <v>50</v>
      </c>
      <c r="L251" s="2">
        <v>144</v>
      </c>
      <c r="M251" s="2">
        <v>99</v>
      </c>
      <c r="N251" s="2">
        <v>4</v>
      </c>
      <c r="O251" s="2">
        <v>0</v>
      </c>
      <c r="P251" s="2">
        <v>3</v>
      </c>
      <c r="Q251" s="2">
        <v>1</v>
      </c>
      <c r="R251" s="2">
        <v>17.7</v>
      </c>
      <c r="S251" s="2">
        <v>17.5</v>
      </c>
      <c r="V251" s="1">
        <v>856</v>
      </c>
      <c r="W251" s="2">
        <v>3031.3</v>
      </c>
      <c r="X251" s="2">
        <v>314.60000000000002</v>
      </c>
      <c r="Y251" s="1">
        <v>2273</v>
      </c>
      <c r="Z251" s="2" t="s">
        <v>47</v>
      </c>
      <c r="AA251" s="2">
        <v>13</v>
      </c>
      <c r="AB251" s="2">
        <v>8</v>
      </c>
      <c r="AD251" s="3" t="s">
        <v>139</v>
      </c>
      <c r="AE251" s="3" t="s">
        <v>139</v>
      </c>
      <c r="AF251" s="3" t="s">
        <v>50</v>
      </c>
      <c r="AG251" s="3" t="s">
        <v>60</v>
      </c>
      <c r="AH251" s="3" t="s">
        <v>81</v>
      </c>
      <c r="AI251" s="2">
        <v>0</v>
      </c>
      <c r="AJ251" s="2">
        <v>1</v>
      </c>
      <c r="AK251" s="2">
        <v>0</v>
      </c>
      <c r="AL251" s="2">
        <v>1</v>
      </c>
      <c r="AM251" s="2">
        <v>0</v>
      </c>
      <c r="AN251" s="2">
        <v>1</v>
      </c>
      <c r="AO251" s="2" t="s">
        <v>76</v>
      </c>
      <c r="AP251" s="1">
        <f>13*2+1015</f>
        <v>1041</v>
      </c>
      <c r="AQ251" s="1">
        <f>15*2+149+161</f>
        <v>340</v>
      </c>
      <c r="AR251" s="4">
        <f t="shared" si="50"/>
        <v>0.24619840695148443</v>
      </c>
      <c r="AS251" s="18">
        <f t="shared" si="47"/>
        <v>363.68</v>
      </c>
      <c r="AT251">
        <f t="shared" si="44"/>
        <v>1.0696470588235294</v>
      </c>
      <c r="AU251">
        <f t="shared" si="51"/>
        <v>224.73</v>
      </c>
      <c r="AV251" s="9">
        <f t="shared" si="40"/>
        <v>0.66097058823529409</v>
      </c>
    </row>
    <row r="252" spans="1:49" x14ac:dyDescent="0.3">
      <c r="A252" s="23">
        <v>349</v>
      </c>
      <c r="B252" t="s">
        <v>42</v>
      </c>
      <c r="C252" s="1">
        <v>12331</v>
      </c>
      <c r="D252" t="s">
        <v>85</v>
      </c>
      <c r="E252" t="s">
        <v>86</v>
      </c>
      <c r="F252" t="s">
        <v>86</v>
      </c>
      <c r="G252" s="2">
        <v>1961</v>
      </c>
      <c r="H252" s="2" t="s">
        <v>57</v>
      </c>
      <c r="I252" s="2" t="str">
        <f t="shared" si="41"/>
        <v>1950-1980</v>
      </c>
      <c r="J252" s="2">
        <v>60</v>
      </c>
      <c r="K252" s="2">
        <f>MROUND(J252,10)</f>
        <v>60</v>
      </c>
      <c r="L252" s="2">
        <v>244</v>
      </c>
      <c r="M252" s="2">
        <v>184</v>
      </c>
      <c r="N252" s="2">
        <v>5</v>
      </c>
      <c r="O252" s="2">
        <v>0</v>
      </c>
      <c r="P252" s="2">
        <v>3</v>
      </c>
      <c r="Q252" s="2">
        <v>1</v>
      </c>
      <c r="R252" s="2">
        <v>17.7</v>
      </c>
      <c r="S252" s="2">
        <v>17.5</v>
      </c>
      <c r="T252" s="2">
        <v>11.1</v>
      </c>
      <c r="U252" s="2">
        <v>61.2</v>
      </c>
      <c r="V252" s="1">
        <v>679</v>
      </c>
      <c r="W252" s="2">
        <v>2934.8</v>
      </c>
      <c r="X252" s="2">
        <v>185.5</v>
      </c>
      <c r="Y252" s="1">
        <v>2664.7</v>
      </c>
      <c r="Z252" s="2" t="s">
        <v>47</v>
      </c>
      <c r="AA252" s="2">
        <v>4</v>
      </c>
      <c r="AB252" s="2">
        <v>0</v>
      </c>
      <c r="AC252" s="2">
        <v>0</v>
      </c>
      <c r="AD252" s="3" t="s">
        <v>231</v>
      </c>
      <c r="AE252" s="3" t="s">
        <v>58</v>
      </c>
      <c r="AF252" s="3" t="s">
        <v>50</v>
      </c>
      <c r="AG252" s="3" t="s">
        <v>67</v>
      </c>
      <c r="AH252" s="3" t="s">
        <v>75</v>
      </c>
      <c r="AI252" s="2">
        <v>0</v>
      </c>
      <c r="AJ252" s="2">
        <v>1</v>
      </c>
      <c r="AK252" s="2">
        <v>0</v>
      </c>
      <c r="AL252" s="2">
        <v>0</v>
      </c>
      <c r="AM252" s="2">
        <v>0</v>
      </c>
      <c r="AN252" s="2">
        <v>1</v>
      </c>
      <c r="AO252" s="2" t="s">
        <v>88</v>
      </c>
      <c r="AP252" s="1">
        <v>1260</v>
      </c>
      <c r="AQ252" s="1">
        <f>19.6*2+232.8+235.9</f>
        <v>507.9</v>
      </c>
      <c r="AR252" s="4">
        <f t="shared" si="50"/>
        <v>0.28729000509078567</v>
      </c>
      <c r="AS252" s="18">
        <f t="shared" si="47"/>
        <v>426.35199999999998</v>
      </c>
      <c r="AT252">
        <f t="shared" si="44"/>
        <v>0.83944083481000198</v>
      </c>
      <c r="AU252">
        <f t="shared" si="51"/>
        <v>417.68</v>
      </c>
      <c r="AV252" s="9">
        <f t="shared" si="40"/>
        <v>0.82236660759992131</v>
      </c>
    </row>
    <row r="253" spans="1:49" x14ac:dyDescent="0.3">
      <c r="A253" s="23">
        <v>46</v>
      </c>
      <c r="B253" t="s">
        <v>42</v>
      </c>
      <c r="C253" s="1">
        <v>11222</v>
      </c>
      <c r="D253" t="s">
        <v>85</v>
      </c>
      <c r="E253" t="s">
        <v>86</v>
      </c>
      <c r="F253" t="s">
        <v>86</v>
      </c>
      <c r="G253" s="2">
        <v>1978</v>
      </c>
      <c r="H253" s="2" t="s">
        <v>69</v>
      </c>
      <c r="I253" s="2" t="str">
        <f t="shared" si="41"/>
        <v>1950-1980</v>
      </c>
      <c r="J253" s="2">
        <v>54</v>
      </c>
      <c r="K253" s="2">
        <f t="shared" si="39"/>
        <v>50</v>
      </c>
      <c r="L253" s="2">
        <v>274</v>
      </c>
      <c r="M253" s="2">
        <v>220</v>
      </c>
      <c r="N253" s="2">
        <v>5</v>
      </c>
      <c r="O253" s="2">
        <v>0</v>
      </c>
      <c r="P253" s="2">
        <v>5</v>
      </c>
      <c r="Q253" s="2">
        <v>1</v>
      </c>
      <c r="R253" s="2">
        <v>15.3</v>
      </c>
      <c r="S253" s="2">
        <v>15.5</v>
      </c>
      <c r="V253" s="1">
        <v>1480</v>
      </c>
      <c r="W253" s="2">
        <v>5519.9</v>
      </c>
      <c r="X253" s="2">
        <v>1559.3</v>
      </c>
      <c r="Y253" s="1">
        <v>3867.3</v>
      </c>
      <c r="Z253" s="2" t="s">
        <v>47</v>
      </c>
      <c r="AA253" s="2">
        <v>4</v>
      </c>
      <c r="AB253" s="2">
        <v>0</v>
      </c>
      <c r="AC253" s="2">
        <v>2</v>
      </c>
      <c r="AD253" s="3" t="s">
        <v>58</v>
      </c>
      <c r="AE253" s="3" t="s">
        <v>235</v>
      </c>
      <c r="AF253" s="3" t="s">
        <v>50</v>
      </c>
      <c r="AG253" s="3" t="s">
        <v>74</v>
      </c>
      <c r="AH253" s="3" t="s">
        <v>75</v>
      </c>
      <c r="AI253" s="2">
        <v>1</v>
      </c>
      <c r="AJ253" s="2">
        <v>0</v>
      </c>
      <c r="AK253" s="2">
        <v>0</v>
      </c>
      <c r="AL253" s="2">
        <v>1</v>
      </c>
      <c r="AM253" s="2">
        <v>0</v>
      </c>
      <c r="AN253" s="2">
        <v>0</v>
      </c>
      <c r="AO253" s="2" t="s">
        <v>76</v>
      </c>
      <c r="AP253" s="1">
        <f>585.5+563.6+276.2</f>
        <v>1425.3</v>
      </c>
      <c r="AQ253" s="1">
        <f>242.2+296.4</f>
        <v>538.59999999999991</v>
      </c>
      <c r="AR253" s="4">
        <f t="shared" si="50"/>
        <v>0.27425021640613062</v>
      </c>
      <c r="AS253" s="18">
        <f t="shared" ref="AS253:AS284" si="52">IF(AQ253&lt;&gt;"", Y253/6.25,"")</f>
        <v>618.76800000000003</v>
      </c>
      <c r="AT253">
        <f t="shared" si="44"/>
        <v>1.1488451541032307</v>
      </c>
      <c r="AU253">
        <f t="shared" si="51"/>
        <v>499.4</v>
      </c>
      <c r="AV253" s="9">
        <f t="shared" si="40"/>
        <v>0.9272187151875233</v>
      </c>
    </row>
    <row r="254" spans="1:49" x14ac:dyDescent="0.3">
      <c r="A254" s="23">
        <v>273</v>
      </c>
      <c r="B254" t="s">
        <v>42</v>
      </c>
      <c r="C254" s="1">
        <v>11222</v>
      </c>
      <c r="D254" t="s">
        <v>85</v>
      </c>
      <c r="E254" t="s">
        <v>86</v>
      </c>
      <c r="F254" t="s">
        <v>86</v>
      </c>
      <c r="G254" s="2">
        <v>1958</v>
      </c>
      <c r="H254" s="2" t="s">
        <v>63</v>
      </c>
      <c r="I254" s="2" t="str">
        <f t="shared" si="41"/>
        <v>1950-1980</v>
      </c>
      <c r="J254" s="2">
        <v>11</v>
      </c>
      <c r="K254" s="2">
        <f t="shared" si="39"/>
        <v>10</v>
      </c>
      <c r="L254" s="2">
        <v>46</v>
      </c>
      <c r="M254" s="2">
        <v>35</v>
      </c>
      <c r="N254" s="2">
        <v>3</v>
      </c>
      <c r="O254" s="2">
        <v>0</v>
      </c>
      <c r="P254" s="2">
        <v>1</v>
      </c>
      <c r="Q254" s="2">
        <v>1</v>
      </c>
      <c r="R254" s="2">
        <v>12.5</v>
      </c>
      <c r="S254" s="2">
        <v>12.5</v>
      </c>
      <c r="V254" s="1">
        <v>314</v>
      </c>
      <c r="W254" s="2">
        <v>778.6</v>
      </c>
      <c r="X254" s="2">
        <v>45</v>
      </c>
      <c r="Y254" s="1">
        <v>612.9</v>
      </c>
      <c r="Z254" s="2" t="s">
        <v>47</v>
      </c>
      <c r="AA254" s="2">
        <v>4</v>
      </c>
      <c r="AB254" s="2">
        <v>0</v>
      </c>
      <c r="AD254" s="3" t="s">
        <v>58</v>
      </c>
      <c r="AE254" s="3" t="s">
        <v>58</v>
      </c>
      <c r="AF254" s="3" t="s">
        <v>50</v>
      </c>
      <c r="AG254" s="3" t="s">
        <v>51</v>
      </c>
      <c r="AH254" s="3" t="s">
        <v>52</v>
      </c>
      <c r="AI254" s="2">
        <v>0</v>
      </c>
      <c r="AJ254" s="2">
        <v>1</v>
      </c>
      <c r="AK254" s="2">
        <v>0</v>
      </c>
      <c r="AL254" s="2">
        <v>0</v>
      </c>
      <c r="AM254" s="2">
        <v>0</v>
      </c>
      <c r="AN254" s="2">
        <v>1</v>
      </c>
      <c r="AO254" s="2" t="s">
        <v>103</v>
      </c>
      <c r="AP254" s="1">
        <v>609</v>
      </c>
      <c r="AQ254" s="1">
        <f>29.6+20*2+32.9</f>
        <v>102.5</v>
      </c>
      <c r="AR254" s="4">
        <f t="shared" si="50"/>
        <v>0.14406184118060436</v>
      </c>
      <c r="AS254" s="18">
        <f t="shared" si="52"/>
        <v>98.063999999999993</v>
      </c>
      <c r="AT254">
        <f t="shared" si="44"/>
        <v>0.95672195121951209</v>
      </c>
      <c r="AU254">
        <f t="shared" si="51"/>
        <v>79.45</v>
      </c>
      <c r="AV254" s="9">
        <f t="shared" si="40"/>
        <v>0.77512195121951222</v>
      </c>
    </row>
    <row r="255" spans="1:49" x14ac:dyDescent="0.3">
      <c r="A255" s="23">
        <v>386</v>
      </c>
      <c r="B255" t="s">
        <v>42</v>
      </c>
      <c r="C255" s="1">
        <v>11222</v>
      </c>
      <c r="D255" t="s">
        <v>85</v>
      </c>
      <c r="E255" t="s">
        <v>86</v>
      </c>
      <c r="F255" t="s">
        <v>86</v>
      </c>
      <c r="G255" s="2">
        <v>1962</v>
      </c>
      <c r="H255" s="2" t="s">
        <v>57</v>
      </c>
      <c r="I255" s="2" t="str">
        <f t="shared" si="41"/>
        <v>1950-1980</v>
      </c>
      <c r="J255" s="2">
        <v>32</v>
      </c>
      <c r="K255" s="2">
        <f t="shared" si="39"/>
        <v>30</v>
      </c>
      <c r="L255" s="2">
        <v>120</v>
      </c>
      <c r="M255" s="2">
        <v>88</v>
      </c>
      <c r="N255" s="2">
        <v>4</v>
      </c>
      <c r="O255" s="2">
        <v>0</v>
      </c>
      <c r="P255" s="2">
        <v>2</v>
      </c>
      <c r="Q255" s="2">
        <v>1</v>
      </c>
      <c r="R255" s="2">
        <v>15.3</v>
      </c>
      <c r="S255" s="2">
        <v>15.5</v>
      </c>
      <c r="T255" s="2">
        <v>11.2</v>
      </c>
      <c r="U255" s="2">
        <v>35.700000000000003</v>
      </c>
      <c r="V255" s="1">
        <v>395.7</v>
      </c>
      <c r="W255" s="2">
        <v>1366.2</v>
      </c>
      <c r="X255" s="2">
        <v>85.2</v>
      </c>
      <c r="Y255" s="1">
        <v>1220.4000000000001</v>
      </c>
      <c r="Z255" s="2" t="s">
        <v>47</v>
      </c>
      <c r="AA255" s="2">
        <v>4</v>
      </c>
      <c r="AB255" s="2">
        <v>0</v>
      </c>
      <c r="AD255" s="3" t="s">
        <v>231</v>
      </c>
      <c r="AE255" s="3" t="s">
        <v>58</v>
      </c>
      <c r="AF255" s="3" t="s">
        <v>50</v>
      </c>
      <c r="AG255" s="3" t="s">
        <v>51</v>
      </c>
      <c r="AH255" s="3" t="s">
        <v>75</v>
      </c>
      <c r="AI255" s="2">
        <v>0</v>
      </c>
      <c r="AJ255" s="2">
        <v>1</v>
      </c>
      <c r="AK255" s="2">
        <v>0</v>
      </c>
      <c r="AL255" s="2">
        <v>0</v>
      </c>
      <c r="AM255" s="2">
        <v>0</v>
      </c>
      <c r="AN255" s="2">
        <v>1</v>
      </c>
      <c r="AO255" s="2" t="s">
        <v>76</v>
      </c>
      <c r="AP255" s="1">
        <f>609</f>
        <v>609</v>
      </c>
      <c r="AQ255" s="1">
        <f>92+16+119+16</f>
        <v>243</v>
      </c>
      <c r="AR255" s="4">
        <f t="shared" si="50"/>
        <v>0.28521126760563381</v>
      </c>
      <c r="AS255" s="18">
        <f t="shared" si="52"/>
        <v>195.26400000000001</v>
      </c>
      <c r="AT255">
        <f t="shared" si="44"/>
        <v>0.80355555555555558</v>
      </c>
      <c r="AU255">
        <f t="shared" si="51"/>
        <v>199.76</v>
      </c>
      <c r="AV255" s="9">
        <f t="shared" si="40"/>
        <v>0.82205761316872428</v>
      </c>
    </row>
    <row r="256" spans="1:49" x14ac:dyDescent="0.3">
      <c r="A256" s="23">
        <v>336</v>
      </c>
      <c r="B256" t="s">
        <v>42</v>
      </c>
      <c r="C256" s="1">
        <v>11318</v>
      </c>
      <c r="D256" t="s">
        <v>85</v>
      </c>
      <c r="E256" t="s">
        <v>86</v>
      </c>
      <c r="F256" t="s">
        <v>86</v>
      </c>
      <c r="G256" s="2">
        <v>1962</v>
      </c>
      <c r="H256" s="2" t="s">
        <v>57</v>
      </c>
      <c r="I256" s="2" t="str">
        <f t="shared" si="41"/>
        <v>1950-1980</v>
      </c>
      <c r="J256" s="2">
        <v>49</v>
      </c>
      <c r="K256" s="2">
        <f>MROUND(J256,10)</f>
        <v>50</v>
      </c>
      <c r="L256" s="2">
        <v>206</v>
      </c>
      <c r="M256" s="2">
        <v>157</v>
      </c>
      <c r="N256" s="2">
        <v>4</v>
      </c>
      <c r="O256" s="2">
        <v>0</v>
      </c>
      <c r="P256" s="2">
        <v>4</v>
      </c>
      <c r="Q256" s="2">
        <v>1</v>
      </c>
      <c r="R256" s="2">
        <v>15.7</v>
      </c>
      <c r="S256" s="2">
        <v>15.5</v>
      </c>
      <c r="T256" s="2">
        <v>11.2</v>
      </c>
      <c r="U256" s="2">
        <v>61.2</v>
      </c>
      <c r="V256" s="1">
        <v>657</v>
      </c>
      <c r="W256" s="2">
        <v>2531.4</v>
      </c>
      <c r="X256" s="2">
        <v>363.1</v>
      </c>
      <c r="Y256" s="1">
        <v>2521</v>
      </c>
      <c r="Z256" s="2" t="s">
        <v>47</v>
      </c>
      <c r="AA256" s="2">
        <v>4</v>
      </c>
      <c r="AB256" s="2">
        <v>0</v>
      </c>
      <c r="AD256" s="3" t="s">
        <v>322</v>
      </c>
      <c r="AE256" s="3" t="s">
        <v>58</v>
      </c>
      <c r="AF256" s="3" t="s">
        <v>50</v>
      </c>
      <c r="AG256" s="3" t="s">
        <v>51</v>
      </c>
      <c r="AH256" s="3" t="s">
        <v>75</v>
      </c>
      <c r="AI256" s="2">
        <v>0</v>
      </c>
      <c r="AJ256" s="2">
        <v>1</v>
      </c>
      <c r="AK256" s="2">
        <v>0</v>
      </c>
      <c r="AL256" s="2">
        <v>0</v>
      </c>
      <c r="AM256" s="2">
        <v>0</v>
      </c>
      <c r="AN256" s="2">
        <v>1</v>
      </c>
      <c r="AO256" s="2" t="s">
        <v>88</v>
      </c>
      <c r="AP256" s="1">
        <f>1306.5+265.8</f>
        <v>1572.3</v>
      </c>
      <c r="AQ256" s="1">
        <f>190+204.6+20+16.4</f>
        <v>431</v>
      </c>
      <c r="AR256" s="4">
        <f t="shared" si="50"/>
        <v>0.21514501073229172</v>
      </c>
      <c r="AS256" s="18">
        <f t="shared" si="52"/>
        <v>403.36</v>
      </c>
      <c r="AT256">
        <f t="shared" si="44"/>
        <v>0.93587006960556851</v>
      </c>
      <c r="AU256">
        <f t="shared" si="51"/>
        <v>356.39</v>
      </c>
      <c r="AV256" s="9">
        <f t="shared" si="40"/>
        <v>0.82689095127610202</v>
      </c>
    </row>
    <row r="257" spans="1:48" x14ac:dyDescent="0.3">
      <c r="A257" s="23">
        <v>362</v>
      </c>
      <c r="B257" t="s">
        <v>42</v>
      </c>
      <c r="C257" s="1">
        <v>12201</v>
      </c>
      <c r="D257" t="s">
        <v>85</v>
      </c>
      <c r="E257" t="s">
        <v>86</v>
      </c>
      <c r="F257" t="s">
        <v>86</v>
      </c>
      <c r="G257" s="2">
        <v>1959</v>
      </c>
      <c r="H257" s="2" t="s">
        <v>63</v>
      </c>
      <c r="I257" s="2" t="str">
        <f t="shared" si="41"/>
        <v>1950-1980</v>
      </c>
      <c r="J257" s="2">
        <v>30</v>
      </c>
      <c r="K257" s="2">
        <f>MROUND(J257,10)</f>
        <v>30</v>
      </c>
      <c r="L257" s="2">
        <v>78</v>
      </c>
      <c r="M257" s="2">
        <v>48</v>
      </c>
      <c r="N257" s="2">
        <v>4</v>
      </c>
      <c r="O257" s="2">
        <v>0</v>
      </c>
      <c r="P257" s="2">
        <v>3</v>
      </c>
      <c r="Q257" s="2">
        <v>1</v>
      </c>
      <c r="R257" s="2">
        <v>15.9</v>
      </c>
      <c r="S257" s="2">
        <v>16</v>
      </c>
      <c r="T257" s="2">
        <v>11.5</v>
      </c>
      <c r="U257" s="2">
        <v>35.9</v>
      </c>
      <c r="V257" s="1">
        <v>391</v>
      </c>
      <c r="W257" s="2">
        <v>1504</v>
      </c>
      <c r="X257" s="2">
        <v>317.2</v>
      </c>
      <c r="Y257" s="1">
        <v>1504</v>
      </c>
      <c r="Z257" s="2" t="s">
        <v>47</v>
      </c>
      <c r="AA257" s="2">
        <v>4</v>
      </c>
      <c r="AB257" s="2">
        <v>0</v>
      </c>
      <c r="AD257" s="3" t="s">
        <v>231</v>
      </c>
      <c r="AE257" s="3" t="s">
        <v>58</v>
      </c>
      <c r="AF257" s="3" t="s">
        <v>50</v>
      </c>
      <c r="AG257" s="3" t="s">
        <v>51</v>
      </c>
      <c r="AH257" s="3" t="s">
        <v>75</v>
      </c>
      <c r="AI257" s="2">
        <v>0</v>
      </c>
      <c r="AJ257" s="2">
        <v>1</v>
      </c>
      <c r="AK257" s="2">
        <v>0</v>
      </c>
      <c r="AL257" s="2">
        <v>0</v>
      </c>
      <c r="AM257" s="2">
        <v>0</v>
      </c>
      <c r="AN257" s="2">
        <v>1</v>
      </c>
      <c r="AO257" s="2" t="s">
        <v>88</v>
      </c>
      <c r="AP257" s="1">
        <f>770</f>
        <v>770</v>
      </c>
      <c r="AQ257" s="1">
        <f>110+137+18*2</f>
        <v>283</v>
      </c>
      <c r="AR257" s="4">
        <f t="shared" si="50"/>
        <v>0.26875593542260207</v>
      </c>
      <c r="AS257" s="18">
        <f t="shared" si="52"/>
        <v>240.64</v>
      </c>
      <c r="AT257">
        <f t="shared" si="44"/>
        <v>0.85031802120141342</v>
      </c>
      <c r="AU257">
        <f t="shared" si="51"/>
        <v>108.96000000000001</v>
      </c>
      <c r="AV257" s="9">
        <f t="shared" si="40"/>
        <v>0.38501766784452301</v>
      </c>
    </row>
    <row r="258" spans="1:48" x14ac:dyDescent="0.3">
      <c r="A258" s="23">
        <v>16</v>
      </c>
      <c r="B258" t="s">
        <v>42</v>
      </c>
      <c r="C258" s="1">
        <v>11222</v>
      </c>
      <c r="D258" t="s">
        <v>85</v>
      </c>
      <c r="E258" t="s">
        <v>118</v>
      </c>
      <c r="F258" t="s">
        <v>119</v>
      </c>
      <c r="G258" s="2">
        <v>1970</v>
      </c>
      <c r="H258" s="2" t="s">
        <v>57</v>
      </c>
      <c r="I258" s="2" t="str">
        <f t="shared" si="41"/>
        <v>1950-1980</v>
      </c>
      <c r="J258" s="2">
        <v>18</v>
      </c>
      <c r="K258" s="2">
        <f t="shared" ref="K258:K321" si="53">MROUND(J258,10)</f>
        <v>20</v>
      </c>
      <c r="L258" s="2">
        <v>72</v>
      </c>
      <c r="M258" s="2">
        <v>54</v>
      </c>
      <c r="N258" s="2">
        <v>3</v>
      </c>
      <c r="O258" s="2">
        <v>0</v>
      </c>
      <c r="P258" s="2">
        <v>2</v>
      </c>
      <c r="Q258" s="2">
        <v>1</v>
      </c>
      <c r="R258" s="2">
        <v>16</v>
      </c>
      <c r="S258" s="2">
        <v>16</v>
      </c>
      <c r="V258" s="1">
        <v>377</v>
      </c>
      <c r="W258" s="2">
        <v>1138.5999999999999</v>
      </c>
      <c r="X258" s="2">
        <v>73</v>
      </c>
      <c r="Y258" s="1">
        <v>862.6</v>
      </c>
      <c r="Z258" s="2" t="s">
        <v>47</v>
      </c>
      <c r="AA258" s="2">
        <v>4</v>
      </c>
      <c r="AB258" s="2">
        <v>0</v>
      </c>
      <c r="AC258" s="2">
        <v>0</v>
      </c>
      <c r="AD258" s="3" t="s">
        <v>178</v>
      </c>
      <c r="AE258" s="3" t="s">
        <v>178</v>
      </c>
      <c r="AF258" s="3" t="s">
        <v>50</v>
      </c>
      <c r="AG258" s="3" t="s">
        <v>179</v>
      </c>
      <c r="AH258" s="3" t="s">
        <v>75</v>
      </c>
      <c r="AI258" s="2">
        <v>0</v>
      </c>
      <c r="AJ258" s="2">
        <v>1</v>
      </c>
      <c r="AK258" s="2">
        <v>0</v>
      </c>
      <c r="AL258" s="2">
        <v>0</v>
      </c>
      <c r="AM258" s="2">
        <v>0</v>
      </c>
      <c r="AN258" s="2">
        <v>0</v>
      </c>
      <c r="AO258" s="2" t="s">
        <v>76</v>
      </c>
      <c r="AP258" s="1">
        <v>582</v>
      </c>
      <c r="AQ258" s="1">
        <f>67+74</f>
        <v>141</v>
      </c>
      <c r="AR258" s="4">
        <f t="shared" si="50"/>
        <v>0.19502074688796681</v>
      </c>
      <c r="AS258" s="18">
        <f t="shared" si="52"/>
        <v>138.01599999999999</v>
      </c>
      <c r="AT258">
        <f t="shared" si="44"/>
        <v>0.9788368794326241</v>
      </c>
      <c r="AU258">
        <f t="shared" si="51"/>
        <v>122.58</v>
      </c>
      <c r="AV258" s="9">
        <f t="shared" ref="AV258:AV321" si="54">IF(AQ258&lt;&gt;"",AU258/AQ258,"")</f>
        <v>0.86936170212765951</v>
      </c>
    </row>
    <row r="259" spans="1:48" x14ac:dyDescent="0.3">
      <c r="A259" s="23">
        <v>224</v>
      </c>
      <c r="B259" t="s">
        <v>42</v>
      </c>
      <c r="C259" s="1">
        <v>11222</v>
      </c>
      <c r="D259" t="s">
        <v>85</v>
      </c>
      <c r="E259" t="s">
        <v>86</v>
      </c>
      <c r="F259" t="s">
        <v>86</v>
      </c>
      <c r="G259" s="2">
        <v>1990</v>
      </c>
      <c r="H259" s="2" t="s">
        <v>131</v>
      </c>
      <c r="I259" s="2" t="str">
        <f t="shared" ref="I259:I322" si="55">IF(G259&lt;1951,"&lt;1950",IF(G259&lt;1981,"1950-1980","&gt;1980"))</f>
        <v>&gt;1980</v>
      </c>
      <c r="J259" s="2">
        <v>15</v>
      </c>
      <c r="K259" s="2">
        <f t="shared" si="53"/>
        <v>20</v>
      </c>
      <c r="L259" s="2">
        <v>76</v>
      </c>
      <c r="M259" s="2">
        <v>61</v>
      </c>
      <c r="N259" s="2">
        <v>3</v>
      </c>
      <c r="O259" s="2">
        <v>0</v>
      </c>
      <c r="P259" s="2">
        <v>3</v>
      </c>
      <c r="Q259" s="2">
        <v>1</v>
      </c>
      <c r="R259" s="2">
        <v>9.5</v>
      </c>
      <c r="S259" s="2">
        <v>9.5</v>
      </c>
      <c r="T259" s="2">
        <v>54.9</v>
      </c>
      <c r="U259" s="2">
        <v>10.3</v>
      </c>
      <c r="V259" s="1">
        <v>542</v>
      </c>
      <c r="W259" s="2">
        <v>1459.1</v>
      </c>
      <c r="X259" s="2">
        <v>517.29999999999995</v>
      </c>
      <c r="Y259" s="1">
        <v>1069</v>
      </c>
      <c r="Z259" s="2" t="s">
        <v>47</v>
      </c>
      <c r="AA259" s="2">
        <v>10</v>
      </c>
      <c r="AB259" s="2">
        <v>6</v>
      </c>
      <c r="AD259" s="3" t="s">
        <v>58</v>
      </c>
      <c r="AE259" s="3" t="s">
        <v>49</v>
      </c>
      <c r="AF259" s="3" t="s">
        <v>50</v>
      </c>
      <c r="AG259" s="3" t="s">
        <v>74</v>
      </c>
      <c r="AH259" s="3" t="s">
        <v>75</v>
      </c>
      <c r="AI259" s="2">
        <v>1</v>
      </c>
      <c r="AJ259" s="2">
        <v>0</v>
      </c>
      <c r="AK259" s="2">
        <v>0</v>
      </c>
      <c r="AL259" s="2">
        <v>1</v>
      </c>
      <c r="AM259" s="2">
        <v>0</v>
      </c>
      <c r="AN259" s="2">
        <v>0</v>
      </c>
      <c r="AO259" s="2" t="s">
        <v>76</v>
      </c>
      <c r="AP259" s="1">
        <v>787</v>
      </c>
      <c r="AQ259" s="1">
        <f>53+131</f>
        <v>184</v>
      </c>
      <c r="AR259" s="4">
        <f t="shared" si="50"/>
        <v>0.18949536560247168</v>
      </c>
      <c r="AS259" s="18">
        <f t="shared" si="52"/>
        <v>171.04</v>
      </c>
      <c r="AT259">
        <f t="shared" si="44"/>
        <v>0.92956521739130427</v>
      </c>
      <c r="AU259">
        <f t="shared" si="51"/>
        <v>138.47</v>
      </c>
      <c r="AV259" s="9">
        <f t="shared" si="54"/>
        <v>0.75255434782608699</v>
      </c>
    </row>
    <row r="260" spans="1:48" x14ac:dyDescent="0.3">
      <c r="A260" s="23">
        <v>389</v>
      </c>
      <c r="B260" t="s">
        <v>42</v>
      </c>
      <c r="C260" s="1">
        <v>11222</v>
      </c>
      <c r="D260" t="s">
        <v>85</v>
      </c>
      <c r="E260" t="s">
        <v>86</v>
      </c>
      <c r="F260" t="s">
        <v>86</v>
      </c>
      <c r="G260" s="2">
        <v>1962</v>
      </c>
      <c r="H260" s="2" t="s">
        <v>57</v>
      </c>
      <c r="I260" s="2" t="str">
        <f t="shared" si="55"/>
        <v>1950-1980</v>
      </c>
      <c r="J260" s="2">
        <v>31</v>
      </c>
      <c r="K260" s="2">
        <f t="shared" si="53"/>
        <v>30</v>
      </c>
      <c r="L260" s="2">
        <v>117</v>
      </c>
      <c r="M260" s="2">
        <v>86</v>
      </c>
      <c r="N260" s="2">
        <v>4</v>
      </c>
      <c r="O260" s="2">
        <v>0</v>
      </c>
      <c r="P260" s="2">
        <v>3</v>
      </c>
      <c r="Q260" s="2">
        <v>1</v>
      </c>
      <c r="R260" s="2">
        <v>15.2</v>
      </c>
      <c r="S260" s="2">
        <v>15</v>
      </c>
      <c r="T260" s="2">
        <v>11.4</v>
      </c>
      <c r="U260" s="2">
        <v>35.700000000000003</v>
      </c>
      <c r="V260" s="1">
        <v>406.3</v>
      </c>
      <c r="W260" s="2">
        <v>1364</v>
      </c>
      <c r="X260" s="2">
        <v>238.2</v>
      </c>
      <c r="Y260" s="1">
        <v>1220.8</v>
      </c>
      <c r="Z260" s="2" t="s">
        <v>47</v>
      </c>
      <c r="AA260" s="2">
        <v>4</v>
      </c>
      <c r="AB260" s="2">
        <v>0</v>
      </c>
      <c r="AD260" s="3" t="s">
        <v>234</v>
      </c>
      <c r="AE260" s="3" t="s">
        <v>235</v>
      </c>
      <c r="AF260" s="3" t="s">
        <v>73</v>
      </c>
      <c r="AG260" s="3" t="s">
        <v>51</v>
      </c>
      <c r="AH260" s="3" t="s">
        <v>75</v>
      </c>
      <c r="AI260" s="2">
        <v>0</v>
      </c>
      <c r="AJ260" s="2">
        <v>1</v>
      </c>
      <c r="AK260" s="2">
        <v>0</v>
      </c>
      <c r="AL260" s="2">
        <v>0</v>
      </c>
      <c r="AM260" s="2">
        <v>0</v>
      </c>
      <c r="AN260" s="2">
        <v>1</v>
      </c>
      <c r="AO260" s="2" t="s">
        <v>123</v>
      </c>
      <c r="AP260" s="1">
        <f>730+110+12.1</f>
        <v>852.1</v>
      </c>
      <c r="AQ260" s="1">
        <f>16.7+99.8+119.6+16.7</f>
        <v>252.79999999999998</v>
      </c>
      <c r="AR260" s="4">
        <f t="shared" si="50"/>
        <v>0.22879898633360482</v>
      </c>
      <c r="AS260" s="18">
        <f t="shared" si="52"/>
        <v>195.328</v>
      </c>
      <c r="AT260">
        <f t="shared" si="44"/>
        <v>0.77265822784810134</v>
      </c>
      <c r="AU260">
        <f t="shared" si="51"/>
        <v>195.22</v>
      </c>
      <c r="AV260" s="9">
        <f t="shared" si="54"/>
        <v>0.77223101265822791</v>
      </c>
    </row>
    <row r="261" spans="1:48" x14ac:dyDescent="0.3">
      <c r="A261" s="23">
        <v>383</v>
      </c>
      <c r="B261" t="s">
        <v>42</v>
      </c>
      <c r="C261" s="1">
        <v>11222</v>
      </c>
      <c r="D261" t="s">
        <v>85</v>
      </c>
      <c r="E261" t="s">
        <v>86</v>
      </c>
      <c r="F261" t="s">
        <v>86</v>
      </c>
      <c r="G261" s="2">
        <v>1962</v>
      </c>
      <c r="H261" s="2" t="s">
        <v>57</v>
      </c>
      <c r="I261" s="2" t="str">
        <f t="shared" si="55"/>
        <v>1950-1980</v>
      </c>
      <c r="J261" s="2">
        <v>32</v>
      </c>
      <c r="K261" s="2">
        <f t="shared" si="53"/>
        <v>30</v>
      </c>
      <c r="L261" s="2">
        <v>120</v>
      </c>
      <c r="M261" s="2">
        <v>88</v>
      </c>
      <c r="N261" s="2">
        <v>4</v>
      </c>
      <c r="O261" s="2">
        <v>0</v>
      </c>
      <c r="P261" s="2">
        <v>2</v>
      </c>
      <c r="Q261" s="2">
        <v>1</v>
      </c>
      <c r="R261" s="2">
        <v>14.7</v>
      </c>
      <c r="S261" s="2">
        <v>14.5</v>
      </c>
      <c r="T261" s="2">
        <v>11.2</v>
      </c>
      <c r="U261" s="2">
        <v>36.200000000000003</v>
      </c>
      <c r="V261" s="1">
        <v>383</v>
      </c>
      <c r="W261" s="2">
        <v>1349.9</v>
      </c>
      <c r="X261" s="2">
        <v>223.2</v>
      </c>
      <c r="Y261" s="1">
        <v>1349.9</v>
      </c>
      <c r="Z261" s="2" t="s">
        <v>47</v>
      </c>
      <c r="AA261" s="2">
        <v>4</v>
      </c>
      <c r="AB261" s="2">
        <v>0</v>
      </c>
      <c r="AD261" s="3" t="s">
        <v>231</v>
      </c>
      <c r="AE261" s="3" t="s">
        <v>58</v>
      </c>
      <c r="AF261" s="3" t="s">
        <v>50</v>
      </c>
      <c r="AG261" s="3" t="s">
        <v>51</v>
      </c>
      <c r="AH261" s="3" t="s">
        <v>75</v>
      </c>
      <c r="AI261" s="2">
        <v>0</v>
      </c>
      <c r="AJ261" s="2">
        <v>1</v>
      </c>
      <c r="AK261" s="2">
        <v>0</v>
      </c>
      <c r="AL261" s="2">
        <v>0</v>
      </c>
      <c r="AM261" s="2">
        <v>0</v>
      </c>
      <c r="AN261" s="2">
        <v>1</v>
      </c>
      <c r="AO261" s="2" t="s">
        <v>123</v>
      </c>
      <c r="AP261" s="1">
        <f>792.7+145.6</f>
        <v>938.30000000000007</v>
      </c>
      <c r="AQ261" s="1">
        <f>122+99.2+16.8*2</f>
        <v>254.79999999999998</v>
      </c>
      <c r="AR261" s="4">
        <f t="shared" si="50"/>
        <v>0.21356131087084063</v>
      </c>
      <c r="AS261" s="18">
        <f t="shared" si="52"/>
        <v>215.98400000000001</v>
      </c>
      <c r="AT261">
        <f t="shared" si="44"/>
        <v>0.84766091051805348</v>
      </c>
      <c r="AU261">
        <f t="shared" si="51"/>
        <v>199.76</v>
      </c>
      <c r="AV261" s="9">
        <f t="shared" si="54"/>
        <v>0.78398744113029828</v>
      </c>
    </row>
    <row r="262" spans="1:48" x14ac:dyDescent="0.3">
      <c r="A262" s="23">
        <v>322</v>
      </c>
      <c r="B262" t="s">
        <v>42</v>
      </c>
      <c r="C262" s="1">
        <v>11222</v>
      </c>
      <c r="D262" t="s">
        <v>85</v>
      </c>
      <c r="E262" t="s">
        <v>86</v>
      </c>
      <c r="F262" t="s">
        <v>86</v>
      </c>
      <c r="G262" s="2">
        <v>1935</v>
      </c>
      <c r="H262" s="2" t="s">
        <v>111</v>
      </c>
      <c r="I262" s="2" t="str">
        <f t="shared" si="55"/>
        <v>&lt;1950</v>
      </c>
      <c r="J262" s="2">
        <v>32</v>
      </c>
      <c r="K262" s="2">
        <f t="shared" si="53"/>
        <v>30</v>
      </c>
      <c r="L262" s="2">
        <v>120</v>
      </c>
      <c r="M262" s="2">
        <v>88</v>
      </c>
      <c r="N262" s="2">
        <v>4</v>
      </c>
      <c r="O262" s="2">
        <v>0</v>
      </c>
      <c r="P262" s="2">
        <v>2</v>
      </c>
      <c r="Q262" s="2">
        <v>1</v>
      </c>
      <c r="R262" s="2">
        <v>14.6</v>
      </c>
      <c r="S262" s="2">
        <v>14.5</v>
      </c>
      <c r="T262" s="2">
        <v>11.2</v>
      </c>
      <c r="U262" s="2">
        <v>36.200000000000003</v>
      </c>
      <c r="V262" s="1">
        <v>394</v>
      </c>
      <c r="W262" s="2">
        <v>1368.8</v>
      </c>
      <c r="X262" s="2">
        <v>248.4</v>
      </c>
      <c r="Y262" s="1">
        <v>1216.4000000000001</v>
      </c>
      <c r="Z262" s="2" t="s">
        <v>47</v>
      </c>
      <c r="AA262" s="2">
        <v>4</v>
      </c>
      <c r="AB262" s="2">
        <v>0</v>
      </c>
      <c r="AD262" s="3" t="s">
        <v>231</v>
      </c>
      <c r="AE262" s="3" t="s">
        <v>58</v>
      </c>
      <c r="AF262" s="3" t="s">
        <v>83</v>
      </c>
      <c r="AG262" s="3" t="s">
        <v>51</v>
      </c>
      <c r="AH262" s="3" t="s">
        <v>75</v>
      </c>
      <c r="AI262" s="2">
        <v>0</v>
      </c>
      <c r="AJ262" s="2">
        <v>1</v>
      </c>
      <c r="AK262" s="2">
        <v>0</v>
      </c>
      <c r="AL262" s="2">
        <v>0</v>
      </c>
      <c r="AM262" s="2">
        <v>0</v>
      </c>
      <c r="AN262" s="2">
        <v>1</v>
      </c>
      <c r="AO262" s="2" t="s">
        <v>88</v>
      </c>
      <c r="AP262" s="1">
        <f>704.8</f>
        <v>704.8</v>
      </c>
      <c r="AQ262" s="1">
        <f>100.1+123+16.6*2</f>
        <v>256.3</v>
      </c>
      <c r="AR262" s="4">
        <f t="shared" si="50"/>
        <v>0.26667360316304239</v>
      </c>
      <c r="AS262" s="18">
        <f t="shared" si="52"/>
        <v>194.62400000000002</v>
      </c>
      <c r="AT262">
        <f t="shared" si="44"/>
        <v>0.75936012485368709</v>
      </c>
      <c r="AU262">
        <f t="shared" si="51"/>
        <v>199.76</v>
      </c>
      <c r="AV262" s="9">
        <f t="shared" si="54"/>
        <v>0.77939914163090118</v>
      </c>
    </row>
    <row r="263" spans="1:48" x14ac:dyDescent="0.3">
      <c r="A263" s="23">
        <v>31</v>
      </c>
      <c r="B263" t="s">
        <v>42</v>
      </c>
      <c r="C263" s="1">
        <v>11222</v>
      </c>
      <c r="D263" t="s">
        <v>85</v>
      </c>
      <c r="E263" t="s">
        <v>118</v>
      </c>
      <c r="F263" t="s">
        <v>119</v>
      </c>
      <c r="G263" s="2">
        <v>1964</v>
      </c>
      <c r="H263" s="2" t="s">
        <v>57</v>
      </c>
      <c r="I263" s="2" t="str">
        <f t="shared" si="55"/>
        <v>1950-1980</v>
      </c>
      <c r="J263" s="2">
        <v>24</v>
      </c>
      <c r="K263" s="2">
        <f t="shared" si="53"/>
        <v>20</v>
      </c>
      <c r="L263" s="2">
        <v>97</v>
      </c>
      <c r="M263" s="2">
        <v>73</v>
      </c>
      <c r="N263" s="2">
        <v>3</v>
      </c>
      <c r="O263" s="2">
        <v>0</v>
      </c>
      <c r="P263" s="2">
        <v>2</v>
      </c>
      <c r="Q263" s="2">
        <v>1</v>
      </c>
      <c r="R263" s="2">
        <v>12.2</v>
      </c>
      <c r="S263" s="2">
        <v>12</v>
      </c>
      <c r="V263" s="1">
        <v>474</v>
      </c>
      <c r="W263" s="2">
        <v>1370.3</v>
      </c>
      <c r="X263" s="2">
        <v>134.4</v>
      </c>
      <c r="Y263" s="1">
        <v>1050</v>
      </c>
      <c r="Z263" s="2" t="s">
        <v>47</v>
      </c>
      <c r="AA263" s="2">
        <v>4</v>
      </c>
      <c r="AB263" s="2">
        <v>0</v>
      </c>
      <c r="AD263" s="3" t="s">
        <v>58</v>
      </c>
      <c r="AE263" s="3" t="s">
        <v>49</v>
      </c>
      <c r="AF263" s="3" t="s">
        <v>59</v>
      </c>
      <c r="AG263" s="3" t="s">
        <v>60</v>
      </c>
      <c r="AH263" s="3" t="s">
        <v>75</v>
      </c>
      <c r="AI263" s="2">
        <v>0</v>
      </c>
      <c r="AJ263" s="2">
        <v>1</v>
      </c>
      <c r="AK263" s="2">
        <v>0</v>
      </c>
      <c r="AL263" s="2">
        <v>0</v>
      </c>
      <c r="AM263" s="2">
        <v>0</v>
      </c>
      <c r="AN263" s="2">
        <v>1</v>
      </c>
      <c r="AO263" s="2" t="s">
        <v>61</v>
      </c>
      <c r="AR263" s="4"/>
      <c r="AS263" s="18" t="str">
        <f t="shared" si="52"/>
        <v/>
      </c>
      <c r="AT263" t="str">
        <f t="shared" si="44"/>
        <v/>
      </c>
      <c r="AU263" t="str">
        <f>IF(AQ263&lt;&gt;"",2.3*M263,"")</f>
        <v/>
      </c>
      <c r="AV263" s="9" t="str">
        <f t="shared" si="54"/>
        <v/>
      </c>
    </row>
    <row r="264" spans="1:48" x14ac:dyDescent="0.3">
      <c r="A264" s="23">
        <v>55</v>
      </c>
      <c r="B264" t="s">
        <v>42</v>
      </c>
      <c r="C264" s="1">
        <v>11222</v>
      </c>
      <c r="D264" t="s">
        <v>85</v>
      </c>
      <c r="E264" t="s">
        <v>86</v>
      </c>
      <c r="F264" t="s">
        <v>86</v>
      </c>
      <c r="G264" s="2">
        <v>1967</v>
      </c>
      <c r="H264" s="2" t="s">
        <v>57</v>
      </c>
      <c r="I264" s="2" t="str">
        <f t="shared" si="55"/>
        <v>1950-1980</v>
      </c>
      <c r="J264" s="2">
        <v>32</v>
      </c>
      <c r="K264" s="2">
        <f t="shared" si="53"/>
        <v>30</v>
      </c>
      <c r="L264" s="2">
        <v>136</v>
      </c>
      <c r="M264" s="2">
        <v>104</v>
      </c>
      <c r="N264" s="2">
        <v>4</v>
      </c>
      <c r="O264" s="2">
        <v>0</v>
      </c>
      <c r="P264" s="2">
        <v>2</v>
      </c>
      <c r="Q264" s="2">
        <v>1</v>
      </c>
      <c r="R264" s="2">
        <v>14</v>
      </c>
      <c r="S264" s="2">
        <v>14</v>
      </c>
      <c r="T264" s="2">
        <v>11.3</v>
      </c>
      <c r="U264" s="2">
        <v>41.4</v>
      </c>
      <c r="V264" s="1">
        <v>455</v>
      </c>
      <c r="W264" s="2">
        <v>1611.2</v>
      </c>
      <c r="X264" s="2">
        <v>263.7</v>
      </c>
      <c r="Y264" s="1">
        <v>1396.7</v>
      </c>
      <c r="Z264" s="2" t="s">
        <v>47</v>
      </c>
      <c r="AA264" s="2">
        <v>4</v>
      </c>
      <c r="AB264" s="2">
        <v>0</v>
      </c>
      <c r="AD264" s="3" t="s">
        <v>256</v>
      </c>
      <c r="AE264" s="3" t="s">
        <v>72</v>
      </c>
      <c r="AF264" s="3" t="s">
        <v>50</v>
      </c>
      <c r="AG264" s="3" t="s">
        <v>156</v>
      </c>
      <c r="AH264" s="3" t="s">
        <v>177</v>
      </c>
      <c r="AI264" s="2">
        <v>0</v>
      </c>
      <c r="AJ264" s="2">
        <v>1</v>
      </c>
      <c r="AK264" s="2">
        <v>0</v>
      </c>
      <c r="AL264" s="2">
        <v>0</v>
      </c>
      <c r="AM264" s="2">
        <v>1</v>
      </c>
      <c r="AN264" s="2">
        <v>0</v>
      </c>
      <c r="AO264" s="2" t="s">
        <v>84</v>
      </c>
      <c r="AP264" s="1">
        <f>1096</f>
        <v>1096</v>
      </c>
      <c r="AQ264" s="1">
        <f>17.2+116.8+131.5+17.2</f>
        <v>282.7</v>
      </c>
      <c r="AR264" s="4">
        <f t="shared" ref="AR264:AR271" si="56">AQ264/(AP264+AQ264)</f>
        <v>0.20504823384347573</v>
      </c>
      <c r="AS264" s="18">
        <f t="shared" si="52"/>
        <v>223.47200000000001</v>
      </c>
      <c r="AT264">
        <f t="shared" si="44"/>
        <v>0.79049168730102592</v>
      </c>
      <c r="AU264">
        <f t="shared" ref="AU264:AU271" si="57">IF(AQ264&lt;&gt;"",2.27*M264,"")</f>
        <v>236.08</v>
      </c>
      <c r="AV264" s="9">
        <f t="shared" si="54"/>
        <v>0.83509020162716674</v>
      </c>
    </row>
    <row r="265" spans="1:48" x14ac:dyDescent="0.3">
      <c r="A265" s="23">
        <v>79</v>
      </c>
      <c r="B265" t="s">
        <v>42</v>
      </c>
      <c r="C265" s="1">
        <v>11222</v>
      </c>
      <c r="D265" t="s">
        <v>85</v>
      </c>
      <c r="E265" t="s">
        <v>86</v>
      </c>
      <c r="F265" t="s">
        <v>86</v>
      </c>
      <c r="G265" s="2">
        <v>1976</v>
      </c>
      <c r="H265" s="2" t="s">
        <v>69</v>
      </c>
      <c r="I265" s="2" t="str">
        <f t="shared" si="55"/>
        <v>1950-1980</v>
      </c>
      <c r="J265" s="2">
        <v>40</v>
      </c>
      <c r="K265" s="2">
        <f t="shared" si="53"/>
        <v>40</v>
      </c>
      <c r="L265" s="2">
        <v>170</v>
      </c>
      <c r="M265" s="2">
        <v>130</v>
      </c>
      <c r="N265" s="2">
        <v>5</v>
      </c>
      <c r="O265" s="2">
        <v>0</v>
      </c>
      <c r="P265" s="2">
        <v>2</v>
      </c>
      <c r="Q265" s="2">
        <v>1</v>
      </c>
      <c r="R265" s="2">
        <v>17.3</v>
      </c>
      <c r="S265" s="2">
        <v>17.5</v>
      </c>
      <c r="T265" s="2">
        <v>31.9</v>
      </c>
      <c r="U265" s="2">
        <v>33.200000000000003</v>
      </c>
      <c r="V265" s="1">
        <v>642.9</v>
      </c>
      <c r="W265" s="2">
        <v>2815.9</v>
      </c>
      <c r="X265" s="2">
        <v>758.5</v>
      </c>
      <c r="Y265" s="1">
        <v>2315</v>
      </c>
      <c r="Z265" s="2" t="s">
        <v>47</v>
      </c>
      <c r="AA265" s="2">
        <v>14</v>
      </c>
      <c r="AB265" s="2">
        <v>10</v>
      </c>
      <c r="AD265" s="3" t="s">
        <v>317</v>
      </c>
      <c r="AE265" s="3" t="s">
        <v>115</v>
      </c>
      <c r="AF265" s="3" t="s">
        <v>50</v>
      </c>
      <c r="AG265" s="3" t="s">
        <v>74</v>
      </c>
      <c r="AH265" s="3" t="s">
        <v>75</v>
      </c>
      <c r="AI265" s="2">
        <v>1</v>
      </c>
      <c r="AJ265" s="2">
        <v>0</v>
      </c>
      <c r="AK265" s="2">
        <v>0</v>
      </c>
      <c r="AL265" s="2">
        <v>1</v>
      </c>
      <c r="AM265" s="2">
        <v>0</v>
      </c>
      <c r="AN265" s="2">
        <v>1</v>
      </c>
      <c r="AO265" s="2" t="s">
        <v>88</v>
      </c>
      <c r="AP265" s="1">
        <f>1182+240</f>
        <v>1422</v>
      </c>
      <c r="AQ265" s="1">
        <f>81+161+265+95</f>
        <v>602</v>
      </c>
      <c r="AR265" s="4">
        <f t="shared" si="56"/>
        <v>0.2974308300395257</v>
      </c>
      <c r="AS265" s="18">
        <f t="shared" si="52"/>
        <v>370.4</v>
      </c>
      <c r="AT265">
        <f t="shared" si="44"/>
        <v>0.61528239202657808</v>
      </c>
      <c r="AU265">
        <f t="shared" si="57"/>
        <v>295.10000000000002</v>
      </c>
      <c r="AV265" s="9">
        <f t="shared" si="54"/>
        <v>0.4901993355481728</v>
      </c>
    </row>
    <row r="266" spans="1:48" x14ac:dyDescent="0.3">
      <c r="A266" s="23">
        <v>33</v>
      </c>
      <c r="B266" t="s">
        <v>42</v>
      </c>
      <c r="C266" s="1">
        <v>11222</v>
      </c>
      <c r="D266" t="s">
        <v>85</v>
      </c>
      <c r="E266" t="s">
        <v>86</v>
      </c>
      <c r="F266" t="s">
        <v>86</v>
      </c>
      <c r="G266" s="2">
        <v>1953</v>
      </c>
      <c r="H266" s="2" t="s">
        <v>63</v>
      </c>
      <c r="I266" s="2" t="str">
        <f t="shared" si="55"/>
        <v>1950-1980</v>
      </c>
      <c r="J266" s="2">
        <v>18</v>
      </c>
      <c r="K266" s="2">
        <f t="shared" si="53"/>
        <v>20</v>
      </c>
      <c r="L266" s="2">
        <v>77</v>
      </c>
      <c r="M266" s="2">
        <v>59</v>
      </c>
      <c r="N266" s="2">
        <v>3</v>
      </c>
      <c r="O266" s="2">
        <v>0</v>
      </c>
      <c r="P266" s="2">
        <v>3</v>
      </c>
      <c r="Q266" s="2">
        <v>1</v>
      </c>
      <c r="R266" s="2">
        <v>11.5</v>
      </c>
      <c r="S266" s="2">
        <v>11.5</v>
      </c>
      <c r="V266" s="1">
        <v>447</v>
      </c>
      <c r="W266" s="2">
        <v>1179.5</v>
      </c>
      <c r="X266" s="2">
        <v>253</v>
      </c>
      <c r="Y266" s="1">
        <v>1011</v>
      </c>
      <c r="Z266" s="2" t="s">
        <v>47</v>
      </c>
      <c r="AA266" s="2">
        <v>12</v>
      </c>
      <c r="AB266" s="2">
        <v>6</v>
      </c>
      <c r="AD266" s="3" t="s">
        <v>58</v>
      </c>
      <c r="AE266" s="3" t="s">
        <v>49</v>
      </c>
      <c r="AF266" s="3" t="s">
        <v>50</v>
      </c>
      <c r="AG266" s="3" t="s">
        <v>60</v>
      </c>
      <c r="AH266" s="3" t="s">
        <v>75</v>
      </c>
      <c r="AI266" s="2">
        <v>0</v>
      </c>
      <c r="AJ266" s="2">
        <v>1</v>
      </c>
      <c r="AK266" s="2">
        <v>0</v>
      </c>
      <c r="AL266" s="2">
        <v>0</v>
      </c>
      <c r="AM266" s="2">
        <v>0</v>
      </c>
      <c r="AN266" s="2">
        <v>1</v>
      </c>
      <c r="AO266" s="2" t="s">
        <v>61</v>
      </c>
      <c r="AP266" s="1">
        <v>730</v>
      </c>
      <c r="AQ266" s="1">
        <f>25+61+47+25</f>
        <v>158</v>
      </c>
      <c r="AR266" s="4">
        <f t="shared" si="56"/>
        <v>0.17792792792792791</v>
      </c>
      <c r="AS266" s="18">
        <f t="shared" si="52"/>
        <v>161.76</v>
      </c>
      <c r="AT266">
        <f t="shared" si="44"/>
        <v>1.0237974683544304</v>
      </c>
      <c r="AU266">
        <f t="shared" si="57"/>
        <v>133.93</v>
      </c>
      <c r="AV266" s="9">
        <f t="shared" si="54"/>
        <v>0.8476582278481013</v>
      </c>
    </row>
    <row r="267" spans="1:48" x14ac:dyDescent="0.3">
      <c r="A267" s="23">
        <v>57</v>
      </c>
      <c r="B267" t="s">
        <v>42</v>
      </c>
      <c r="C267" s="1">
        <v>11222</v>
      </c>
      <c r="D267" t="s">
        <v>85</v>
      </c>
      <c r="E267" t="s">
        <v>86</v>
      </c>
      <c r="F267" t="s">
        <v>87</v>
      </c>
      <c r="G267" s="2">
        <v>1968</v>
      </c>
      <c r="H267" s="2" t="s">
        <v>57</v>
      </c>
      <c r="I267" s="2" t="str">
        <f t="shared" si="55"/>
        <v>1950-1980</v>
      </c>
      <c r="J267" s="2">
        <v>12</v>
      </c>
      <c r="K267" s="2">
        <f t="shared" si="53"/>
        <v>10</v>
      </c>
      <c r="L267" s="2">
        <v>48</v>
      </c>
      <c r="M267" s="2">
        <v>36</v>
      </c>
      <c r="N267" s="2">
        <v>2</v>
      </c>
      <c r="O267" s="2">
        <v>0</v>
      </c>
      <c r="P267" s="2">
        <v>2</v>
      </c>
      <c r="Q267" s="2">
        <v>1</v>
      </c>
      <c r="R267" s="2">
        <v>7.8</v>
      </c>
      <c r="S267" s="2">
        <v>8</v>
      </c>
      <c r="T267" s="2">
        <v>11.9</v>
      </c>
      <c r="U267" s="2">
        <v>34.5</v>
      </c>
      <c r="V267" s="1">
        <v>361</v>
      </c>
      <c r="W267" s="2">
        <v>846.6</v>
      </c>
      <c r="X267" s="2">
        <v>321</v>
      </c>
      <c r="Y267" s="1">
        <v>568.4</v>
      </c>
      <c r="Z267" s="2" t="s">
        <v>47</v>
      </c>
      <c r="AA267" s="2">
        <v>4</v>
      </c>
      <c r="AB267" s="2">
        <v>0</v>
      </c>
      <c r="AD267" s="3" t="s">
        <v>58</v>
      </c>
      <c r="AE267" s="3" t="s">
        <v>49</v>
      </c>
      <c r="AF267" s="3" t="s">
        <v>59</v>
      </c>
      <c r="AG267" s="3" t="s">
        <v>60</v>
      </c>
      <c r="AH267" s="3" t="s">
        <v>52</v>
      </c>
      <c r="AI267" s="2">
        <v>0</v>
      </c>
      <c r="AJ267" s="2">
        <v>1</v>
      </c>
      <c r="AK267" s="2">
        <v>0</v>
      </c>
      <c r="AL267" s="2">
        <v>0</v>
      </c>
      <c r="AM267" s="2">
        <v>0</v>
      </c>
      <c r="AN267" s="2">
        <v>0</v>
      </c>
      <c r="AO267" s="2" t="s">
        <v>88</v>
      </c>
      <c r="AP267" s="1">
        <f>369.5+52.7</f>
        <v>422.2</v>
      </c>
      <c r="AQ267" s="1">
        <f>15.7+48.7+15.7+49.3</f>
        <v>129.4</v>
      </c>
      <c r="AR267" s="4">
        <f t="shared" si="56"/>
        <v>0.23459028281363306</v>
      </c>
      <c r="AS267" s="18">
        <f t="shared" si="52"/>
        <v>90.944000000000003</v>
      </c>
      <c r="AT267">
        <f t="shared" si="44"/>
        <v>0.70281298299845441</v>
      </c>
      <c r="AU267">
        <f t="shared" si="57"/>
        <v>81.72</v>
      </c>
      <c r="AV267" s="9">
        <f t="shared" si="54"/>
        <v>0.63153013910355482</v>
      </c>
    </row>
    <row r="268" spans="1:48" x14ac:dyDescent="0.3">
      <c r="A268" s="23">
        <v>385</v>
      </c>
      <c r="B268" t="s">
        <v>42</v>
      </c>
      <c r="C268" s="1">
        <v>11222</v>
      </c>
      <c r="D268" t="s">
        <v>85</v>
      </c>
      <c r="E268" t="s">
        <v>86</v>
      </c>
      <c r="F268" t="s">
        <v>86</v>
      </c>
      <c r="G268" s="2">
        <v>1962</v>
      </c>
      <c r="H268" s="2" t="s">
        <v>57</v>
      </c>
      <c r="I268" s="2" t="str">
        <f t="shared" si="55"/>
        <v>1950-1980</v>
      </c>
      <c r="J268" s="2">
        <v>33</v>
      </c>
      <c r="K268" s="2">
        <f t="shared" si="53"/>
        <v>30</v>
      </c>
      <c r="L268" s="2">
        <v>122</v>
      </c>
      <c r="M268" s="2">
        <v>89</v>
      </c>
      <c r="N268" s="2">
        <v>4</v>
      </c>
      <c r="O268" s="2">
        <v>0</v>
      </c>
      <c r="P268" s="2">
        <v>2</v>
      </c>
      <c r="Q268" s="2">
        <v>1</v>
      </c>
      <c r="R268" s="2">
        <v>15.3</v>
      </c>
      <c r="S268" s="2">
        <v>15.5</v>
      </c>
      <c r="T268" s="2">
        <v>11.2</v>
      </c>
      <c r="U268" s="2">
        <v>35.700000000000003</v>
      </c>
      <c r="V268" s="1">
        <v>392.7</v>
      </c>
      <c r="W268" s="2">
        <v>1377.2</v>
      </c>
      <c r="X268" s="2">
        <v>252.7</v>
      </c>
      <c r="Y268" s="1">
        <v>1228</v>
      </c>
      <c r="Z268" s="2" t="s">
        <v>47</v>
      </c>
      <c r="AA268" s="2">
        <v>4</v>
      </c>
      <c r="AB268" s="2">
        <v>0</v>
      </c>
      <c r="AD268" s="3" t="s">
        <v>231</v>
      </c>
      <c r="AE268" s="3" t="s">
        <v>58</v>
      </c>
      <c r="AF268" s="3" t="s">
        <v>50</v>
      </c>
      <c r="AG268" s="3" t="s">
        <v>51</v>
      </c>
      <c r="AH268" s="3" t="s">
        <v>75</v>
      </c>
      <c r="AI268" s="2">
        <v>0</v>
      </c>
      <c r="AJ268" s="2">
        <v>1</v>
      </c>
      <c r="AK268" s="2">
        <v>0</v>
      </c>
      <c r="AL268" s="2">
        <v>0</v>
      </c>
      <c r="AM268" s="2">
        <v>0</v>
      </c>
      <c r="AN268" s="2">
        <v>1</v>
      </c>
      <c r="AO268" s="2" t="s">
        <v>76</v>
      </c>
      <c r="AP268" s="1">
        <f>609</f>
        <v>609</v>
      </c>
      <c r="AQ268" s="1">
        <f>92+16*2+119</f>
        <v>243</v>
      </c>
      <c r="AR268" s="4">
        <f t="shared" si="56"/>
        <v>0.28521126760563381</v>
      </c>
      <c r="AS268" s="18">
        <f t="shared" si="52"/>
        <v>196.48</v>
      </c>
      <c r="AT268">
        <f t="shared" si="44"/>
        <v>0.80855967078189295</v>
      </c>
      <c r="AU268">
        <f t="shared" si="57"/>
        <v>202.03</v>
      </c>
      <c r="AV268" s="9">
        <f t="shared" si="54"/>
        <v>0.83139917695473253</v>
      </c>
    </row>
    <row r="269" spans="1:48" x14ac:dyDescent="0.3">
      <c r="A269" s="23">
        <v>136</v>
      </c>
      <c r="B269" t="s">
        <v>42</v>
      </c>
      <c r="C269" s="1">
        <v>11222</v>
      </c>
      <c r="D269" t="s">
        <v>85</v>
      </c>
      <c r="E269" t="s">
        <v>86</v>
      </c>
      <c r="F269" t="s">
        <v>86</v>
      </c>
      <c r="G269" s="2">
        <v>1967</v>
      </c>
      <c r="H269" s="2" t="s">
        <v>57</v>
      </c>
      <c r="I269" s="2" t="str">
        <f t="shared" si="55"/>
        <v>1950-1980</v>
      </c>
      <c r="J269" s="2">
        <v>25</v>
      </c>
      <c r="K269" s="2">
        <f t="shared" si="53"/>
        <v>30</v>
      </c>
      <c r="L269" s="2">
        <v>93</v>
      </c>
      <c r="M269" s="2">
        <v>68</v>
      </c>
      <c r="N269" s="2">
        <v>4</v>
      </c>
      <c r="O269" s="2">
        <v>0</v>
      </c>
      <c r="P269" s="2">
        <v>2</v>
      </c>
      <c r="Q269" s="2">
        <v>1</v>
      </c>
      <c r="R269" s="2">
        <v>14.8</v>
      </c>
      <c r="S269" s="2">
        <v>15</v>
      </c>
      <c r="T269" s="2">
        <v>10.9</v>
      </c>
      <c r="U269" s="2">
        <v>37.6</v>
      </c>
      <c r="V269" s="1">
        <v>418</v>
      </c>
      <c r="W269" s="2">
        <v>1568.6</v>
      </c>
      <c r="X269" s="2">
        <v>255.9</v>
      </c>
      <c r="Y269" s="1">
        <v>1229.5</v>
      </c>
      <c r="Z269" s="2" t="s">
        <v>47</v>
      </c>
      <c r="AA269" s="2">
        <v>4</v>
      </c>
      <c r="AB269" s="2">
        <v>0</v>
      </c>
      <c r="AC269" s="2">
        <v>2</v>
      </c>
      <c r="AD269" s="3" t="s">
        <v>236</v>
      </c>
      <c r="AE269" s="3" t="s">
        <v>49</v>
      </c>
      <c r="AF269" s="3" t="s">
        <v>150</v>
      </c>
      <c r="AG269" s="3" t="s">
        <v>60</v>
      </c>
      <c r="AH269" s="3" t="s">
        <v>75</v>
      </c>
      <c r="AI269" s="2">
        <v>0</v>
      </c>
      <c r="AJ269" s="2">
        <v>1</v>
      </c>
      <c r="AK269" s="2">
        <v>0</v>
      </c>
      <c r="AL269" s="2">
        <v>0</v>
      </c>
      <c r="AM269" s="2">
        <v>1</v>
      </c>
      <c r="AN269" s="2">
        <v>0</v>
      </c>
      <c r="AO269" s="2" t="s">
        <v>53</v>
      </c>
      <c r="AP269" s="1">
        <v>846</v>
      </c>
      <c r="AQ269" s="1">
        <f>180.5+140.1</f>
        <v>320.60000000000002</v>
      </c>
      <c r="AR269" s="4">
        <f t="shared" si="56"/>
        <v>0.27481570375450032</v>
      </c>
      <c r="AS269" s="18">
        <f t="shared" si="52"/>
        <v>196.72</v>
      </c>
      <c r="AT269">
        <f t="shared" si="44"/>
        <v>0.61359950093574545</v>
      </c>
      <c r="AU269">
        <f t="shared" si="57"/>
        <v>154.36000000000001</v>
      </c>
      <c r="AV269" s="9">
        <f t="shared" si="54"/>
        <v>0.48147223955084217</v>
      </c>
    </row>
    <row r="270" spans="1:48" x14ac:dyDescent="0.3">
      <c r="A270" s="23">
        <v>212</v>
      </c>
      <c r="B270" t="s">
        <v>42</v>
      </c>
      <c r="C270" s="1">
        <v>11222</v>
      </c>
      <c r="D270" t="s">
        <v>85</v>
      </c>
      <c r="E270" t="s">
        <v>86</v>
      </c>
      <c r="F270" t="s">
        <v>86</v>
      </c>
      <c r="G270" s="2">
        <v>1935</v>
      </c>
      <c r="H270" s="2" t="s">
        <v>111</v>
      </c>
      <c r="I270" s="2" t="str">
        <f t="shared" si="55"/>
        <v>&lt;1950</v>
      </c>
      <c r="J270" s="2">
        <v>12</v>
      </c>
      <c r="K270" s="2">
        <f t="shared" si="53"/>
        <v>10</v>
      </c>
      <c r="L270" s="2">
        <v>50</v>
      </c>
      <c r="M270" s="2">
        <v>38</v>
      </c>
      <c r="N270" s="2">
        <v>2</v>
      </c>
      <c r="O270" s="2">
        <v>0</v>
      </c>
      <c r="P270" s="2">
        <v>2</v>
      </c>
      <c r="Q270" s="2">
        <v>1</v>
      </c>
      <c r="R270" s="2">
        <v>11.3</v>
      </c>
      <c r="S270" s="2">
        <v>11.5</v>
      </c>
      <c r="T270" s="2">
        <v>17.3</v>
      </c>
      <c r="U270" s="2">
        <v>31.3</v>
      </c>
      <c r="V270" s="1">
        <v>466.5</v>
      </c>
      <c r="W270" s="2">
        <v>743.3</v>
      </c>
      <c r="X270" s="2">
        <v>130.69999999999999</v>
      </c>
      <c r="Y270" s="1">
        <v>678.1</v>
      </c>
      <c r="Z270" s="2" t="s">
        <v>47</v>
      </c>
      <c r="AA270" s="2">
        <v>12</v>
      </c>
      <c r="AB270" s="2">
        <v>8</v>
      </c>
      <c r="AD270" s="3" t="s">
        <v>121</v>
      </c>
      <c r="AE270" s="3" t="s">
        <v>58</v>
      </c>
      <c r="AF270" s="3" t="s">
        <v>50</v>
      </c>
      <c r="AG270" s="3" t="s">
        <v>51</v>
      </c>
      <c r="AH270" s="3" t="s">
        <v>75</v>
      </c>
      <c r="AI270" s="2">
        <v>0</v>
      </c>
      <c r="AJ270" s="2">
        <v>1</v>
      </c>
      <c r="AK270" s="2">
        <v>0</v>
      </c>
      <c r="AL270" s="2">
        <v>0</v>
      </c>
      <c r="AM270" s="2">
        <v>1</v>
      </c>
      <c r="AN270" s="2">
        <v>1</v>
      </c>
      <c r="AO270" s="2" t="s">
        <v>76</v>
      </c>
      <c r="AP270" s="16">
        <v>531</v>
      </c>
      <c r="AQ270" s="16">
        <v>98.6</v>
      </c>
      <c r="AR270" s="4">
        <f t="shared" si="56"/>
        <v>0.15660736975857686</v>
      </c>
      <c r="AS270" s="18">
        <f t="shared" si="52"/>
        <v>108.49600000000001</v>
      </c>
      <c r="AT270">
        <f t="shared" si="44"/>
        <v>1.1003651115618662</v>
      </c>
      <c r="AU270">
        <f t="shared" si="57"/>
        <v>86.26</v>
      </c>
      <c r="AV270" s="9">
        <f t="shared" si="54"/>
        <v>0.87484787018255583</v>
      </c>
    </row>
    <row r="271" spans="1:48" x14ac:dyDescent="0.3">
      <c r="A271" s="23">
        <v>331</v>
      </c>
      <c r="B271" t="s">
        <v>42</v>
      </c>
      <c r="C271" s="1">
        <v>11222</v>
      </c>
      <c r="D271" t="s">
        <v>180</v>
      </c>
      <c r="E271" t="s">
        <v>181</v>
      </c>
      <c r="F271" t="s">
        <v>182</v>
      </c>
      <c r="G271" s="2">
        <v>1962</v>
      </c>
      <c r="H271" s="2" t="s">
        <v>57</v>
      </c>
      <c r="I271" s="2" t="str">
        <f t="shared" si="55"/>
        <v>1950-1980</v>
      </c>
      <c r="J271" s="2">
        <v>24</v>
      </c>
      <c r="K271" s="2">
        <f t="shared" si="53"/>
        <v>20</v>
      </c>
      <c r="L271" s="2">
        <v>90</v>
      </c>
      <c r="M271" s="2">
        <v>66</v>
      </c>
      <c r="N271" s="2">
        <v>3</v>
      </c>
      <c r="O271" s="2">
        <v>0</v>
      </c>
      <c r="P271" s="2">
        <v>2</v>
      </c>
      <c r="Q271" s="2">
        <v>1</v>
      </c>
      <c r="R271" s="2">
        <v>12.3</v>
      </c>
      <c r="S271" s="2">
        <v>12.5</v>
      </c>
      <c r="T271" s="2">
        <v>11.4</v>
      </c>
      <c r="U271" s="2">
        <v>36.4</v>
      </c>
      <c r="V271" s="1">
        <v>407</v>
      </c>
      <c r="W271" s="2">
        <v>1118.3</v>
      </c>
      <c r="X271" s="2">
        <v>301.5</v>
      </c>
      <c r="Y271" s="1">
        <v>870</v>
      </c>
      <c r="Z271" s="2" t="s">
        <v>47</v>
      </c>
      <c r="AA271" s="2">
        <v>4</v>
      </c>
      <c r="AB271" s="2">
        <v>0</v>
      </c>
      <c r="AD271" s="3" t="s">
        <v>58</v>
      </c>
      <c r="AE271" s="3" t="s">
        <v>58</v>
      </c>
      <c r="AF271" s="3" t="s">
        <v>50</v>
      </c>
      <c r="AG271" s="3" t="s">
        <v>51</v>
      </c>
      <c r="AH271" s="3" t="s">
        <v>127</v>
      </c>
      <c r="AI271" s="2">
        <v>0</v>
      </c>
      <c r="AJ271" s="2">
        <v>1</v>
      </c>
      <c r="AK271" s="2">
        <v>0</v>
      </c>
      <c r="AL271" s="2">
        <v>0</v>
      </c>
      <c r="AM271" s="2">
        <v>0</v>
      </c>
      <c r="AN271" s="2">
        <v>1</v>
      </c>
      <c r="AO271" s="2" t="s">
        <v>88</v>
      </c>
      <c r="AP271" s="1">
        <f>457.3</f>
        <v>457.3</v>
      </c>
      <c r="AQ271" s="1">
        <f>86.2+14.9*2+88.8</f>
        <v>204.8</v>
      </c>
      <c r="AR271" s="4">
        <f t="shared" si="56"/>
        <v>0.30931883401298899</v>
      </c>
      <c r="AS271" s="18">
        <f t="shared" si="52"/>
        <v>139.19999999999999</v>
      </c>
      <c r="AT271">
        <f t="shared" si="44"/>
        <v>0.67968749999999989</v>
      </c>
      <c r="AU271">
        <f t="shared" si="57"/>
        <v>149.82</v>
      </c>
      <c r="AV271" s="9">
        <f t="shared" si="54"/>
        <v>0.73154296874999991</v>
      </c>
    </row>
    <row r="272" spans="1:48" x14ac:dyDescent="0.3">
      <c r="A272" s="23">
        <v>6</v>
      </c>
      <c r="B272" t="s">
        <v>42</v>
      </c>
      <c r="C272" s="1">
        <v>11222</v>
      </c>
      <c r="D272" t="s">
        <v>180</v>
      </c>
      <c r="E272" t="s">
        <v>181</v>
      </c>
      <c r="F272" t="s">
        <v>182</v>
      </c>
      <c r="G272" s="2">
        <v>1982</v>
      </c>
      <c r="H272" s="2" t="s">
        <v>131</v>
      </c>
      <c r="I272" s="2" t="str">
        <f t="shared" si="55"/>
        <v>&gt;1980</v>
      </c>
      <c r="J272" s="2">
        <v>30</v>
      </c>
      <c r="K272" s="2">
        <f t="shared" si="53"/>
        <v>30</v>
      </c>
      <c r="L272" s="2">
        <v>162</v>
      </c>
      <c r="M272" s="2">
        <v>132</v>
      </c>
      <c r="N272" s="2">
        <v>5</v>
      </c>
      <c r="O272" s="2">
        <v>0</v>
      </c>
      <c r="P272" s="2">
        <v>3</v>
      </c>
      <c r="Q272" s="2">
        <v>1</v>
      </c>
      <c r="R272" s="2">
        <v>15.8</v>
      </c>
      <c r="S272" s="2">
        <v>16</v>
      </c>
      <c r="T272" s="2">
        <v>12.9</v>
      </c>
      <c r="U272" s="2">
        <v>51.4</v>
      </c>
      <c r="V272" s="1">
        <v>620</v>
      </c>
      <c r="W272" s="2">
        <v>2529.4</v>
      </c>
      <c r="X272" s="2">
        <v>521.6</v>
      </c>
      <c r="Y272" s="1">
        <v>2214.8000000000002</v>
      </c>
      <c r="Z272" s="2" t="s">
        <v>47</v>
      </c>
      <c r="AA272" s="2">
        <v>4</v>
      </c>
      <c r="AB272" s="2">
        <v>0</v>
      </c>
      <c r="AD272" s="3" t="s">
        <v>58</v>
      </c>
      <c r="AE272" s="3" t="s">
        <v>65</v>
      </c>
      <c r="AF272" s="3" t="s">
        <v>59</v>
      </c>
      <c r="AG272" s="3" t="s">
        <v>326</v>
      </c>
      <c r="AH272" s="3" t="s">
        <v>127</v>
      </c>
      <c r="AI272" s="2">
        <v>1</v>
      </c>
      <c r="AJ272" s="2">
        <v>0</v>
      </c>
      <c r="AK272" s="2">
        <v>0</v>
      </c>
      <c r="AL272" s="2">
        <v>1</v>
      </c>
      <c r="AM272" s="2">
        <v>0</v>
      </c>
      <c r="AN272" s="2">
        <v>0</v>
      </c>
      <c r="AO272" s="2" t="s">
        <v>76</v>
      </c>
      <c r="AR272" s="4"/>
      <c r="AS272" s="18" t="str">
        <f t="shared" si="52"/>
        <v/>
      </c>
      <c r="AT272" t="str">
        <f t="shared" si="44"/>
        <v/>
      </c>
      <c r="AU272" t="str">
        <f>IF(AQ272&lt;&gt;"",2.3*M272,"")</f>
        <v/>
      </c>
      <c r="AV272" s="9" t="str">
        <f t="shared" si="54"/>
        <v/>
      </c>
    </row>
    <row r="273" spans="1:49" x14ac:dyDescent="0.3">
      <c r="A273" s="23">
        <v>110</v>
      </c>
      <c r="B273" t="s">
        <v>42</v>
      </c>
      <c r="C273" s="1">
        <v>11222</v>
      </c>
      <c r="D273" t="s">
        <v>124</v>
      </c>
      <c r="E273" t="s">
        <v>125</v>
      </c>
      <c r="F273" t="s">
        <v>125</v>
      </c>
      <c r="G273" s="2">
        <v>1977</v>
      </c>
      <c r="H273" s="2" t="s">
        <v>69</v>
      </c>
      <c r="I273" s="2" t="str">
        <f t="shared" si="55"/>
        <v>1950-1980</v>
      </c>
      <c r="J273" s="2">
        <v>12</v>
      </c>
      <c r="K273" s="2">
        <f t="shared" si="53"/>
        <v>10</v>
      </c>
      <c r="L273" s="2">
        <v>60</v>
      </c>
      <c r="M273" s="2">
        <v>48</v>
      </c>
      <c r="N273" s="2">
        <v>3</v>
      </c>
      <c r="O273" s="2">
        <v>0</v>
      </c>
      <c r="P273" s="2">
        <v>2</v>
      </c>
      <c r="Q273" s="2">
        <v>1</v>
      </c>
      <c r="R273" s="2">
        <v>8.6999999999999993</v>
      </c>
      <c r="S273" s="2">
        <v>8.5</v>
      </c>
      <c r="T273" s="2">
        <v>9.1999999999999993</v>
      </c>
      <c r="U273" s="2">
        <v>35</v>
      </c>
      <c r="V273" s="1">
        <v>294</v>
      </c>
      <c r="W273" s="2">
        <v>875.3</v>
      </c>
      <c r="X273" s="2">
        <v>250.4</v>
      </c>
      <c r="Y273" s="1">
        <v>701.8</v>
      </c>
      <c r="Z273" s="2" t="s">
        <v>47</v>
      </c>
      <c r="AA273" s="2">
        <v>4</v>
      </c>
      <c r="AB273" s="2">
        <v>0</v>
      </c>
      <c r="AC273" s="2">
        <v>0</v>
      </c>
      <c r="AD273" s="3" t="s">
        <v>126</v>
      </c>
      <c r="AE273" s="3" t="s">
        <v>115</v>
      </c>
      <c r="AF273" s="3" t="s">
        <v>50</v>
      </c>
      <c r="AG273" s="3" t="s">
        <v>74</v>
      </c>
      <c r="AH273" s="3" t="s">
        <v>127</v>
      </c>
      <c r="AI273" s="2">
        <v>0</v>
      </c>
      <c r="AJ273" s="2">
        <v>1</v>
      </c>
      <c r="AK273" s="2">
        <v>0</v>
      </c>
      <c r="AL273" s="2">
        <v>0</v>
      </c>
      <c r="AM273" s="2">
        <v>0</v>
      </c>
      <c r="AN273" s="2">
        <v>0</v>
      </c>
      <c r="AO273" s="2" t="s">
        <v>76</v>
      </c>
      <c r="AP273" s="1">
        <f>655.2</f>
        <v>655.20000000000005</v>
      </c>
      <c r="AQ273" s="1">
        <f>67.4+13.8</f>
        <v>81.2</v>
      </c>
      <c r="AR273" s="4">
        <f>AQ273/(AP273+AQ273)</f>
        <v>0.11026615969581748</v>
      </c>
      <c r="AS273" s="18">
        <f t="shared" si="52"/>
        <v>112.288</v>
      </c>
      <c r="AT273">
        <f t="shared" ref="AT273:AT336" si="58">IF(AQ273&lt;&gt;"",AS273/AQ273,"")</f>
        <v>1.3828571428571428</v>
      </c>
      <c r="AU273">
        <f>IF(AQ273&lt;&gt;"",2.27*M273,"")</f>
        <v>108.96000000000001</v>
      </c>
      <c r="AV273" s="9">
        <f t="shared" si="54"/>
        <v>1.3418719211822661</v>
      </c>
    </row>
    <row r="274" spans="1:49" x14ac:dyDescent="0.3">
      <c r="A274" s="23">
        <v>27</v>
      </c>
      <c r="B274" t="s">
        <v>42</v>
      </c>
      <c r="C274" s="1">
        <v>11222</v>
      </c>
      <c r="D274" t="s">
        <v>124</v>
      </c>
      <c r="E274" t="s">
        <v>125</v>
      </c>
      <c r="F274" t="s">
        <v>125</v>
      </c>
      <c r="G274" s="2">
        <v>1991</v>
      </c>
      <c r="H274" s="2" t="s">
        <v>167</v>
      </c>
      <c r="I274" s="2" t="str">
        <f t="shared" si="55"/>
        <v>&gt;1980</v>
      </c>
      <c r="J274" s="2">
        <v>28</v>
      </c>
      <c r="K274" s="2">
        <f t="shared" si="53"/>
        <v>30</v>
      </c>
      <c r="L274" s="2">
        <v>148</v>
      </c>
      <c r="M274" s="2">
        <v>120</v>
      </c>
      <c r="N274" s="2">
        <v>4</v>
      </c>
      <c r="O274" s="2">
        <v>0</v>
      </c>
      <c r="P274" s="2">
        <v>3</v>
      </c>
      <c r="Q274" s="2">
        <v>1</v>
      </c>
      <c r="R274" s="2">
        <v>13.5</v>
      </c>
      <c r="S274" s="2">
        <v>13.5</v>
      </c>
      <c r="T274" s="2">
        <v>14.3</v>
      </c>
      <c r="U274" s="2">
        <v>58.8</v>
      </c>
      <c r="V274" s="1">
        <v>753</v>
      </c>
      <c r="W274" s="2">
        <v>2558.4</v>
      </c>
      <c r="X274" s="2">
        <v>683.8</v>
      </c>
      <c r="Y274" s="1">
        <v>2879</v>
      </c>
      <c r="Z274" s="2" t="s">
        <v>47</v>
      </c>
      <c r="AA274" s="2">
        <v>8</v>
      </c>
      <c r="AB274" s="2">
        <v>4</v>
      </c>
      <c r="AD274" s="3" t="s">
        <v>58</v>
      </c>
      <c r="AE274" s="3" t="s">
        <v>58</v>
      </c>
      <c r="AF274" s="3" t="s">
        <v>273</v>
      </c>
      <c r="AG274" s="3" t="s">
        <v>74</v>
      </c>
      <c r="AH274" s="3" t="s">
        <v>100</v>
      </c>
      <c r="AI274" s="2">
        <v>1</v>
      </c>
      <c r="AJ274" s="2">
        <v>0</v>
      </c>
      <c r="AK274" s="2">
        <v>0</v>
      </c>
      <c r="AL274" s="2">
        <v>1</v>
      </c>
      <c r="AM274" s="2">
        <v>0</v>
      </c>
      <c r="AN274" s="2">
        <v>1</v>
      </c>
      <c r="AO274" s="2" t="s">
        <v>123</v>
      </c>
      <c r="AR274" s="4"/>
      <c r="AS274" s="18" t="str">
        <f t="shared" si="52"/>
        <v/>
      </c>
      <c r="AT274" t="str">
        <f t="shared" si="58"/>
        <v/>
      </c>
      <c r="AU274" t="str">
        <f>IF(AQ274&lt;&gt;"",2.3*M274,"")</f>
        <v/>
      </c>
      <c r="AV274" s="9" t="str">
        <f t="shared" si="54"/>
        <v/>
      </c>
    </row>
    <row r="275" spans="1:49" x14ac:dyDescent="0.3">
      <c r="A275" s="24" t="s">
        <v>279</v>
      </c>
      <c r="B275" t="s">
        <v>42</v>
      </c>
      <c r="C275" s="2">
        <v>11222</v>
      </c>
      <c r="D275" t="s">
        <v>54</v>
      </c>
      <c r="E275" t="s">
        <v>110</v>
      </c>
      <c r="F275" t="s">
        <v>110</v>
      </c>
      <c r="G275" s="2">
        <v>1974</v>
      </c>
      <c r="H275" s="2" t="s">
        <v>69</v>
      </c>
      <c r="I275" s="2" t="str">
        <f t="shared" si="55"/>
        <v>1950-1980</v>
      </c>
      <c r="J275" s="14">
        <v>36</v>
      </c>
      <c r="K275" s="2">
        <f t="shared" si="53"/>
        <v>40</v>
      </c>
      <c r="L275" s="14">
        <f>72+36*2</f>
        <v>144</v>
      </c>
      <c r="M275" s="14">
        <f>72+36</f>
        <v>108</v>
      </c>
      <c r="N275" s="2">
        <v>4</v>
      </c>
      <c r="O275" s="2">
        <v>0</v>
      </c>
      <c r="P275" s="2">
        <v>3</v>
      </c>
      <c r="Q275" s="2">
        <v>1</v>
      </c>
      <c r="R275" s="2">
        <v>15.3</v>
      </c>
      <c r="S275" s="2">
        <v>15.5</v>
      </c>
      <c r="T275" s="2">
        <v>12.4</v>
      </c>
      <c r="U275" s="2">
        <v>49.5</v>
      </c>
      <c r="V275" s="2">
        <v>634.4</v>
      </c>
      <c r="W275" s="2">
        <v>2001.7</v>
      </c>
      <c r="X275" s="2">
        <v>0</v>
      </c>
      <c r="Y275" s="2">
        <v>1699.3</v>
      </c>
      <c r="Z275" s="2" t="s">
        <v>47</v>
      </c>
      <c r="AA275">
        <v>4</v>
      </c>
      <c r="AB275" s="2">
        <v>0</v>
      </c>
      <c r="AC275"/>
      <c r="AD275" s="3" t="s">
        <v>58</v>
      </c>
      <c r="AE275" s="3" t="s">
        <v>235</v>
      </c>
      <c r="AF275" s="3" t="s">
        <v>73</v>
      </c>
      <c r="AG275" s="3" t="s">
        <v>156</v>
      </c>
      <c r="AH275" s="3" t="s">
        <v>75</v>
      </c>
      <c r="AI275" s="2">
        <v>0</v>
      </c>
      <c r="AJ275" s="2">
        <v>1</v>
      </c>
      <c r="AK275" s="2">
        <v>0</v>
      </c>
      <c r="AL275" s="2">
        <v>1</v>
      </c>
      <c r="AM275" s="2">
        <v>0</v>
      </c>
      <c r="AN275" s="2">
        <v>0</v>
      </c>
      <c r="AO275" s="2" t="s">
        <v>76</v>
      </c>
      <c r="AP275" s="2">
        <v>1318</v>
      </c>
      <c r="AQ275" s="2">
        <v>310</v>
      </c>
      <c r="AR275" s="4">
        <f t="shared" ref="AR275:AR292" si="59">AQ275/(AP275+AQ275)</f>
        <v>0.19041769041769041</v>
      </c>
      <c r="AS275" s="18">
        <f t="shared" si="52"/>
        <v>271.88799999999998</v>
      </c>
      <c r="AT275">
        <f t="shared" si="58"/>
        <v>0.877058064516129</v>
      </c>
      <c r="AU275">
        <f t="shared" ref="AU275:AU292" si="60">IF(AQ275&lt;&gt;"",2.27*M275,"")</f>
        <v>245.16</v>
      </c>
      <c r="AV275" s="9">
        <f t="shared" si="54"/>
        <v>0.79083870967741932</v>
      </c>
      <c r="AW275" t="s">
        <v>260</v>
      </c>
    </row>
    <row r="276" spans="1:49" x14ac:dyDescent="0.3">
      <c r="A276" s="23">
        <v>365</v>
      </c>
      <c r="B276" t="s">
        <v>42</v>
      </c>
      <c r="C276" s="1">
        <v>12139</v>
      </c>
      <c r="D276" t="s">
        <v>54</v>
      </c>
      <c r="E276" t="s">
        <v>110</v>
      </c>
      <c r="F276" t="s">
        <v>110</v>
      </c>
      <c r="G276" s="2">
        <v>1960</v>
      </c>
      <c r="H276" s="2" t="s">
        <v>63</v>
      </c>
      <c r="I276" s="2" t="str">
        <f t="shared" si="55"/>
        <v>1950-1980</v>
      </c>
      <c r="J276" s="2">
        <v>17</v>
      </c>
      <c r="K276" s="2">
        <f>MROUND(J276,10)</f>
        <v>20</v>
      </c>
      <c r="L276" s="2">
        <v>67</v>
      </c>
      <c r="M276" s="2">
        <v>50</v>
      </c>
      <c r="N276" s="2">
        <v>3</v>
      </c>
      <c r="O276" s="2">
        <v>0</v>
      </c>
      <c r="P276" s="2">
        <v>1</v>
      </c>
      <c r="Q276" s="2">
        <v>1</v>
      </c>
      <c r="R276" s="2">
        <v>13.5</v>
      </c>
      <c r="S276" s="2">
        <v>13.5</v>
      </c>
      <c r="T276" s="2">
        <v>12.9</v>
      </c>
      <c r="U276" s="2">
        <v>31.1</v>
      </c>
      <c r="V276" s="1">
        <v>358</v>
      </c>
      <c r="W276" s="2">
        <v>957.9</v>
      </c>
      <c r="X276" s="2">
        <v>186</v>
      </c>
      <c r="Y276" s="1">
        <v>830.7</v>
      </c>
      <c r="Z276" s="2" t="s">
        <v>47</v>
      </c>
      <c r="AA276" s="2">
        <v>4</v>
      </c>
      <c r="AB276" s="2">
        <v>0</v>
      </c>
      <c r="AD276" s="3" t="s">
        <v>171</v>
      </c>
      <c r="AE276" s="3" t="s">
        <v>58</v>
      </c>
      <c r="AF276" s="3" t="s">
        <v>83</v>
      </c>
      <c r="AG276" s="3" t="s">
        <v>51</v>
      </c>
      <c r="AH276" s="3" t="s">
        <v>75</v>
      </c>
      <c r="AI276" s="2">
        <v>0</v>
      </c>
      <c r="AJ276" s="2">
        <v>1</v>
      </c>
      <c r="AK276" s="2">
        <v>0</v>
      </c>
      <c r="AL276" s="2">
        <v>0</v>
      </c>
      <c r="AM276" s="2">
        <v>0</v>
      </c>
      <c r="AN276" s="2">
        <v>1</v>
      </c>
      <c r="AO276" s="2" t="s">
        <v>84</v>
      </c>
      <c r="AP276" s="1">
        <f>441.3+40.9</f>
        <v>482.2</v>
      </c>
      <c r="AQ276" s="1">
        <f>27*2+64.8+69.1</f>
        <v>187.89999999999998</v>
      </c>
      <c r="AR276" s="4">
        <f t="shared" si="59"/>
        <v>0.28040590956573647</v>
      </c>
      <c r="AS276" s="18">
        <f t="shared" si="52"/>
        <v>132.91200000000001</v>
      </c>
      <c r="AT276">
        <f t="shared" si="58"/>
        <v>0.7073549760510911</v>
      </c>
      <c r="AU276">
        <f t="shared" si="60"/>
        <v>113.5</v>
      </c>
      <c r="AV276" s="9">
        <f t="shared" si="54"/>
        <v>0.6040447046301225</v>
      </c>
    </row>
    <row r="277" spans="1:49" x14ac:dyDescent="0.3">
      <c r="A277" s="23">
        <v>175</v>
      </c>
      <c r="B277" t="s">
        <v>42</v>
      </c>
      <c r="C277" s="1">
        <v>11222</v>
      </c>
      <c r="D277" t="s">
        <v>54</v>
      </c>
      <c r="E277" t="s">
        <v>110</v>
      </c>
      <c r="F277" t="s">
        <v>110</v>
      </c>
      <c r="G277" s="2">
        <v>1968</v>
      </c>
      <c r="H277" s="2" t="s">
        <v>57</v>
      </c>
      <c r="I277" s="2" t="str">
        <f t="shared" si="55"/>
        <v>1950-1980</v>
      </c>
      <c r="J277" s="2">
        <v>55</v>
      </c>
      <c r="K277" s="2">
        <f t="shared" si="53"/>
        <v>60</v>
      </c>
      <c r="L277" s="2">
        <v>233</v>
      </c>
      <c r="M277" s="2">
        <v>178</v>
      </c>
      <c r="N277" s="2">
        <v>5</v>
      </c>
      <c r="O277" s="2">
        <v>0</v>
      </c>
      <c r="P277" s="2">
        <v>4</v>
      </c>
      <c r="Q277" s="2">
        <v>1</v>
      </c>
      <c r="R277" s="2">
        <v>18.100000000000001</v>
      </c>
      <c r="S277" s="2">
        <v>18</v>
      </c>
      <c r="T277" s="2">
        <v>14.3</v>
      </c>
      <c r="U277" s="2">
        <v>65.5</v>
      </c>
      <c r="V277" s="1">
        <v>801.6</v>
      </c>
      <c r="W277" s="2">
        <v>3296.7</v>
      </c>
      <c r="X277" s="2">
        <v>592.9</v>
      </c>
      <c r="Y277" s="1">
        <v>2703.8</v>
      </c>
      <c r="Z277" s="2" t="s">
        <v>47</v>
      </c>
      <c r="AA277" s="2">
        <v>4</v>
      </c>
      <c r="AB277" s="2">
        <v>0</v>
      </c>
      <c r="AD277" s="3" t="s">
        <v>323</v>
      </c>
      <c r="AE277" s="3" t="s">
        <v>58</v>
      </c>
      <c r="AF277" s="3" t="s">
        <v>50</v>
      </c>
      <c r="AG277" s="3" t="s">
        <v>51</v>
      </c>
      <c r="AH277" s="3" t="s">
        <v>75</v>
      </c>
      <c r="AI277" s="2">
        <v>0</v>
      </c>
      <c r="AJ277" s="2">
        <v>1</v>
      </c>
      <c r="AK277" s="2">
        <v>0</v>
      </c>
      <c r="AL277" s="2">
        <v>0</v>
      </c>
      <c r="AM277" s="2">
        <v>0</v>
      </c>
      <c r="AN277" s="2">
        <v>0</v>
      </c>
      <c r="AO277" s="2" t="s">
        <v>84</v>
      </c>
      <c r="AP277" s="1">
        <f>270+1226+95</f>
        <v>1591</v>
      </c>
      <c r="AQ277" s="1">
        <f>19.5+421.6</f>
        <v>441.1</v>
      </c>
      <c r="AR277" s="4">
        <f t="shared" si="59"/>
        <v>0.21706608926726048</v>
      </c>
      <c r="AS277" s="18">
        <f t="shared" si="52"/>
        <v>432.608</v>
      </c>
      <c r="AT277">
        <f t="shared" si="58"/>
        <v>0.98074812967581049</v>
      </c>
      <c r="AU277">
        <f t="shared" si="60"/>
        <v>404.06</v>
      </c>
      <c r="AV277" s="9">
        <f t="shared" si="54"/>
        <v>0.91602811153933339</v>
      </c>
    </row>
    <row r="278" spans="1:49" x14ac:dyDescent="0.3">
      <c r="A278" s="23">
        <v>108</v>
      </c>
      <c r="B278" t="s">
        <v>42</v>
      </c>
      <c r="C278" s="1">
        <v>11222</v>
      </c>
      <c r="D278" t="s">
        <v>54</v>
      </c>
      <c r="E278" t="s">
        <v>110</v>
      </c>
      <c r="F278" t="s">
        <v>110</v>
      </c>
      <c r="G278" s="2">
        <v>1964</v>
      </c>
      <c r="H278" s="2" t="s">
        <v>57</v>
      </c>
      <c r="I278" s="2" t="str">
        <f t="shared" si="55"/>
        <v>1950-1980</v>
      </c>
      <c r="J278" s="2">
        <v>32</v>
      </c>
      <c r="K278" s="2">
        <f t="shared" si="53"/>
        <v>30</v>
      </c>
      <c r="L278" s="2">
        <v>120</v>
      </c>
      <c r="M278" s="2">
        <v>88</v>
      </c>
      <c r="N278" s="2">
        <v>4</v>
      </c>
      <c r="O278" s="2">
        <v>0</v>
      </c>
      <c r="P278" s="2">
        <v>2</v>
      </c>
      <c r="Q278" s="2">
        <v>1</v>
      </c>
      <c r="R278" s="2">
        <v>15.4</v>
      </c>
      <c r="S278" s="2">
        <v>15.5</v>
      </c>
      <c r="T278" s="2">
        <v>11.5</v>
      </c>
      <c r="U278" s="2">
        <v>35.799999999999997</v>
      </c>
      <c r="V278" s="1">
        <v>413</v>
      </c>
      <c r="W278" s="2">
        <v>1399</v>
      </c>
      <c r="X278" s="2">
        <v>301.60000000000002</v>
      </c>
      <c r="Y278" s="1">
        <v>1097.4000000000001</v>
      </c>
      <c r="Z278" s="2" t="s">
        <v>47</v>
      </c>
      <c r="AA278" s="2">
        <v>4</v>
      </c>
      <c r="AB278" s="2">
        <v>0</v>
      </c>
      <c r="AD278" s="3" t="s">
        <v>58</v>
      </c>
      <c r="AE278" s="3" t="s">
        <v>58</v>
      </c>
      <c r="AF278" s="3" t="s">
        <v>83</v>
      </c>
      <c r="AG278" s="3" t="s">
        <v>51</v>
      </c>
      <c r="AH278" s="3" t="s">
        <v>75</v>
      </c>
      <c r="AI278" s="2">
        <v>0</v>
      </c>
      <c r="AJ278" s="2">
        <v>1</v>
      </c>
      <c r="AK278" s="2">
        <v>0</v>
      </c>
      <c r="AL278" s="2">
        <v>1</v>
      </c>
      <c r="AM278" s="2">
        <v>0</v>
      </c>
      <c r="AN278" s="2">
        <v>1</v>
      </c>
      <c r="AO278" s="2" t="s">
        <v>84</v>
      </c>
      <c r="AP278" s="1">
        <f>783</f>
        <v>783</v>
      </c>
      <c r="AQ278" s="1">
        <f>16+89+106+16</f>
        <v>227</v>
      </c>
      <c r="AR278" s="4">
        <f t="shared" si="59"/>
        <v>0.22475247524752476</v>
      </c>
      <c r="AS278" s="18">
        <f t="shared" si="52"/>
        <v>175.584</v>
      </c>
      <c r="AT278">
        <f t="shared" si="58"/>
        <v>0.77349779735682822</v>
      </c>
      <c r="AU278">
        <f t="shared" si="60"/>
        <v>199.76</v>
      </c>
      <c r="AV278" s="9">
        <f t="shared" si="54"/>
        <v>0.88</v>
      </c>
    </row>
    <row r="279" spans="1:49" x14ac:dyDescent="0.3">
      <c r="A279" s="23">
        <v>118</v>
      </c>
      <c r="B279" t="s">
        <v>42</v>
      </c>
      <c r="C279" s="1">
        <v>11222</v>
      </c>
      <c r="D279" t="s">
        <v>54</v>
      </c>
      <c r="E279" t="s">
        <v>110</v>
      </c>
      <c r="F279" t="s">
        <v>110</v>
      </c>
      <c r="G279" s="2">
        <v>1957</v>
      </c>
      <c r="H279" s="2" t="s">
        <v>63</v>
      </c>
      <c r="I279" s="2" t="str">
        <f t="shared" si="55"/>
        <v>1950-1980</v>
      </c>
      <c r="J279" s="2">
        <v>12</v>
      </c>
      <c r="K279" s="2">
        <f t="shared" si="53"/>
        <v>10</v>
      </c>
      <c r="L279" s="2">
        <v>51</v>
      </c>
      <c r="M279" s="2">
        <v>39</v>
      </c>
      <c r="N279" s="2">
        <v>3</v>
      </c>
      <c r="O279" s="2">
        <v>0</v>
      </c>
      <c r="P279" s="2">
        <v>1</v>
      </c>
      <c r="Q279" s="2">
        <v>1</v>
      </c>
      <c r="R279" s="2">
        <v>10.8</v>
      </c>
      <c r="S279" s="2">
        <v>11</v>
      </c>
      <c r="T279" s="2">
        <v>14.1</v>
      </c>
      <c r="U279" s="2">
        <v>22.2</v>
      </c>
      <c r="V279" s="1">
        <v>331</v>
      </c>
      <c r="W279" s="2">
        <v>878.4</v>
      </c>
      <c r="X279" s="2">
        <v>240.1</v>
      </c>
      <c r="Y279" s="1">
        <v>638.29999999999995</v>
      </c>
      <c r="Z279" s="2" t="s">
        <v>47</v>
      </c>
      <c r="AA279" s="2">
        <v>4</v>
      </c>
      <c r="AB279" s="2">
        <v>0</v>
      </c>
      <c r="AD279" s="3" t="s">
        <v>80</v>
      </c>
      <c r="AE279" s="3" t="s">
        <v>58</v>
      </c>
      <c r="AF279" s="3" t="s">
        <v>50</v>
      </c>
      <c r="AG279" s="3" t="s">
        <v>74</v>
      </c>
      <c r="AH279" s="3" t="s">
        <v>81</v>
      </c>
      <c r="AI279" s="2">
        <v>1</v>
      </c>
      <c r="AJ279" s="2">
        <v>0</v>
      </c>
      <c r="AK279" s="2">
        <v>0</v>
      </c>
      <c r="AL279" s="2">
        <v>0</v>
      </c>
      <c r="AM279" s="2">
        <v>0</v>
      </c>
      <c r="AN279" s="2">
        <v>1</v>
      </c>
      <c r="AO279" s="2" t="s">
        <v>84</v>
      </c>
      <c r="AP279" s="1">
        <v>479</v>
      </c>
      <c r="AQ279" s="1">
        <f>39+20*2+39</f>
        <v>118</v>
      </c>
      <c r="AR279" s="4">
        <f t="shared" si="59"/>
        <v>0.19765494137353434</v>
      </c>
      <c r="AS279" s="18">
        <f t="shared" si="52"/>
        <v>102.12799999999999</v>
      </c>
      <c r="AT279">
        <f t="shared" si="58"/>
        <v>0.86549152542372865</v>
      </c>
      <c r="AU279">
        <f t="shared" si="60"/>
        <v>88.53</v>
      </c>
      <c r="AV279" s="9">
        <f t="shared" si="54"/>
        <v>0.75025423728813556</v>
      </c>
    </row>
    <row r="280" spans="1:49" x14ac:dyDescent="0.3">
      <c r="A280" s="23">
        <v>216</v>
      </c>
      <c r="B280" t="s">
        <v>42</v>
      </c>
      <c r="C280" s="1">
        <v>11222</v>
      </c>
      <c r="D280" t="s">
        <v>54</v>
      </c>
      <c r="E280" t="s">
        <v>110</v>
      </c>
      <c r="F280" t="s">
        <v>110</v>
      </c>
      <c r="G280" s="2">
        <v>1964</v>
      </c>
      <c r="H280" s="2" t="s">
        <v>57</v>
      </c>
      <c r="I280" s="2" t="str">
        <f t="shared" si="55"/>
        <v>1950-1980</v>
      </c>
      <c r="J280" s="2">
        <v>44</v>
      </c>
      <c r="K280" s="2">
        <f t="shared" si="53"/>
        <v>40</v>
      </c>
      <c r="L280" s="2">
        <v>168</v>
      </c>
      <c r="M280" s="2">
        <v>124</v>
      </c>
      <c r="N280" s="2">
        <v>4</v>
      </c>
      <c r="O280" s="2">
        <v>0</v>
      </c>
      <c r="P280" s="2">
        <v>3</v>
      </c>
      <c r="Q280" s="2">
        <v>1</v>
      </c>
      <c r="R280" s="2">
        <v>14.1</v>
      </c>
      <c r="S280" s="2">
        <v>14</v>
      </c>
      <c r="T280" s="2">
        <v>11.5</v>
      </c>
      <c r="U280" s="2">
        <v>50.7</v>
      </c>
      <c r="V280" s="1">
        <v>622</v>
      </c>
      <c r="W280" s="2">
        <v>2060.1</v>
      </c>
      <c r="X280" s="2">
        <v>461.7</v>
      </c>
      <c r="Y280" s="1">
        <v>1729</v>
      </c>
      <c r="Z280" s="2" t="s">
        <v>47</v>
      </c>
      <c r="AA280" s="2">
        <v>4</v>
      </c>
      <c r="AB280" s="2">
        <v>0</v>
      </c>
      <c r="AD280" s="3" t="s">
        <v>58</v>
      </c>
      <c r="AE280" s="3" t="s">
        <v>58</v>
      </c>
      <c r="AF280" s="3" t="s">
        <v>282</v>
      </c>
      <c r="AG280" s="3" t="s">
        <v>51</v>
      </c>
      <c r="AH280" s="3" t="s">
        <v>75</v>
      </c>
      <c r="AI280" s="2">
        <v>0</v>
      </c>
      <c r="AJ280" s="2">
        <v>1</v>
      </c>
      <c r="AK280" s="2">
        <v>0</v>
      </c>
      <c r="AL280" s="2">
        <v>0</v>
      </c>
      <c r="AM280" s="2">
        <v>0</v>
      </c>
      <c r="AN280" s="2">
        <v>1</v>
      </c>
      <c r="AO280" s="2" t="s">
        <v>123</v>
      </c>
      <c r="AP280" s="1">
        <f>1015+13</f>
        <v>1028</v>
      </c>
      <c r="AQ280" s="1">
        <f>15+15+149+161</f>
        <v>340</v>
      </c>
      <c r="AR280" s="4">
        <f t="shared" si="59"/>
        <v>0.24853801169590642</v>
      </c>
      <c r="AS280" s="18">
        <f t="shared" si="52"/>
        <v>276.64</v>
      </c>
      <c r="AT280">
        <f t="shared" si="58"/>
        <v>0.81364705882352939</v>
      </c>
      <c r="AU280">
        <f t="shared" si="60"/>
        <v>281.48</v>
      </c>
      <c r="AV280" s="9">
        <f t="shared" si="54"/>
        <v>0.82788235294117651</v>
      </c>
    </row>
    <row r="281" spans="1:49" x14ac:dyDescent="0.3">
      <c r="A281" s="23">
        <v>226</v>
      </c>
      <c r="B281" t="s">
        <v>42</v>
      </c>
      <c r="C281" s="1">
        <v>12311</v>
      </c>
      <c r="D281" t="s">
        <v>54</v>
      </c>
      <c r="E281" t="s">
        <v>110</v>
      </c>
      <c r="F281" t="s">
        <v>110</v>
      </c>
      <c r="G281" s="2">
        <v>1964</v>
      </c>
      <c r="H281" s="2" t="s">
        <v>57</v>
      </c>
      <c r="I281" s="2" t="str">
        <f t="shared" si="55"/>
        <v>1950-1980</v>
      </c>
      <c r="J281" s="2">
        <v>38</v>
      </c>
      <c r="K281" s="2">
        <f>MROUND(J281,10)</f>
        <v>40</v>
      </c>
      <c r="L281" s="2">
        <v>153</v>
      </c>
      <c r="M281" s="2">
        <v>115</v>
      </c>
      <c r="N281" s="2">
        <v>4</v>
      </c>
      <c r="O281" s="2">
        <v>0</v>
      </c>
      <c r="P281" s="2">
        <v>3</v>
      </c>
      <c r="Q281" s="2">
        <v>1</v>
      </c>
      <c r="R281" s="2">
        <v>14.9</v>
      </c>
      <c r="S281" s="2">
        <v>15</v>
      </c>
      <c r="T281" s="2">
        <v>13.2</v>
      </c>
      <c r="U281" s="2">
        <v>61.5</v>
      </c>
      <c r="V281" s="1">
        <v>818</v>
      </c>
      <c r="W281" s="2">
        <v>2565.1</v>
      </c>
      <c r="X281" s="2">
        <v>328.6</v>
      </c>
      <c r="Y281" s="1">
        <v>2301</v>
      </c>
      <c r="Z281" s="2" t="s">
        <v>47</v>
      </c>
      <c r="AA281" s="2">
        <v>4</v>
      </c>
      <c r="AB281" s="2">
        <v>9</v>
      </c>
      <c r="AD281" s="3" t="s">
        <v>315</v>
      </c>
      <c r="AE281" s="3" t="s">
        <v>58</v>
      </c>
      <c r="AF281" s="3" t="s">
        <v>273</v>
      </c>
      <c r="AG281" s="3" t="s">
        <v>302</v>
      </c>
      <c r="AH281" s="3" t="s">
        <v>75</v>
      </c>
      <c r="AI281" s="2">
        <v>0</v>
      </c>
      <c r="AJ281" s="2">
        <v>1</v>
      </c>
      <c r="AK281" s="2">
        <v>0</v>
      </c>
      <c r="AL281" s="2">
        <v>0</v>
      </c>
      <c r="AM281" s="2">
        <v>0</v>
      </c>
      <c r="AN281" s="2">
        <v>1</v>
      </c>
      <c r="AO281" s="2" t="s">
        <v>88</v>
      </c>
      <c r="AP281" s="1">
        <f>900.1+310.3</f>
        <v>1210.4000000000001</v>
      </c>
      <c r="AQ281" s="1">
        <f>73.2+24.2+311</f>
        <v>408.4</v>
      </c>
      <c r="AR281" s="4">
        <f t="shared" si="59"/>
        <v>0.25228564368668144</v>
      </c>
      <c r="AS281" s="18">
        <f t="shared" si="52"/>
        <v>368.16</v>
      </c>
      <c r="AT281">
        <f t="shared" si="58"/>
        <v>0.9014691478942215</v>
      </c>
      <c r="AU281">
        <f t="shared" si="60"/>
        <v>261.05</v>
      </c>
      <c r="AV281" s="9">
        <f t="shared" si="54"/>
        <v>0.63920176297747311</v>
      </c>
    </row>
    <row r="282" spans="1:49" x14ac:dyDescent="0.3">
      <c r="A282" s="23">
        <v>104</v>
      </c>
      <c r="B282" t="s">
        <v>42</v>
      </c>
      <c r="C282" s="1">
        <v>12319</v>
      </c>
      <c r="D282" t="s">
        <v>54</v>
      </c>
      <c r="E282" t="s">
        <v>110</v>
      </c>
      <c r="F282" t="s">
        <v>110</v>
      </c>
      <c r="G282" s="2">
        <v>1966</v>
      </c>
      <c r="H282" s="2" t="s">
        <v>57</v>
      </c>
      <c r="I282" s="2" t="str">
        <f t="shared" si="55"/>
        <v>1950-1980</v>
      </c>
      <c r="J282" s="2">
        <v>60</v>
      </c>
      <c r="K282" s="2">
        <f>MROUND(J282,10)</f>
        <v>60</v>
      </c>
      <c r="L282" s="2">
        <v>241</v>
      </c>
      <c r="M282" s="2">
        <v>181</v>
      </c>
      <c r="N282" s="2">
        <v>4</v>
      </c>
      <c r="O282" s="2">
        <v>0</v>
      </c>
      <c r="P282" s="2">
        <v>3</v>
      </c>
      <c r="Q282" s="2">
        <v>1</v>
      </c>
      <c r="R282" s="2">
        <v>13.7</v>
      </c>
      <c r="S282" s="2">
        <v>13.5</v>
      </c>
      <c r="T282" s="2">
        <v>12.7</v>
      </c>
      <c r="U282" s="2">
        <v>61</v>
      </c>
      <c r="V282" s="1">
        <v>830</v>
      </c>
      <c r="W282" s="2">
        <v>2601.6999999999998</v>
      </c>
      <c r="X282" s="2">
        <v>193.5</v>
      </c>
      <c r="Y282" s="1">
        <v>2601.6999999999998</v>
      </c>
      <c r="Z282" s="2" t="s">
        <v>47</v>
      </c>
      <c r="AA282" s="2">
        <v>4</v>
      </c>
      <c r="AB282" s="2">
        <v>0</v>
      </c>
      <c r="AD282" s="3" t="s">
        <v>323</v>
      </c>
      <c r="AE282" s="3" t="s">
        <v>58</v>
      </c>
      <c r="AF282" s="3" t="s">
        <v>83</v>
      </c>
      <c r="AG282" s="3" t="s">
        <v>51</v>
      </c>
      <c r="AH282" s="3" t="s">
        <v>75</v>
      </c>
      <c r="AI282" s="2">
        <v>0</v>
      </c>
      <c r="AJ282" s="2">
        <v>1</v>
      </c>
      <c r="AK282" s="2">
        <v>0</v>
      </c>
      <c r="AL282" s="2">
        <v>0</v>
      </c>
      <c r="AM282" s="2">
        <v>0</v>
      </c>
      <c r="AN282" s="2">
        <v>1</v>
      </c>
      <c r="AO282" s="2" t="s">
        <v>76</v>
      </c>
      <c r="AP282" s="1">
        <f>1130.5</f>
        <v>1130.5</v>
      </c>
      <c r="AQ282" s="1">
        <f>17.8+178.3+175.5+17.8</f>
        <v>389.40000000000003</v>
      </c>
      <c r="AR282" s="4">
        <f t="shared" si="59"/>
        <v>0.25620106585959601</v>
      </c>
      <c r="AS282" s="18">
        <f t="shared" si="52"/>
        <v>416.27199999999999</v>
      </c>
      <c r="AT282">
        <f t="shared" si="58"/>
        <v>1.0690087313816126</v>
      </c>
      <c r="AU282">
        <f t="shared" si="60"/>
        <v>410.87</v>
      </c>
      <c r="AV282" s="9">
        <f t="shared" si="54"/>
        <v>1.0551361068310221</v>
      </c>
    </row>
    <row r="283" spans="1:49" x14ac:dyDescent="0.3">
      <c r="A283" s="23">
        <v>282</v>
      </c>
      <c r="B283" t="s">
        <v>42</v>
      </c>
      <c r="C283" s="1">
        <v>12319</v>
      </c>
      <c r="D283" t="s">
        <v>54</v>
      </c>
      <c r="E283" t="s">
        <v>110</v>
      </c>
      <c r="F283" t="s">
        <v>110</v>
      </c>
      <c r="G283" s="2">
        <v>1972</v>
      </c>
      <c r="H283" s="2" t="s">
        <v>69</v>
      </c>
      <c r="I283" s="2" t="str">
        <f t="shared" si="55"/>
        <v>1950-1980</v>
      </c>
      <c r="J283" s="2">
        <v>60</v>
      </c>
      <c r="K283" s="2">
        <f>MROUND(J283,10)</f>
        <v>60</v>
      </c>
      <c r="L283" s="2">
        <v>270</v>
      </c>
      <c r="M283" s="2">
        <v>210</v>
      </c>
      <c r="N283" s="2">
        <v>5</v>
      </c>
      <c r="O283" s="2">
        <v>0</v>
      </c>
      <c r="P283" s="2">
        <v>4</v>
      </c>
      <c r="Q283" s="2">
        <v>1</v>
      </c>
      <c r="R283" s="2">
        <v>19.2</v>
      </c>
      <c r="S283" s="2">
        <v>19</v>
      </c>
      <c r="T283" s="2">
        <v>12.6</v>
      </c>
      <c r="U283" s="2">
        <v>85</v>
      </c>
      <c r="V283" s="1">
        <v>1072.4000000000001</v>
      </c>
      <c r="W283" s="2">
        <v>4699.7</v>
      </c>
      <c r="X283" s="2">
        <v>787.5</v>
      </c>
      <c r="Y283" s="1">
        <v>3723</v>
      </c>
      <c r="Z283" s="2" t="s">
        <v>47</v>
      </c>
      <c r="AA283" s="2">
        <v>4</v>
      </c>
      <c r="AB283" s="2">
        <v>0</v>
      </c>
      <c r="AD283" s="3" t="s">
        <v>323</v>
      </c>
      <c r="AE283" s="3" t="s">
        <v>66</v>
      </c>
      <c r="AF283" s="3" t="s">
        <v>50</v>
      </c>
      <c r="AG283" s="3" t="s">
        <v>74</v>
      </c>
      <c r="AH283" s="3" t="s">
        <v>75</v>
      </c>
      <c r="AI283" s="2">
        <v>1</v>
      </c>
      <c r="AJ283" s="2">
        <v>0</v>
      </c>
      <c r="AK283" s="2">
        <v>0</v>
      </c>
      <c r="AL283" s="2">
        <v>1</v>
      </c>
      <c r="AM283" s="2">
        <v>0</v>
      </c>
      <c r="AN283" s="2">
        <v>1</v>
      </c>
      <c r="AO283" s="2" t="s">
        <v>123</v>
      </c>
      <c r="AP283" s="1">
        <f>2090+310</f>
        <v>2400</v>
      </c>
      <c r="AQ283" s="1">
        <f>581</f>
        <v>581</v>
      </c>
      <c r="AR283" s="4">
        <f t="shared" si="59"/>
        <v>0.19490103991949009</v>
      </c>
      <c r="AS283" s="18">
        <f t="shared" si="52"/>
        <v>595.67999999999995</v>
      </c>
      <c r="AT283">
        <f t="shared" si="58"/>
        <v>1.0252667814113596</v>
      </c>
      <c r="AU283">
        <f t="shared" si="60"/>
        <v>476.7</v>
      </c>
      <c r="AV283" s="9">
        <f t="shared" si="54"/>
        <v>0.82048192771084338</v>
      </c>
    </row>
    <row r="284" spans="1:49" x14ac:dyDescent="0.3">
      <c r="A284" s="23">
        <v>262</v>
      </c>
      <c r="B284" t="s">
        <v>42</v>
      </c>
      <c r="C284" s="1">
        <v>11222</v>
      </c>
      <c r="D284" t="s">
        <v>54</v>
      </c>
      <c r="E284" t="s">
        <v>110</v>
      </c>
      <c r="F284" t="s">
        <v>110</v>
      </c>
      <c r="G284" s="2">
        <v>1974</v>
      </c>
      <c r="H284" s="2" t="s">
        <v>69</v>
      </c>
      <c r="I284" s="2" t="str">
        <f t="shared" si="55"/>
        <v>1950-1980</v>
      </c>
      <c r="J284" s="2">
        <v>12</v>
      </c>
      <c r="K284" s="2">
        <f t="shared" si="53"/>
        <v>10</v>
      </c>
      <c r="L284" s="2">
        <v>60</v>
      </c>
      <c r="M284" s="2">
        <v>48</v>
      </c>
      <c r="N284" s="2">
        <v>3</v>
      </c>
      <c r="O284" s="2">
        <v>0</v>
      </c>
      <c r="P284" s="2">
        <v>2</v>
      </c>
      <c r="Q284" s="2">
        <v>1</v>
      </c>
      <c r="R284" s="2">
        <v>11.4</v>
      </c>
      <c r="S284" s="2">
        <v>11.5</v>
      </c>
      <c r="T284" s="2">
        <v>10.1</v>
      </c>
      <c r="U284" s="2">
        <v>33.9</v>
      </c>
      <c r="V284" s="1">
        <v>285</v>
      </c>
      <c r="W284" s="2">
        <v>859.3</v>
      </c>
      <c r="X284" s="2">
        <v>250.5</v>
      </c>
      <c r="Y284" s="1">
        <v>689.8</v>
      </c>
      <c r="Z284" s="2" t="s">
        <v>47</v>
      </c>
      <c r="AA284" s="2">
        <v>14</v>
      </c>
      <c r="AB284" s="2">
        <v>10</v>
      </c>
      <c r="AC284" s="2">
        <v>0</v>
      </c>
      <c r="AD284" s="3" t="s">
        <v>58</v>
      </c>
      <c r="AE284" s="3" t="s">
        <v>49</v>
      </c>
      <c r="AF284" s="3" t="s">
        <v>50</v>
      </c>
      <c r="AG284" s="3" t="s">
        <v>60</v>
      </c>
      <c r="AH284" s="3" t="s">
        <v>75</v>
      </c>
      <c r="AI284" s="2">
        <v>0</v>
      </c>
      <c r="AJ284" s="2">
        <v>1</v>
      </c>
      <c r="AK284" s="2">
        <v>0</v>
      </c>
      <c r="AL284" s="2">
        <v>0</v>
      </c>
      <c r="AM284" s="2">
        <v>0</v>
      </c>
      <c r="AN284" s="2">
        <v>1</v>
      </c>
      <c r="AO284" s="2" t="s">
        <v>123</v>
      </c>
      <c r="AP284" s="1">
        <f>492</f>
        <v>492</v>
      </c>
      <c r="AQ284" s="1">
        <f>51+18+63</f>
        <v>132</v>
      </c>
      <c r="AR284" s="4">
        <f t="shared" si="59"/>
        <v>0.21153846153846154</v>
      </c>
      <c r="AS284" s="18">
        <f t="shared" si="52"/>
        <v>110.36799999999999</v>
      </c>
      <c r="AT284">
        <f t="shared" si="58"/>
        <v>0.83612121212121204</v>
      </c>
      <c r="AU284">
        <f t="shared" si="60"/>
        <v>108.96000000000001</v>
      </c>
      <c r="AV284" s="9">
        <f t="shared" si="54"/>
        <v>0.82545454545454555</v>
      </c>
    </row>
    <row r="285" spans="1:49" x14ac:dyDescent="0.3">
      <c r="A285" s="23">
        <v>22</v>
      </c>
      <c r="B285" t="s">
        <v>42</v>
      </c>
      <c r="C285" s="1">
        <v>12331</v>
      </c>
      <c r="D285" t="s">
        <v>54</v>
      </c>
      <c r="E285" t="s">
        <v>110</v>
      </c>
      <c r="F285" t="s">
        <v>110</v>
      </c>
      <c r="G285" s="2">
        <v>1979</v>
      </c>
      <c r="H285" s="2" t="s">
        <v>69</v>
      </c>
      <c r="I285" s="2" t="str">
        <f t="shared" si="55"/>
        <v>1950-1980</v>
      </c>
      <c r="J285" s="2">
        <v>55</v>
      </c>
      <c r="K285" s="2">
        <f>MROUND(J285,10)</f>
        <v>60</v>
      </c>
      <c r="L285" s="2">
        <v>193</v>
      </c>
      <c r="M285" s="2">
        <v>138</v>
      </c>
      <c r="N285" s="2">
        <v>5</v>
      </c>
      <c r="O285" s="2">
        <v>0</v>
      </c>
      <c r="P285" s="2">
        <v>4</v>
      </c>
      <c r="Q285" s="2">
        <v>1</v>
      </c>
      <c r="R285" s="2">
        <v>15.9</v>
      </c>
      <c r="S285" s="2">
        <v>16</v>
      </c>
      <c r="T285" s="2">
        <v>14.5</v>
      </c>
      <c r="U285" s="2">
        <v>64.900000000000006</v>
      </c>
      <c r="V285" s="1">
        <v>836</v>
      </c>
      <c r="W285" s="2">
        <v>3267.1</v>
      </c>
      <c r="X285" s="2">
        <v>481.7</v>
      </c>
      <c r="Y285" s="1">
        <v>2723.7</v>
      </c>
      <c r="Z285" s="2" t="s">
        <v>47</v>
      </c>
      <c r="AA285" s="2">
        <v>8</v>
      </c>
      <c r="AB285" s="2">
        <v>4</v>
      </c>
      <c r="AD285" s="3" t="s">
        <v>328</v>
      </c>
      <c r="AE285" s="3" t="s">
        <v>115</v>
      </c>
      <c r="AF285" s="3" t="s">
        <v>50</v>
      </c>
      <c r="AG285" s="3" t="s">
        <v>74</v>
      </c>
      <c r="AH285" s="3" t="s">
        <v>75</v>
      </c>
      <c r="AI285" s="2">
        <v>1</v>
      </c>
      <c r="AJ285" s="2">
        <v>0</v>
      </c>
      <c r="AK285" s="2">
        <v>0</v>
      </c>
      <c r="AL285" s="2">
        <v>1</v>
      </c>
      <c r="AM285" s="2">
        <v>0</v>
      </c>
      <c r="AN285" s="2">
        <v>0</v>
      </c>
      <c r="AO285" s="2" t="s">
        <v>84</v>
      </c>
      <c r="AP285" s="1">
        <f>1342.2</f>
        <v>1342.2</v>
      </c>
      <c r="AQ285" s="1">
        <f>329.9+237.5</f>
        <v>567.4</v>
      </c>
      <c r="AR285" s="4">
        <f t="shared" si="59"/>
        <v>0.29713028906577293</v>
      </c>
      <c r="AS285" s="18">
        <f t="shared" ref="AS285:AS309" si="61">IF(AQ285&lt;&gt;"", Y285/6.25,"")</f>
        <v>435.79199999999997</v>
      </c>
      <c r="AT285">
        <f t="shared" si="58"/>
        <v>0.76805075784279164</v>
      </c>
      <c r="AU285">
        <f t="shared" si="60"/>
        <v>313.26</v>
      </c>
      <c r="AV285" s="9">
        <f t="shared" si="54"/>
        <v>0.55209728586535078</v>
      </c>
    </row>
    <row r="286" spans="1:49" x14ac:dyDescent="0.3">
      <c r="A286" s="23">
        <v>80</v>
      </c>
      <c r="B286" t="s">
        <v>42</v>
      </c>
      <c r="C286" s="1">
        <v>11222</v>
      </c>
      <c r="D286" t="s">
        <v>54</v>
      </c>
      <c r="E286" t="s">
        <v>110</v>
      </c>
      <c r="F286" t="s">
        <v>110</v>
      </c>
      <c r="G286" s="2">
        <v>1983</v>
      </c>
      <c r="H286" s="2" t="s">
        <v>131</v>
      </c>
      <c r="I286" s="2" t="str">
        <f t="shared" si="55"/>
        <v>&gt;1980</v>
      </c>
      <c r="J286" s="2">
        <v>15</v>
      </c>
      <c r="K286" s="2">
        <f t="shared" si="53"/>
        <v>20</v>
      </c>
      <c r="L286" s="2">
        <v>80</v>
      </c>
      <c r="M286" s="2">
        <v>65</v>
      </c>
      <c r="N286" s="2">
        <v>5</v>
      </c>
      <c r="O286" s="2">
        <v>0</v>
      </c>
      <c r="P286" s="2">
        <v>1</v>
      </c>
      <c r="Q286" s="2">
        <v>1</v>
      </c>
      <c r="R286" s="2">
        <v>17.5</v>
      </c>
      <c r="S286" s="2">
        <v>17.5</v>
      </c>
      <c r="T286" s="2">
        <v>18.8</v>
      </c>
      <c r="U286" s="2">
        <v>22.3</v>
      </c>
      <c r="V286" s="1">
        <v>330.6</v>
      </c>
      <c r="W286" s="2">
        <v>1309.5</v>
      </c>
      <c r="X286" s="2">
        <v>272.8</v>
      </c>
      <c r="Y286" s="1">
        <v>985.3</v>
      </c>
      <c r="Z286" s="2" t="s">
        <v>47</v>
      </c>
      <c r="AA286" s="2">
        <v>8</v>
      </c>
      <c r="AB286" s="2">
        <v>4</v>
      </c>
      <c r="AD286" s="3" t="s">
        <v>80</v>
      </c>
      <c r="AE286" s="3" t="s">
        <v>66</v>
      </c>
      <c r="AF286" s="3" t="s">
        <v>202</v>
      </c>
      <c r="AG286" s="3" t="s">
        <v>74</v>
      </c>
      <c r="AH286" s="3" t="s">
        <v>75</v>
      </c>
      <c r="AI286" s="2">
        <v>1</v>
      </c>
      <c r="AJ286" s="2">
        <v>0</v>
      </c>
      <c r="AK286" s="2">
        <v>0</v>
      </c>
      <c r="AL286" s="2">
        <v>1</v>
      </c>
      <c r="AM286" s="2">
        <v>0</v>
      </c>
      <c r="AN286" s="2">
        <v>1</v>
      </c>
      <c r="AO286" s="2" t="s">
        <v>76</v>
      </c>
      <c r="AP286" s="1">
        <v>1105</v>
      </c>
      <c r="AQ286" s="1">
        <f>30+73+24+54</f>
        <v>181</v>
      </c>
      <c r="AR286" s="4">
        <f t="shared" si="59"/>
        <v>0.14074650077760498</v>
      </c>
      <c r="AS286" s="18">
        <f t="shared" si="61"/>
        <v>157.648</v>
      </c>
      <c r="AT286">
        <f t="shared" si="58"/>
        <v>0.87098342541436458</v>
      </c>
      <c r="AU286">
        <f t="shared" si="60"/>
        <v>147.55000000000001</v>
      </c>
      <c r="AV286" s="9">
        <f t="shared" si="54"/>
        <v>0.81519337016574589</v>
      </c>
    </row>
    <row r="287" spans="1:49" x14ac:dyDescent="0.3">
      <c r="A287" s="23">
        <v>209</v>
      </c>
      <c r="B287" t="s">
        <v>42</v>
      </c>
      <c r="C287" s="1">
        <v>11222</v>
      </c>
      <c r="D287" t="s">
        <v>54</v>
      </c>
      <c r="E287" t="s">
        <v>110</v>
      </c>
      <c r="F287" t="s">
        <v>110</v>
      </c>
      <c r="G287" s="2">
        <v>1984</v>
      </c>
      <c r="H287" s="2" t="s">
        <v>131</v>
      </c>
      <c r="I287" s="2" t="str">
        <f t="shared" si="55"/>
        <v>&gt;1980</v>
      </c>
      <c r="J287" s="2">
        <v>39</v>
      </c>
      <c r="K287" s="2">
        <f t="shared" si="53"/>
        <v>40</v>
      </c>
      <c r="L287" s="2">
        <v>141</v>
      </c>
      <c r="M287" s="2">
        <v>102</v>
      </c>
      <c r="N287" s="2">
        <v>5</v>
      </c>
      <c r="O287" s="2">
        <v>0</v>
      </c>
      <c r="P287" s="2">
        <v>4</v>
      </c>
      <c r="Q287" s="2">
        <v>1</v>
      </c>
      <c r="R287" s="2">
        <v>17.3</v>
      </c>
      <c r="S287" s="2">
        <v>17.5</v>
      </c>
      <c r="T287" s="2">
        <v>12.8</v>
      </c>
      <c r="U287" s="2">
        <v>47.4</v>
      </c>
      <c r="V287" s="1">
        <v>546</v>
      </c>
      <c r="W287" s="2">
        <v>2011</v>
      </c>
      <c r="X287" s="2">
        <v>635.4</v>
      </c>
      <c r="Y287" s="1">
        <v>1658</v>
      </c>
      <c r="Z287" s="2" t="s">
        <v>47</v>
      </c>
      <c r="AA287" s="2">
        <v>14</v>
      </c>
      <c r="AB287" s="2">
        <v>10</v>
      </c>
      <c r="AD287" s="3" t="s">
        <v>80</v>
      </c>
      <c r="AE287" s="3" t="s">
        <v>58</v>
      </c>
      <c r="AF287" s="3" t="s">
        <v>273</v>
      </c>
      <c r="AG287" s="3" t="s">
        <v>74</v>
      </c>
      <c r="AH287" s="3" t="s">
        <v>75</v>
      </c>
      <c r="AI287" s="2">
        <v>1</v>
      </c>
      <c r="AJ287" s="2">
        <v>0</v>
      </c>
      <c r="AK287" s="2">
        <v>0</v>
      </c>
      <c r="AL287" s="2">
        <v>0</v>
      </c>
      <c r="AM287" s="2">
        <v>0</v>
      </c>
      <c r="AN287" s="2">
        <v>1</v>
      </c>
      <c r="AO287" s="2" t="s">
        <v>88</v>
      </c>
      <c r="AP287" s="1">
        <v>1618</v>
      </c>
      <c r="AQ287" s="1">
        <f>216.9</f>
        <v>216.9</v>
      </c>
      <c r="AR287" s="4">
        <f t="shared" si="59"/>
        <v>0.11820807673442695</v>
      </c>
      <c r="AS287" s="18">
        <f t="shared" si="61"/>
        <v>265.27999999999997</v>
      </c>
      <c r="AT287">
        <f t="shared" si="58"/>
        <v>1.2230520977408943</v>
      </c>
      <c r="AU287">
        <f t="shared" si="60"/>
        <v>231.54</v>
      </c>
      <c r="AV287" s="9">
        <f t="shared" si="54"/>
        <v>1.0674965421853388</v>
      </c>
    </row>
    <row r="288" spans="1:49" x14ac:dyDescent="0.3">
      <c r="A288" s="23">
        <v>253</v>
      </c>
      <c r="B288" t="s">
        <v>42</v>
      </c>
      <c r="C288" s="1">
        <v>12339</v>
      </c>
      <c r="D288" t="s">
        <v>54</v>
      </c>
      <c r="E288" t="s">
        <v>110</v>
      </c>
      <c r="F288" t="s">
        <v>110</v>
      </c>
      <c r="G288" s="2">
        <v>1984</v>
      </c>
      <c r="H288" s="2" t="s">
        <v>131</v>
      </c>
      <c r="I288" s="2" t="str">
        <f t="shared" si="55"/>
        <v>&gt;1980</v>
      </c>
      <c r="J288" s="2">
        <v>30</v>
      </c>
      <c r="K288" s="2">
        <f>MROUND(J288,10)</f>
        <v>30</v>
      </c>
      <c r="L288" s="2">
        <v>140</v>
      </c>
      <c r="M288" s="2">
        <v>110</v>
      </c>
      <c r="N288" s="2">
        <v>3</v>
      </c>
      <c r="O288" s="2">
        <v>0</v>
      </c>
      <c r="P288" s="2">
        <v>4</v>
      </c>
      <c r="Q288" s="2">
        <v>1</v>
      </c>
      <c r="R288" s="2">
        <v>11.9</v>
      </c>
      <c r="S288" s="2">
        <v>12</v>
      </c>
      <c r="T288" s="2">
        <v>24.8</v>
      </c>
      <c r="U288" s="2">
        <v>56.9</v>
      </c>
      <c r="V288" s="1">
        <v>970</v>
      </c>
      <c r="W288" s="2">
        <v>2217.9</v>
      </c>
      <c r="X288" s="2">
        <v>800.9</v>
      </c>
      <c r="Y288" s="1">
        <v>1964.8</v>
      </c>
      <c r="Z288" s="2" t="s">
        <v>47</v>
      </c>
      <c r="AA288" s="2">
        <v>9</v>
      </c>
      <c r="AB288" s="2">
        <v>5</v>
      </c>
      <c r="AD288" s="3" t="s">
        <v>58</v>
      </c>
      <c r="AE288" s="3" t="s">
        <v>66</v>
      </c>
      <c r="AF288" s="3" t="s">
        <v>50</v>
      </c>
      <c r="AG288" s="3" t="s">
        <v>74</v>
      </c>
      <c r="AH288" s="3" t="s">
        <v>75</v>
      </c>
      <c r="AI288" s="2">
        <v>1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P288" s="1">
        <f>947.8</f>
        <v>947.8</v>
      </c>
      <c r="AQ288" s="1">
        <f>112.35+11.18+112.08+12</f>
        <v>247.61</v>
      </c>
      <c r="AR288" s="4">
        <f t="shared" si="59"/>
        <v>0.20713395404087304</v>
      </c>
      <c r="AS288" s="18">
        <f t="shared" si="61"/>
        <v>314.36799999999999</v>
      </c>
      <c r="AT288">
        <f t="shared" si="58"/>
        <v>1.2696094664997375</v>
      </c>
      <c r="AU288">
        <f t="shared" si="60"/>
        <v>249.7</v>
      </c>
      <c r="AV288" s="9">
        <f t="shared" si="54"/>
        <v>1.008440693025322</v>
      </c>
    </row>
    <row r="289" spans="1:48" x14ac:dyDescent="0.3">
      <c r="A289" s="23">
        <v>261</v>
      </c>
      <c r="B289" t="s">
        <v>42</v>
      </c>
      <c r="C289" s="1">
        <v>11222</v>
      </c>
      <c r="D289" t="s">
        <v>54</v>
      </c>
      <c r="E289" t="s">
        <v>55</v>
      </c>
      <c r="F289" t="s">
        <v>56</v>
      </c>
      <c r="G289" s="2">
        <v>1967</v>
      </c>
      <c r="H289" s="2" t="s">
        <v>57</v>
      </c>
      <c r="I289" s="2" t="str">
        <f t="shared" si="55"/>
        <v>1950-1980</v>
      </c>
      <c r="J289" s="2">
        <v>8</v>
      </c>
      <c r="K289" s="2">
        <f t="shared" si="53"/>
        <v>10</v>
      </c>
      <c r="L289" s="2">
        <v>34</v>
      </c>
      <c r="M289" s="2">
        <v>26</v>
      </c>
      <c r="N289" s="2">
        <v>2</v>
      </c>
      <c r="O289" s="2">
        <v>0</v>
      </c>
      <c r="P289" s="2">
        <v>1</v>
      </c>
      <c r="Q289" s="2">
        <v>0</v>
      </c>
      <c r="R289" s="2">
        <v>10.7</v>
      </c>
      <c r="S289" s="2">
        <v>10.5</v>
      </c>
      <c r="T289" s="2">
        <v>15.7</v>
      </c>
      <c r="U289" s="2">
        <v>19.5</v>
      </c>
      <c r="V289" s="1">
        <v>307.60000000000002</v>
      </c>
      <c r="W289" s="2">
        <v>430</v>
      </c>
      <c r="X289" s="2">
        <v>19.8</v>
      </c>
      <c r="Y289" s="1">
        <v>410</v>
      </c>
      <c r="Z289" s="2" t="s">
        <v>47</v>
      </c>
      <c r="AA289" s="2">
        <v>4</v>
      </c>
      <c r="AB289" s="2">
        <v>0</v>
      </c>
      <c r="AD289" s="3" t="s">
        <v>58</v>
      </c>
      <c r="AE289" s="3" t="s">
        <v>66</v>
      </c>
      <c r="AF289" s="3" t="s">
        <v>50</v>
      </c>
      <c r="AG289" s="3" t="s">
        <v>67</v>
      </c>
      <c r="AH289" s="3" t="s">
        <v>52</v>
      </c>
      <c r="AI289" s="2">
        <v>0</v>
      </c>
      <c r="AJ289" s="2">
        <v>1</v>
      </c>
      <c r="AK289" s="2">
        <v>0</v>
      </c>
      <c r="AL289" s="2">
        <v>0</v>
      </c>
      <c r="AM289" s="2">
        <v>0</v>
      </c>
      <c r="AN289" s="2">
        <v>1</v>
      </c>
      <c r="AO289" s="2" t="s">
        <v>61</v>
      </c>
      <c r="AP289" s="1">
        <f>269.5</f>
        <v>269.5</v>
      </c>
      <c r="AQ289" s="1">
        <f>69.4+6.1</f>
        <v>75.5</v>
      </c>
      <c r="AR289" s="4">
        <f t="shared" si="59"/>
        <v>0.21884057971014492</v>
      </c>
      <c r="AS289" s="18">
        <f t="shared" si="61"/>
        <v>65.599999999999994</v>
      </c>
      <c r="AT289">
        <f t="shared" si="58"/>
        <v>0.86887417218543039</v>
      </c>
      <c r="AU289">
        <f t="shared" si="60"/>
        <v>59.02</v>
      </c>
      <c r="AV289" s="9">
        <f t="shared" si="54"/>
        <v>0.78172185430463581</v>
      </c>
    </row>
    <row r="290" spans="1:48" x14ac:dyDescent="0.3">
      <c r="A290" s="23">
        <v>169</v>
      </c>
      <c r="B290" t="s">
        <v>42</v>
      </c>
      <c r="C290" s="1">
        <v>11222</v>
      </c>
      <c r="D290" t="s">
        <v>54</v>
      </c>
      <c r="E290" t="s">
        <v>55</v>
      </c>
      <c r="F290" t="s">
        <v>56</v>
      </c>
      <c r="G290" s="2">
        <v>1968</v>
      </c>
      <c r="H290" s="2" t="s">
        <v>57</v>
      </c>
      <c r="I290" s="2" t="str">
        <f t="shared" si="55"/>
        <v>1950-1980</v>
      </c>
      <c r="J290" s="2">
        <v>12</v>
      </c>
      <c r="K290" s="2">
        <f t="shared" si="53"/>
        <v>10</v>
      </c>
      <c r="L290" s="2">
        <v>52</v>
      </c>
      <c r="M290" s="2">
        <v>40</v>
      </c>
      <c r="N290" s="2">
        <v>3</v>
      </c>
      <c r="O290" s="2">
        <v>0</v>
      </c>
      <c r="P290" s="2">
        <v>2</v>
      </c>
      <c r="Q290" s="2">
        <v>1</v>
      </c>
      <c r="R290" s="2">
        <v>12.6</v>
      </c>
      <c r="S290" s="2">
        <v>12.5</v>
      </c>
      <c r="T290" s="2">
        <v>9.5</v>
      </c>
      <c r="U290" s="2">
        <v>34.200000000000003</v>
      </c>
      <c r="V290" s="1">
        <v>309.5</v>
      </c>
      <c r="W290" s="2">
        <v>845.3</v>
      </c>
      <c r="X290" s="2">
        <v>234.7</v>
      </c>
      <c r="Y290" s="1">
        <v>639.20000000000005</v>
      </c>
      <c r="Z290" s="2" t="s">
        <v>47</v>
      </c>
      <c r="AA290" s="2">
        <v>4</v>
      </c>
      <c r="AB290" s="2">
        <v>0</v>
      </c>
      <c r="AC290" s="2">
        <v>0</v>
      </c>
      <c r="AD290" s="3" t="s">
        <v>58</v>
      </c>
      <c r="AE290" s="3" t="s">
        <v>58</v>
      </c>
      <c r="AF290" s="3" t="s">
        <v>83</v>
      </c>
      <c r="AG290" s="3" t="s">
        <v>51</v>
      </c>
      <c r="AH290" s="3" t="s">
        <v>75</v>
      </c>
      <c r="AI290" s="2">
        <v>0</v>
      </c>
      <c r="AJ290" s="2">
        <v>1</v>
      </c>
      <c r="AK290" s="2">
        <v>0</v>
      </c>
      <c r="AL290" s="2">
        <v>0</v>
      </c>
      <c r="AM290" s="2">
        <v>0</v>
      </c>
      <c r="AN290" s="2">
        <v>0</v>
      </c>
      <c r="AO290" s="2" t="s">
        <v>76</v>
      </c>
      <c r="AP290" s="1">
        <f>465</f>
        <v>465</v>
      </c>
      <c r="AQ290" s="1">
        <f>74+63</f>
        <v>137</v>
      </c>
      <c r="AR290" s="4">
        <f t="shared" si="59"/>
        <v>0.22757475083056478</v>
      </c>
      <c r="AS290" s="18">
        <f t="shared" si="61"/>
        <v>102.27200000000001</v>
      </c>
      <c r="AT290">
        <f t="shared" si="58"/>
        <v>0.74651094890510949</v>
      </c>
      <c r="AU290">
        <f t="shared" si="60"/>
        <v>90.8</v>
      </c>
      <c r="AV290" s="9">
        <f t="shared" si="54"/>
        <v>0.66277372262773726</v>
      </c>
    </row>
    <row r="291" spans="1:48" x14ac:dyDescent="0.3">
      <c r="A291" s="23">
        <v>263</v>
      </c>
      <c r="B291" t="s">
        <v>42</v>
      </c>
      <c r="C291" s="1">
        <v>11222</v>
      </c>
      <c r="D291" t="s">
        <v>54</v>
      </c>
      <c r="E291" t="s">
        <v>195</v>
      </c>
      <c r="F291" t="s">
        <v>196</v>
      </c>
      <c r="G291" s="2">
        <v>1960</v>
      </c>
      <c r="H291" s="2" t="s">
        <v>63</v>
      </c>
      <c r="I291" s="2" t="str">
        <f t="shared" si="55"/>
        <v>1950-1980</v>
      </c>
      <c r="J291" s="2">
        <v>44</v>
      </c>
      <c r="K291" s="2">
        <f t="shared" si="53"/>
        <v>40</v>
      </c>
      <c r="L291" s="2">
        <v>168</v>
      </c>
      <c r="M291" s="2">
        <v>124</v>
      </c>
      <c r="N291" s="2">
        <v>4</v>
      </c>
      <c r="O291" s="2">
        <v>0</v>
      </c>
      <c r="P291" s="2">
        <v>3</v>
      </c>
      <c r="Q291" s="2">
        <v>1</v>
      </c>
      <c r="R291" s="2">
        <v>15.3</v>
      </c>
      <c r="S291" s="2">
        <v>15.5</v>
      </c>
      <c r="T291" s="2">
        <v>11.5</v>
      </c>
      <c r="U291" s="2">
        <v>50.1</v>
      </c>
      <c r="V291" s="1">
        <v>606</v>
      </c>
      <c r="W291" s="2">
        <v>1561.2</v>
      </c>
      <c r="X291" s="2">
        <v>0</v>
      </c>
      <c r="Y291" s="1">
        <v>1561</v>
      </c>
      <c r="Z291" s="2" t="s">
        <v>47</v>
      </c>
      <c r="AA291" s="2">
        <v>4</v>
      </c>
      <c r="AB291" s="2">
        <v>0</v>
      </c>
      <c r="AD291" s="3" t="s">
        <v>58</v>
      </c>
      <c r="AE291" s="3" t="s">
        <v>115</v>
      </c>
      <c r="AF291" s="3" t="s">
        <v>83</v>
      </c>
      <c r="AG291" s="3" t="s">
        <v>67</v>
      </c>
      <c r="AH291" s="3" t="s">
        <v>75</v>
      </c>
      <c r="AI291" s="2">
        <v>0</v>
      </c>
      <c r="AJ291" s="2">
        <v>1</v>
      </c>
      <c r="AK291" s="2">
        <v>0</v>
      </c>
      <c r="AL291" s="2">
        <v>0</v>
      </c>
      <c r="AM291" s="2">
        <v>0</v>
      </c>
      <c r="AN291" s="2">
        <v>1</v>
      </c>
      <c r="AO291" s="2" t="s">
        <v>61</v>
      </c>
      <c r="AP291" s="1">
        <f>964.6</f>
        <v>964.6</v>
      </c>
      <c r="AQ291" s="1">
        <f>149.5+147.8+16.8*2</f>
        <v>330.90000000000003</v>
      </c>
      <c r="AR291" s="4">
        <f t="shared" si="59"/>
        <v>0.25542261675028949</v>
      </c>
      <c r="AS291" s="18">
        <f t="shared" si="61"/>
        <v>249.76</v>
      </c>
      <c r="AT291">
        <f t="shared" si="58"/>
        <v>0.75478996675732835</v>
      </c>
      <c r="AU291">
        <f t="shared" si="60"/>
        <v>281.48</v>
      </c>
      <c r="AV291" s="9">
        <f t="shared" si="54"/>
        <v>0.85064974312481112</v>
      </c>
    </row>
    <row r="292" spans="1:48" x14ac:dyDescent="0.3">
      <c r="A292" s="23">
        <v>84</v>
      </c>
      <c r="B292" t="s">
        <v>42</v>
      </c>
      <c r="C292" s="1">
        <v>11222</v>
      </c>
      <c r="D292" t="s">
        <v>54</v>
      </c>
      <c r="E292" t="s">
        <v>195</v>
      </c>
      <c r="F292" t="s">
        <v>196</v>
      </c>
      <c r="G292" s="2">
        <v>1959</v>
      </c>
      <c r="H292" s="2" t="s">
        <v>63</v>
      </c>
      <c r="I292" s="2" t="str">
        <f t="shared" si="55"/>
        <v>1950-1980</v>
      </c>
      <c r="J292" s="2">
        <v>18</v>
      </c>
      <c r="K292" s="2">
        <f t="shared" si="53"/>
        <v>20</v>
      </c>
      <c r="L292" s="2">
        <v>78</v>
      </c>
      <c r="M292" s="2">
        <v>60</v>
      </c>
      <c r="N292" s="2">
        <v>3</v>
      </c>
      <c r="O292" s="2">
        <v>0</v>
      </c>
      <c r="P292" s="2">
        <v>2</v>
      </c>
      <c r="Q292" s="2">
        <v>1</v>
      </c>
      <c r="R292" s="2">
        <v>16.899999999999999</v>
      </c>
      <c r="S292" s="2">
        <v>17</v>
      </c>
      <c r="T292" s="2">
        <v>13.4</v>
      </c>
      <c r="U292" s="2">
        <v>36.700000000000003</v>
      </c>
      <c r="V292" s="1">
        <v>473</v>
      </c>
      <c r="W292" s="2">
        <v>1241.2</v>
      </c>
      <c r="X292" s="2">
        <v>319.5</v>
      </c>
      <c r="Y292" s="1">
        <v>921.7</v>
      </c>
      <c r="Z292" s="2" t="s">
        <v>47</v>
      </c>
      <c r="AA292" s="2">
        <v>6</v>
      </c>
      <c r="AB292" s="2">
        <v>2</v>
      </c>
      <c r="AD292" s="3" t="s">
        <v>197</v>
      </c>
      <c r="AE292" s="3" t="s">
        <v>66</v>
      </c>
      <c r="AF292" s="3" t="s">
        <v>50</v>
      </c>
      <c r="AG292" s="3" t="s">
        <v>51</v>
      </c>
      <c r="AH292" s="3" t="s">
        <v>75</v>
      </c>
      <c r="AI292" s="2">
        <v>0</v>
      </c>
      <c r="AJ292" s="2">
        <v>1</v>
      </c>
      <c r="AK292" s="2">
        <v>0</v>
      </c>
      <c r="AL292" s="2">
        <v>0</v>
      </c>
      <c r="AM292" s="2">
        <v>0</v>
      </c>
      <c r="AN292" s="2">
        <v>1</v>
      </c>
      <c r="AO292" s="2" t="s">
        <v>76</v>
      </c>
      <c r="AP292" s="1">
        <v>760</v>
      </c>
      <c r="AQ292" s="1">
        <f>176.6</f>
        <v>176.6</v>
      </c>
      <c r="AR292" s="4">
        <f t="shared" si="59"/>
        <v>0.18855434550501815</v>
      </c>
      <c r="AS292" s="18">
        <f t="shared" si="61"/>
        <v>147.47200000000001</v>
      </c>
      <c r="AT292">
        <f t="shared" si="58"/>
        <v>0.83506228765571922</v>
      </c>
      <c r="AU292">
        <f t="shared" si="60"/>
        <v>136.19999999999999</v>
      </c>
      <c r="AV292" s="9">
        <f t="shared" si="54"/>
        <v>0.77123442808607012</v>
      </c>
    </row>
    <row r="293" spans="1:48" x14ac:dyDescent="0.3">
      <c r="A293" s="23">
        <v>283</v>
      </c>
      <c r="B293" t="s">
        <v>42</v>
      </c>
      <c r="C293" s="1">
        <v>12311</v>
      </c>
      <c r="D293" t="s">
        <v>54</v>
      </c>
      <c r="E293" t="s">
        <v>195</v>
      </c>
      <c r="F293" t="s">
        <v>196</v>
      </c>
      <c r="G293" s="2">
        <v>1962</v>
      </c>
      <c r="H293" s="2" t="s">
        <v>57</v>
      </c>
      <c r="I293" s="2" t="str">
        <f t="shared" si="55"/>
        <v>1950-1980</v>
      </c>
      <c r="J293" s="2">
        <v>18</v>
      </c>
      <c r="K293" s="2">
        <f>MROUND(J293,10)</f>
        <v>20</v>
      </c>
      <c r="L293" s="2">
        <v>60</v>
      </c>
      <c r="M293" s="2">
        <v>42</v>
      </c>
      <c r="N293" s="2">
        <v>3</v>
      </c>
      <c r="O293" s="2">
        <v>0</v>
      </c>
      <c r="P293" s="2">
        <v>1</v>
      </c>
      <c r="Q293" s="2">
        <v>1</v>
      </c>
      <c r="R293" s="2">
        <v>15</v>
      </c>
      <c r="S293" s="2">
        <v>15</v>
      </c>
      <c r="T293" s="2">
        <v>13.5</v>
      </c>
      <c r="U293" s="2">
        <v>36.799999999999997</v>
      </c>
      <c r="V293" s="1">
        <v>477</v>
      </c>
      <c r="W293" s="2">
        <v>1268.4000000000001</v>
      </c>
      <c r="X293" s="2">
        <v>259</v>
      </c>
      <c r="Y293" s="1">
        <v>1246</v>
      </c>
      <c r="Z293" s="2" t="s">
        <v>47</v>
      </c>
      <c r="AA293" s="2">
        <v>6</v>
      </c>
      <c r="AB293" s="2">
        <v>2</v>
      </c>
      <c r="AD293" s="3" t="s">
        <v>58</v>
      </c>
      <c r="AE293" s="3" t="s">
        <v>58</v>
      </c>
      <c r="AF293" s="3" t="s">
        <v>50</v>
      </c>
      <c r="AG293" s="3" t="s">
        <v>51</v>
      </c>
      <c r="AH293" s="3" t="s">
        <v>393</v>
      </c>
      <c r="AI293" s="2">
        <v>0</v>
      </c>
      <c r="AJ293" s="2">
        <v>1</v>
      </c>
      <c r="AK293" s="2">
        <v>0</v>
      </c>
      <c r="AL293" s="2">
        <v>0</v>
      </c>
      <c r="AM293" s="2">
        <v>0</v>
      </c>
      <c r="AN293" s="2">
        <v>1</v>
      </c>
      <c r="AO293" s="2" t="s">
        <v>123</v>
      </c>
      <c r="AR293" s="4"/>
      <c r="AS293" s="18" t="str">
        <f t="shared" si="61"/>
        <v/>
      </c>
      <c r="AT293" t="str">
        <f t="shared" si="58"/>
        <v/>
      </c>
      <c r="AU293" t="str">
        <f>IF(AQ293&lt;&gt;"",2.3*M293,"")</f>
        <v/>
      </c>
      <c r="AV293" s="9" t="str">
        <f t="shared" si="54"/>
        <v/>
      </c>
    </row>
    <row r="294" spans="1:48" x14ac:dyDescent="0.3">
      <c r="A294" s="23">
        <v>250</v>
      </c>
      <c r="B294" t="s">
        <v>42</v>
      </c>
      <c r="C294" s="1">
        <v>11222</v>
      </c>
      <c r="D294" t="s">
        <v>54</v>
      </c>
      <c r="E294" t="s">
        <v>195</v>
      </c>
      <c r="F294" t="s">
        <v>196</v>
      </c>
      <c r="G294" s="2">
        <v>1962</v>
      </c>
      <c r="H294" s="2" t="s">
        <v>57</v>
      </c>
      <c r="I294" s="2" t="str">
        <f t="shared" si="55"/>
        <v>1950-1980</v>
      </c>
      <c r="J294" s="2">
        <v>32</v>
      </c>
      <c r="K294" s="2">
        <f t="shared" si="53"/>
        <v>30</v>
      </c>
      <c r="L294" s="2">
        <v>121</v>
      </c>
      <c r="M294" s="2">
        <v>89</v>
      </c>
      <c r="N294" s="2">
        <v>4</v>
      </c>
      <c r="O294" s="2">
        <v>0</v>
      </c>
      <c r="P294" s="2">
        <v>2</v>
      </c>
      <c r="Q294" s="2">
        <v>1</v>
      </c>
      <c r="R294" s="2">
        <v>16</v>
      </c>
      <c r="S294" s="2">
        <v>16</v>
      </c>
      <c r="V294" s="1">
        <v>396</v>
      </c>
      <c r="W294" s="2">
        <v>1101.3</v>
      </c>
      <c r="X294" s="2">
        <v>0</v>
      </c>
      <c r="Y294" s="1">
        <v>1088</v>
      </c>
      <c r="Z294" s="2" t="s">
        <v>47</v>
      </c>
      <c r="AA294" s="2">
        <v>4</v>
      </c>
      <c r="AB294" s="2">
        <v>0</v>
      </c>
      <c r="AD294" s="3" t="s">
        <v>58</v>
      </c>
      <c r="AE294" s="3" t="s">
        <v>58</v>
      </c>
      <c r="AF294" s="3" t="s">
        <v>50</v>
      </c>
      <c r="AG294" s="3" t="s">
        <v>51</v>
      </c>
      <c r="AH294" s="3" t="s">
        <v>75</v>
      </c>
      <c r="AI294" s="2">
        <v>0</v>
      </c>
      <c r="AJ294" s="2">
        <v>1</v>
      </c>
      <c r="AK294" s="2">
        <v>0</v>
      </c>
      <c r="AL294" s="2">
        <v>0</v>
      </c>
      <c r="AM294" s="2">
        <v>0</v>
      </c>
      <c r="AN294" s="2">
        <v>1</v>
      </c>
      <c r="AO294" s="2" t="s">
        <v>84</v>
      </c>
      <c r="AP294" s="1">
        <v>752</v>
      </c>
      <c r="AQ294" s="1">
        <f>118.3+142.7</f>
        <v>261</v>
      </c>
      <c r="AR294" s="4">
        <f t="shared" ref="AR294:AR308" si="62">AQ294/(AP294+AQ294)</f>
        <v>0.25765054294175715</v>
      </c>
      <c r="AS294" s="18">
        <f t="shared" si="61"/>
        <v>174.08</v>
      </c>
      <c r="AT294">
        <f t="shared" si="58"/>
        <v>0.66697318007662842</v>
      </c>
      <c r="AU294">
        <f t="shared" ref="AU294:AU308" si="63">IF(AQ294&lt;&gt;"",2.27*M294,"")</f>
        <v>202.03</v>
      </c>
      <c r="AV294" s="9">
        <f t="shared" si="54"/>
        <v>0.77406130268199236</v>
      </c>
    </row>
    <row r="295" spans="1:48" x14ac:dyDescent="0.3">
      <c r="A295" s="23">
        <v>277</v>
      </c>
      <c r="B295" t="s">
        <v>42</v>
      </c>
      <c r="C295" s="1">
        <v>11222</v>
      </c>
      <c r="D295" t="s">
        <v>54</v>
      </c>
      <c r="E295" t="s">
        <v>195</v>
      </c>
      <c r="F295" t="s">
        <v>196</v>
      </c>
      <c r="G295" s="2">
        <v>1959</v>
      </c>
      <c r="H295" s="2" t="s">
        <v>63</v>
      </c>
      <c r="I295" s="2" t="str">
        <f t="shared" si="55"/>
        <v>1950-1980</v>
      </c>
      <c r="J295" s="2">
        <v>33</v>
      </c>
      <c r="K295" s="2">
        <f t="shared" si="53"/>
        <v>30</v>
      </c>
      <c r="L295" s="2">
        <v>93</v>
      </c>
      <c r="M295" s="2">
        <v>60</v>
      </c>
      <c r="N295" s="2">
        <v>3</v>
      </c>
      <c r="O295" s="2">
        <v>0</v>
      </c>
      <c r="P295" s="2">
        <v>3</v>
      </c>
      <c r="Q295" s="2">
        <v>1</v>
      </c>
      <c r="R295" s="2">
        <v>13.4</v>
      </c>
      <c r="S295" s="2">
        <v>13.5</v>
      </c>
      <c r="T295" s="2">
        <v>11.5</v>
      </c>
      <c r="U295" s="2">
        <v>49.9</v>
      </c>
      <c r="V295" s="1">
        <v>582</v>
      </c>
      <c r="W295" s="2">
        <v>1551</v>
      </c>
      <c r="X295" s="2">
        <v>403</v>
      </c>
      <c r="Y295" s="1">
        <v>1148</v>
      </c>
      <c r="Z295" s="2" t="s">
        <v>47</v>
      </c>
      <c r="AA295" s="2">
        <v>4</v>
      </c>
      <c r="AB295" s="2">
        <v>0</v>
      </c>
      <c r="AD295" s="3" t="s">
        <v>91</v>
      </c>
      <c r="AE295" s="3" t="s">
        <v>58</v>
      </c>
      <c r="AF295" s="3" t="s">
        <v>50</v>
      </c>
      <c r="AG295" s="3" t="s">
        <v>51</v>
      </c>
      <c r="AH295" s="3" t="s">
        <v>75</v>
      </c>
      <c r="AI295" s="2">
        <v>0</v>
      </c>
      <c r="AJ295" s="2">
        <v>1</v>
      </c>
      <c r="AK295" s="2">
        <v>0</v>
      </c>
      <c r="AL295" s="2">
        <v>0</v>
      </c>
      <c r="AM295" s="2">
        <v>0</v>
      </c>
      <c r="AN295" s="2">
        <v>1</v>
      </c>
      <c r="AO295" s="2" t="s">
        <v>76</v>
      </c>
      <c r="AP295" s="1">
        <f>665</f>
        <v>665</v>
      </c>
      <c r="AQ295" s="1">
        <f>13.5+107+110.7+9+4.5+12.2+27.5</f>
        <v>284.39999999999998</v>
      </c>
      <c r="AR295" s="4">
        <f t="shared" si="62"/>
        <v>0.29955761533600167</v>
      </c>
      <c r="AS295" s="18">
        <f t="shared" si="61"/>
        <v>183.68</v>
      </c>
      <c r="AT295">
        <f t="shared" si="58"/>
        <v>0.64585091420534468</v>
      </c>
      <c r="AU295">
        <f t="shared" si="63"/>
        <v>136.19999999999999</v>
      </c>
      <c r="AV295" s="9">
        <f t="shared" si="54"/>
        <v>0.47890295358649787</v>
      </c>
    </row>
    <row r="296" spans="1:48" x14ac:dyDescent="0.3">
      <c r="A296" s="23">
        <v>286</v>
      </c>
      <c r="B296" t="s">
        <v>42</v>
      </c>
      <c r="C296" s="1">
        <v>11222</v>
      </c>
      <c r="D296" t="s">
        <v>54</v>
      </c>
      <c r="E296" t="s">
        <v>195</v>
      </c>
      <c r="F296" t="s">
        <v>196</v>
      </c>
      <c r="G296" s="2">
        <v>1966</v>
      </c>
      <c r="H296" s="2" t="s">
        <v>57</v>
      </c>
      <c r="I296" s="2" t="str">
        <f t="shared" si="55"/>
        <v>1950-1980</v>
      </c>
      <c r="J296" s="2">
        <v>64</v>
      </c>
      <c r="K296" s="2">
        <f t="shared" si="53"/>
        <v>60</v>
      </c>
      <c r="L296" s="2">
        <v>208</v>
      </c>
      <c r="M296" s="2">
        <v>144</v>
      </c>
      <c r="N296" s="2">
        <v>4</v>
      </c>
      <c r="O296" s="2">
        <v>0</v>
      </c>
      <c r="P296" s="2">
        <v>4</v>
      </c>
      <c r="Q296" s="2">
        <v>1</v>
      </c>
      <c r="R296" s="2">
        <v>15.3</v>
      </c>
      <c r="S296" s="2">
        <v>15.5</v>
      </c>
      <c r="T296" s="2">
        <v>11.1</v>
      </c>
      <c r="U296" s="2">
        <v>81.3</v>
      </c>
      <c r="V296" s="1">
        <v>964</v>
      </c>
      <c r="W296" s="2">
        <v>3406</v>
      </c>
      <c r="X296" s="2">
        <v>737.2</v>
      </c>
      <c r="Y296" s="1">
        <v>2751.5</v>
      </c>
      <c r="Z296" s="2" t="s">
        <v>47</v>
      </c>
      <c r="AA296" s="2">
        <v>4</v>
      </c>
      <c r="AB296" s="2">
        <v>0</v>
      </c>
      <c r="AC296" s="2">
        <v>0</v>
      </c>
      <c r="AD296" s="3" t="s">
        <v>91</v>
      </c>
      <c r="AE296" s="3" t="s">
        <v>115</v>
      </c>
      <c r="AF296" s="3" t="s">
        <v>50</v>
      </c>
      <c r="AG296" s="3" t="s">
        <v>51</v>
      </c>
      <c r="AH296" s="3" t="s">
        <v>177</v>
      </c>
      <c r="AI296" s="2">
        <v>0</v>
      </c>
      <c r="AJ296" s="2">
        <v>1</v>
      </c>
      <c r="AK296" s="2">
        <v>0</v>
      </c>
      <c r="AL296" s="2">
        <v>0</v>
      </c>
      <c r="AM296" s="2">
        <v>0</v>
      </c>
      <c r="AN296" s="2">
        <v>1</v>
      </c>
      <c r="AO296" s="2" t="s">
        <v>76</v>
      </c>
      <c r="AP296" s="1">
        <f>1320.1</f>
        <v>1320.1</v>
      </c>
      <c r="AQ296" s="1">
        <f>61.6+41+7.8+15.6+212.7+186.8+7.8</f>
        <v>533.29999999999995</v>
      </c>
      <c r="AR296" s="4">
        <f t="shared" si="62"/>
        <v>0.28774144814934716</v>
      </c>
      <c r="AS296" s="18">
        <f t="shared" si="61"/>
        <v>440.24</v>
      </c>
      <c r="AT296">
        <f t="shared" si="58"/>
        <v>0.82550159384961563</v>
      </c>
      <c r="AU296">
        <f t="shared" si="63"/>
        <v>326.88</v>
      </c>
      <c r="AV296" s="9">
        <f t="shared" si="54"/>
        <v>0.61293830864429033</v>
      </c>
    </row>
    <row r="297" spans="1:48" x14ac:dyDescent="0.3">
      <c r="A297" s="23">
        <v>35</v>
      </c>
      <c r="B297" t="s">
        <v>42</v>
      </c>
      <c r="C297" s="1">
        <v>11222</v>
      </c>
      <c r="D297" t="s">
        <v>54</v>
      </c>
      <c r="E297" t="s">
        <v>55</v>
      </c>
      <c r="F297" t="s">
        <v>56</v>
      </c>
      <c r="G297" s="2">
        <v>1969</v>
      </c>
      <c r="H297" s="2" t="s">
        <v>57</v>
      </c>
      <c r="I297" s="2" t="str">
        <f t="shared" si="55"/>
        <v>1950-1980</v>
      </c>
      <c r="J297" s="2">
        <v>8</v>
      </c>
      <c r="K297" s="2">
        <f t="shared" si="53"/>
        <v>10</v>
      </c>
      <c r="L297" s="2">
        <v>36</v>
      </c>
      <c r="M297" s="2">
        <v>28</v>
      </c>
      <c r="N297" s="2">
        <v>2</v>
      </c>
      <c r="O297" s="2">
        <v>0</v>
      </c>
      <c r="P297" s="2">
        <v>2</v>
      </c>
      <c r="Q297" s="2">
        <v>1</v>
      </c>
      <c r="R297" s="2">
        <v>12.8</v>
      </c>
      <c r="S297" s="2">
        <v>13</v>
      </c>
      <c r="T297" s="2">
        <v>13</v>
      </c>
      <c r="U297" s="2">
        <v>49.8</v>
      </c>
      <c r="V297" s="1">
        <v>270</v>
      </c>
      <c r="W297" s="2">
        <v>585.9</v>
      </c>
      <c r="X297" s="2">
        <v>205.8</v>
      </c>
      <c r="Y297" s="1">
        <v>380.1</v>
      </c>
      <c r="Z297" s="2" t="s">
        <v>47</v>
      </c>
      <c r="AA297" s="2">
        <v>6</v>
      </c>
      <c r="AB297" s="2">
        <v>4</v>
      </c>
      <c r="AD297" s="3" t="s">
        <v>58</v>
      </c>
      <c r="AE297" s="3" t="s">
        <v>49</v>
      </c>
      <c r="AF297" s="3" t="s">
        <v>59</v>
      </c>
      <c r="AG297" s="3" t="s">
        <v>60</v>
      </c>
      <c r="AH297" s="3" t="s">
        <v>52</v>
      </c>
      <c r="AI297" s="2">
        <v>0</v>
      </c>
      <c r="AJ297" s="2">
        <v>1</v>
      </c>
      <c r="AK297" s="2">
        <v>0</v>
      </c>
      <c r="AL297" s="2">
        <v>0</v>
      </c>
      <c r="AM297" s="2">
        <v>0</v>
      </c>
      <c r="AN297" s="2">
        <v>0</v>
      </c>
      <c r="AO297" s="2" t="s">
        <v>61</v>
      </c>
      <c r="AP297" s="1">
        <f>275</f>
        <v>275</v>
      </c>
      <c r="AQ297" s="1">
        <f>7+35+40</f>
        <v>82</v>
      </c>
      <c r="AR297" s="4">
        <f t="shared" si="62"/>
        <v>0.22969187675070027</v>
      </c>
      <c r="AS297" s="18">
        <f t="shared" si="61"/>
        <v>60.816000000000003</v>
      </c>
      <c r="AT297">
        <f t="shared" si="58"/>
        <v>0.74165853658536585</v>
      </c>
      <c r="AU297">
        <f t="shared" si="63"/>
        <v>63.56</v>
      </c>
      <c r="AV297" s="9">
        <f t="shared" si="54"/>
        <v>0.77512195121951222</v>
      </c>
    </row>
    <row r="298" spans="1:48" x14ac:dyDescent="0.3">
      <c r="A298" s="23">
        <v>298</v>
      </c>
      <c r="B298" t="s">
        <v>42</v>
      </c>
      <c r="C298" s="1">
        <v>11222</v>
      </c>
      <c r="D298" t="s">
        <v>132</v>
      </c>
      <c r="E298" t="s">
        <v>247</v>
      </c>
      <c r="F298" t="s">
        <v>264</v>
      </c>
      <c r="G298" s="2">
        <v>1982</v>
      </c>
      <c r="H298" s="2" t="s">
        <v>131</v>
      </c>
      <c r="I298" s="2" t="str">
        <f t="shared" si="55"/>
        <v>&gt;1980</v>
      </c>
      <c r="J298" s="2">
        <v>24</v>
      </c>
      <c r="K298" s="2">
        <f t="shared" si="53"/>
        <v>20</v>
      </c>
      <c r="L298" s="2">
        <v>120</v>
      </c>
      <c r="M298" s="2">
        <v>96</v>
      </c>
      <c r="N298" s="2">
        <v>3</v>
      </c>
      <c r="O298" s="2">
        <v>0</v>
      </c>
      <c r="P298" s="2">
        <v>4</v>
      </c>
      <c r="Q298" s="2">
        <v>1</v>
      </c>
      <c r="R298" s="2">
        <v>10.1</v>
      </c>
      <c r="S298" s="2">
        <v>10</v>
      </c>
      <c r="V298" s="1">
        <v>661</v>
      </c>
      <c r="W298" s="2">
        <v>1977.4</v>
      </c>
      <c r="X298" s="2">
        <v>557.79999999999995</v>
      </c>
      <c r="Y298" s="1">
        <v>1601</v>
      </c>
      <c r="Z298" s="2" t="s">
        <v>47</v>
      </c>
      <c r="AA298" s="2">
        <v>6</v>
      </c>
      <c r="AB298" s="2">
        <v>2</v>
      </c>
      <c r="AD298" s="3" t="s">
        <v>58</v>
      </c>
      <c r="AE298" s="3" t="s">
        <v>58</v>
      </c>
      <c r="AF298" s="3" t="s">
        <v>50</v>
      </c>
      <c r="AG298" s="3" t="s">
        <v>74</v>
      </c>
      <c r="AH298" s="3" t="s">
        <v>75</v>
      </c>
      <c r="AI298" s="2">
        <v>1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 t="s">
        <v>84</v>
      </c>
      <c r="AP298" s="1">
        <f>1088</f>
        <v>1088</v>
      </c>
      <c r="AQ298" s="1">
        <f>125+87</f>
        <v>212</v>
      </c>
      <c r="AR298" s="4">
        <f t="shared" si="62"/>
        <v>0.16307692307692306</v>
      </c>
      <c r="AS298" s="18">
        <f t="shared" si="61"/>
        <v>256.16000000000003</v>
      </c>
      <c r="AT298">
        <f t="shared" si="58"/>
        <v>1.2083018867924529</v>
      </c>
      <c r="AU298">
        <f t="shared" si="63"/>
        <v>217.92000000000002</v>
      </c>
      <c r="AV298" s="9">
        <f t="shared" si="54"/>
        <v>1.027924528301887</v>
      </c>
    </row>
    <row r="299" spans="1:48" x14ac:dyDescent="0.3">
      <c r="A299" s="23">
        <v>42</v>
      </c>
      <c r="B299" t="s">
        <v>42</v>
      </c>
      <c r="C299" s="1">
        <v>11222</v>
      </c>
      <c r="D299" t="s">
        <v>132</v>
      </c>
      <c r="E299" t="s">
        <v>133</v>
      </c>
      <c r="F299" t="s">
        <v>166</v>
      </c>
      <c r="G299" s="2">
        <v>1980</v>
      </c>
      <c r="H299" s="2" t="s">
        <v>69</v>
      </c>
      <c r="I299" s="2" t="str">
        <f t="shared" si="55"/>
        <v>1950-1980</v>
      </c>
      <c r="J299" s="2">
        <v>25</v>
      </c>
      <c r="K299" s="2">
        <f t="shared" si="53"/>
        <v>30</v>
      </c>
      <c r="L299" s="2">
        <v>126</v>
      </c>
      <c r="M299" s="2">
        <v>101</v>
      </c>
      <c r="N299" s="2">
        <v>3</v>
      </c>
      <c r="O299" s="2">
        <v>0</v>
      </c>
      <c r="P299" s="2">
        <v>5</v>
      </c>
      <c r="Q299" s="2">
        <v>1</v>
      </c>
      <c r="R299" s="2">
        <v>9.8000000000000007</v>
      </c>
      <c r="S299" s="2">
        <v>10</v>
      </c>
      <c r="T299" s="2">
        <v>47.3</v>
      </c>
      <c r="U299" s="2">
        <v>54.3</v>
      </c>
      <c r="V299" s="1">
        <v>879</v>
      </c>
      <c r="W299" s="2">
        <v>1940.7</v>
      </c>
      <c r="X299" s="2">
        <v>433.3</v>
      </c>
      <c r="Y299" s="1">
        <v>1662.2</v>
      </c>
      <c r="Z299" s="2" t="s">
        <v>47</v>
      </c>
      <c r="AA299" s="2">
        <v>10</v>
      </c>
      <c r="AB299" s="2">
        <v>6</v>
      </c>
      <c r="AD299" s="3" t="s">
        <v>219</v>
      </c>
      <c r="AE299" s="3" t="s">
        <v>115</v>
      </c>
      <c r="AF299" s="3" t="s">
        <v>273</v>
      </c>
      <c r="AG299" s="3" t="s">
        <v>74</v>
      </c>
      <c r="AH299" s="3" t="s">
        <v>75</v>
      </c>
      <c r="AI299" s="2">
        <v>1</v>
      </c>
      <c r="AJ299" s="2">
        <v>0</v>
      </c>
      <c r="AK299" s="2">
        <v>0</v>
      </c>
      <c r="AL299" s="2">
        <v>1</v>
      </c>
      <c r="AM299" s="2">
        <v>0</v>
      </c>
      <c r="AN299" s="2">
        <v>1</v>
      </c>
      <c r="AO299" s="2" t="s">
        <v>61</v>
      </c>
      <c r="AP299" s="1">
        <f>656.4+349.5+212.2</f>
        <v>1218.0999999999999</v>
      </c>
      <c r="AQ299" s="1">
        <f>70.3+66.7+102.4+25</f>
        <v>264.39999999999998</v>
      </c>
      <c r="AR299" s="4">
        <f t="shared" si="62"/>
        <v>0.17834738617200674</v>
      </c>
      <c r="AS299" s="18">
        <f t="shared" si="61"/>
        <v>265.952</v>
      </c>
      <c r="AT299">
        <f t="shared" si="58"/>
        <v>1.0058698940998487</v>
      </c>
      <c r="AU299">
        <f t="shared" si="63"/>
        <v>229.27</v>
      </c>
      <c r="AV299" s="9">
        <f t="shared" si="54"/>
        <v>0.8671331316187596</v>
      </c>
    </row>
    <row r="300" spans="1:48" x14ac:dyDescent="0.3">
      <c r="A300" s="23">
        <v>257</v>
      </c>
      <c r="B300" t="s">
        <v>42</v>
      </c>
      <c r="C300" s="1">
        <v>11222</v>
      </c>
      <c r="D300" t="s">
        <v>132</v>
      </c>
      <c r="E300" t="s">
        <v>133</v>
      </c>
      <c r="F300" t="s">
        <v>166</v>
      </c>
      <c r="G300" s="2">
        <v>1990</v>
      </c>
      <c r="H300" s="2" t="s">
        <v>131</v>
      </c>
      <c r="I300" s="2" t="str">
        <f t="shared" si="55"/>
        <v>&gt;1980</v>
      </c>
      <c r="J300" s="2">
        <v>15</v>
      </c>
      <c r="K300" s="2">
        <f t="shared" si="53"/>
        <v>20</v>
      </c>
      <c r="L300" s="2">
        <v>79</v>
      </c>
      <c r="M300" s="2">
        <v>64</v>
      </c>
      <c r="N300" s="2">
        <v>5</v>
      </c>
      <c r="O300" s="2">
        <v>0</v>
      </c>
      <c r="P300" s="2">
        <v>1</v>
      </c>
      <c r="Q300" s="2">
        <v>0</v>
      </c>
      <c r="R300" s="2">
        <v>17.5</v>
      </c>
      <c r="S300" s="2">
        <v>17.5</v>
      </c>
      <c r="V300" s="1">
        <v>228</v>
      </c>
      <c r="W300" s="2">
        <v>1316.6</v>
      </c>
      <c r="X300" s="2">
        <v>315.39999999999998</v>
      </c>
      <c r="Y300" s="1">
        <v>1122.3</v>
      </c>
      <c r="Z300" s="2" t="s">
        <v>47</v>
      </c>
      <c r="AA300" s="2">
        <v>10</v>
      </c>
      <c r="AB300" s="2">
        <v>6</v>
      </c>
      <c r="AD300" s="3" t="s">
        <v>58</v>
      </c>
      <c r="AE300" s="3" t="s">
        <v>49</v>
      </c>
      <c r="AF300" s="3" t="s">
        <v>50</v>
      </c>
      <c r="AG300" s="3" t="s">
        <v>74</v>
      </c>
      <c r="AH300" s="3" t="s">
        <v>75</v>
      </c>
      <c r="AI300" s="2">
        <v>1</v>
      </c>
      <c r="AJ300" s="2">
        <v>0</v>
      </c>
      <c r="AK300" s="2">
        <v>0</v>
      </c>
      <c r="AL300" s="2">
        <v>1</v>
      </c>
      <c r="AM300" s="2">
        <v>0</v>
      </c>
      <c r="AN300" s="2">
        <v>0</v>
      </c>
      <c r="AO300" s="2" t="s">
        <v>76</v>
      </c>
      <c r="AP300" s="1">
        <v>1010</v>
      </c>
      <c r="AQ300" s="1">
        <f>16+46+71+22</f>
        <v>155</v>
      </c>
      <c r="AR300" s="4">
        <f t="shared" si="62"/>
        <v>0.13304721030042918</v>
      </c>
      <c r="AS300" s="18">
        <f t="shared" si="61"/>
        <v>179.56799999999998</v>
      </c>
      <c r="AT300">
        <f t="shared" si="58"/>
        <v>1.1585032258064516</v>
      </c>
      <c r="AU300">
        <f t="shared" si="63"/>
        <v>145.28</v>
      </c>
      <c r="AV300" s="9">
        <f t="shared" si="54"/>
        <v>0.93729032258064515</v>
      </c>
    </row>
    <row r="301" spans="1:48" x14ac:dyDescent="0.3">
      <c r="A301" s="23">
        <v>295</v>
      </c>
      <c r="B301" t="s">
        <v>42</v>
      </c>
      <c r="C301" s="1">
        <v>11222</v>
      </c>
      <c r="D301" t="s">
        <v>132</v>
      </c>
      <c r="E301" t="s">
        <v>133</v>
      </c>
      <c r="F301" t="s">
        <v>166</v>
      </c>
      <c r="G301" s="2">
        <v>1971</v>
      </c>
      <c r="H301" s="2" t="s">
        <v>69</v>
      </c>
      <c r="I301" s="2" t="str">
        <f t="shared" si="55"/>
        <v>1950-1980</v>
      </c>
      <c r="J301" s="2">
        <v>18</v>
      </c>
      <c r="K301" s="2">
        <f t="shared" si="53"/>
        <v>20</v>
      </c>
      <c r="L301" s="2">
        <v>72</v>
      </c>
      <c r="M301" s="2">
        <v>54</v>
      </c>
      <c r="N301" s="2">
        <v>3</v>
      </c>
      <c r="O301" s="2">
        <v>0</v>
      </c>
      <c r="P301" s="2">
        <v>2</v>
      </c>
      <c r="Q301" s="2">
        <v>1</v>
      </c>
      <c r="R301" s="2">
        <v>12</v>
      </c>
      <c r="S301" s="2">
        <v>12</v>
      </c>
      <c r="T301" s="2">
        <v>11.1</v>
      </c>
      <c r="U301" s="2">
        <v>33.799999999999997</v>
      </c>
      <c r="V301" s="1">
        <v>361</v>
      </c>
      <c r="W301" s="2">
        <v>1072.3</v>
      </c>
      <c r="X301" s="2">
        <v>300.5</v>
      </c>
      <c r="Y301" s="1">
        <v>802</v>
      </c>
      <c r="Z301" s="2" t="s">
        <v>47</v>
      </c>
      <c r="AA301" s="2">
        <v>4</v>
      </c>
      <c r="AB301" s="2">
        <v>0</v>
      </c>
      <c r="AC301" s="2">
        <v>2</v>
      </c>
      <c r="AD301" s="3" t="s">
        <v>58</v>
      </c>
      <c r="AE301" s="3" t="s">
        <v>49</v>
      </c>
      <c r="AF301" s="3" t="s">
        <v>59</v>
      </c>
      <c r="AG301" s="3" t="s">
        <v>74</v>
      </c>
      <c r="AH301" s="3" t="s">
        <v>75</v>
      </c>
      <c r="AI301" s="2">
        <v>0</v>
      </c>
      <c r="AJ301" s="2">
        <v>1</v>
      </c>
      <c r="AK301" s="2">
        <v>0</v>
      </c>
      <c r="AL301" s="2">
        <v>0</v>
      </c>
      <c r="AM301" s="2">
        <v>0</v>
      </c>
      <c r="AN301" s="2">
        <v>0</v>
      </c>
      <c r="AO301" s="2" t="s">
        <v>53</v>
      </c>
      <c r="AP301" s="1">
        <f>519.4+20</f>
        <v>539.4</v>
      </c>
      <c r="AQ301" s="1">
        <f>78.6+71.6</f>
        <v>150.19999999999999</v>
      </c>
      <c r="AR301" s="4">
        <f t="shared" si="62"/>
        <v>0.21780742459396754</v>
      </c>
      <c r="AS301" s="18">
        <f t="shared" si="61"/>
        <v>128.32</v>
      </c>
      <c r="AT301">
        <f t="shared" si="58"/>
        <v>0.85432756324900139</v>
      </c>
      <c r="AU301">
        <f t="shared" si="63"/>
        <v>122.58</v>
      </c>
      <c r="AV301" s="9">
        <f t="shared" si="54"/>
        <v>0.81611185086551274</v>
      </c>
    </row>
    <row r="302" spans="1:48" x14ac:dyDescent="0.3">
      <c r="A302" s="23">
        <v>9</v>
      </c>
      <c r="B302" t="s">
        <v>42</v>
      </c>
      <c r="C302" s="1">
        <v>11222</v>
      </c>
      <c r="D302" t="s">
        <v>77</v>
      </c>
      <c r="E302" t="s">
        <v>309</v>
      </c>
      <c r="F302" t="s">
        <v>310</v>
      </c>
      <c r="G302" s="2">
        <v>1975</v>
      </c>
      <c r="H302" s="2" t="s">
        <v>69</v>
      </c>
      <c r="I302" s="2" t="str">
        <f t="shared" si="55"/>
        <v>1950-1980</v>
      </c>
      <c r="J302" s="2">
        <v>36</v>
      </c>
      <c r="K302" s="2">
        <f t="shared" si="53"/>
        <v>40</v>
      </c>
      <c r="L302" s="2">
        <v>168</v>
      </c>
      <c r="M302" s="2">
        <v>132</v>
      </c>
      <c r="N302" s="2">
        <v>3</v>
      </c>
      <c r="O302" s="2">
        <v>0</v>
      </c>
      <c r="P302" s="2">
        <v>6</v>
      </c>
      <c r="Q302" s="2">
        <v>1</v>
      </c>
      <c r="R302" s="2">
        <v>10.199999999999999</v>
      </c>
      <c r="S302" s="2">
        <v>10</v>
      </c>
      <c r="V302" s="1">
        <v>941</v>
      </c>
      <c r="W302" s="2">
        <v>2815.4</v>
      </c>
      <c r="X302" s="2">
        <v>818.6</v>
      </c>
      <c r="Y302" s="1">
        <v>2235</v>
      </c>
      <c r="Z302" s="2" t="s">
        <v>47</v>
      </c>
      <c r="AA302" s="2">
        <v>8</v>
      </c>
      <c r="AB302" s="2">
        <v>4</v>
      </c>
      <c r="AC302" s="2">
        <v>0</v>
      </c>
      <c r="AD302" s="3" t="s">
        <v>58</v>
      </c>
      <c r="AE302" s="3" t="s">
        <v>66</v>
      </c>
      <c r="AF302" s="3" t="s">
        <v>50</v>
      </c>
      <c r="AG302" s="3" t="s">
        <v>74</v>
      </c>
      <c r="AH302" s="3" t="s">
        <v>75</v>
      </c>
      <c r="AI302" s="2">
        <v>1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 t="s">
        <v>84</v>
      </c>
      <c r="AP302" s="1">
        <f>1780</f>
        <v>1780</v>
      </c>
      <c r="AQ302" s="1">
        <f>61+106+148+82</f>
        <v>397</v>
      </c>
      <c r="AR302" s="4">
        <f t="shared" si="62"/>
        <v>0.1823610473128158</v>
      </c>
      <c r="AS302" s="18">
        <f t="shared" si="61"/>
        <v>357.6</v>
      </c>
      <c r="AT302">
        <f t="shared" si="58"/>
        <v>0.90075566750629732</v>
      </c>
      <c r="AU302">
        <f t="shared" si="63"/>
        <v>299.64</v>
      </c>
      <c r="AV302" s="9">
        <f t="shared" si="54"/>
        <v>0.75476070528967254</v>
      </c>
    </row>
    <row r="303" spans="1:48" x14ac:dyDescent="0.3">
      <c r="A303" s="23">
        <v>88</v>
      </c>
      <c r="B303" t="s">
        <v>42</v>
      </c>
      <c r="C303" s="1">
        <v>11222</v>
      </c>
      <c r="D303" t="s">
        <v>77</v>
      </c>
      <c r="E303" t="s">
        <v>78</v>
      </c>
      <c r="F303" t="s">
        <v>79</v>
      </c>
      <c r="G303" s="2">
        <v>1972</v>
      </c>
      <c r="H303" s="2" t="s">
        <v>69</v>
      </c>
      <c r="I303" s="2" t="str">
        <f t="shared" si="55"/>
        <v>1950-1980</v>
      </c>
      <c r="J303" s="2">
        <v>32</v>
      </c>
      <c r="K303" s="2">
        <f t="shared" si="53"/>
        <v>30</v>
      </c>
      <c r="L303" s="2">
        <v>143</v>
      </c>
      <c r="M303" s="2">
        <v>111</v>
      </c>
      <c r="N303" s="2">
        <v>4</v>
      </c>
      <c r="O303" s="2">
        <v>0</v>
      </c>
      <c r="P303" s="2">
        <v>4</v>
      </c>
      <c r="Q303" s="2">
        <v>1</v>
      </c>
      <c r="R303" s="2">
        <v>13</v>
      </c>
      <c r="S303" s="2">
        <v>13</v>
      </c>
      <c r="V303" s="1">
        <v>603</v>
      </c>
      <c r="W303" s="2">
        <v>2187.8000000000002</v>
      </c>
      <c r="X303" s="2">
        <v>526.9</v>
      </c>
      <c r="Y303" s="1">
        <v>1875</v>
      </c>
      <c r="Z303" s="2" t="s">
        <v>47</v>
      </c>
      <c r="AA303" s="2">
        <v>4</v>
      </c>
      <c r="AB303" s="2">
        <v>0</v>
      </c>
      <c r="AD303" s="3" t="s">
        <v>58</v>
      </c>
      <c r="AE303" s="3" t="s">
        <v>58</v>
      </c>
      <c r="AF303" s="3" t="s">
        <v>50</v>
      </c>
      <c r="AG303" s="3" t="s">
        <v>74</v>
      </c>
      <c r="AH303" s="3" t="s">
        <v>75</v>
      </c>
      <c r="AI303" s="2">
        <v>1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 t="s">
        <v>76</v>
      </c>
      <c r="AP303" s="1">
        <f>457.3</f>
        <v>457.3</v>
      </c>
      <c r="AQ303" s="17">
        <f>86.2+14.9+14.9+88.8</f>
        <v>204.8</v>
      </c>
      <c r="AR303" s="4">
        <f t="shared" si="62"/>
        <v>0.30931883401298899</v>
      </c>
      <c r="AS303" s="18">
        <f t="shared" si="61"/>
        <v>300</v>
      </c>
      <c r="AT303">
        <f t="shared" si="58"/>
        <v>1.46484375</v>
      </c>
      <c r="AU303">
        <f t="shared" si="63"/>
        <v>251.97</v>
      </c>
      <c r="AV303" s="9">
        <f t="shared" si="54"/>
        <v>1.2303222656249999</v>
      </c>
    </row>
    <row r="304" spans="1:48" x14ac:dyDescent="0.3">
      <c r="A304" s="23">
        <v>160</v>
      </c>
      <c r="B304" t="s">
        <v>42</v>
      </c>
      <c r="C304" s="1">
        <v>11222</v>
      </c>
      <c r="D304" t="s">
        <v>77</v>
      </c>
      <c r="E304" t="s">
        <v>78</v>
      </c>
      <c r="F304" t="s">
        <v>79</v>
      </c>
      <c r="G304" s="2">
        <v>1970</v>
      </c>
      <c r="H304" s="2" t="s">
        <v>57</v>
      </c>
      <c r="I304" s="2" t="str">
        <f t="shared" si="55"/>
        <v>1950-1980</v>
      </c>
      <c r="J304" s="2">
        <v>12</v>
      </c>
      <c r="K304" s="2">
        <f t="shared" si="53"/>
        <v>10</v>
      </c>
      <c r="L304" s="2">
        <v>60</v>
      </c>
      <c r="M304" s="2">
        <v>48</v>
      </c>
      <c r="N304" s="2">
        <v>3</v>
      </c>
      <c r="O304" s="2">
        <v>0</v>
      </c>
      <c r="P304" s="2">
        <v>2</v>
      </c>
      <c r="Q304" s="2">
        <v>1</v>
      </c>
      <c r="R304" s="2">
        <v>10.199999999999999</v>
      </c>
      <c r="S304" s="2">
        <v>10</v>
      </c>
      <c r="T304" s="2">
        <v>9.1999999999999993</v>
      </c>
      <c r="U304" s="2">
        <v>33.5</v>
      </c>
      <c r="V304" s="1">
        <v>290</v>
      </c>
      <c r="W304" s="2">
        <v>902.2</v>
      </c>
      <c r="X304" s="2">
        <v>289.7</v>
      </c>
      <c r="Y304" s="1">
        <v>702</v>
      </c>
      <c r="Z304" s="2" t="s">
        <v>47</v>
      </c>
      <c r="AA304" s="2">
        <v>4</v>
      </c>
      <c r="AB304" s="2">
        <v>0</v>
      </c>
      <c r="AC304" s="2">
        <v>0</v>
      </c>
      <c r="AD304" s="3" t="s">
        <v>91</v>
      </c>
      <c r="AE304" s="3" t="s">
        <v>92</v>
      </c>
      <c r="AF304" s="3" t="s">
        <v>50</v>
      </c>
      <c r="AG304" s="3" t="s">
        <v>74</v>
      </c>
      <c r="AH304" s="3" t="s">
        <v>75</v>
      </c>
      <c r="AI304" s="2">
        <v>1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 t="s">
        <v>123</v>
      </c>
      <c r="AP304" s="1">
        <v>655.20000000000005</v>
      </c>
      <c r="AQ304" s="1">
        <f>67.4+13.8+50.9</f>
        <v>132.1</v>
      </c>
      <c r="AR304" s="4">
        <f t="shared" si="62"/>
        <v>0.16778864473517083</v>
      </c>
      <c r="AS304" s="18">
        <f t="shared" si="61"/>
        <v>112.32</v>
      </c>
      <c r="AT304">
        <f t="shared" si="58"/>
        <v>0.85026495079485231</v>
      </c>
      <c r="AU304">
        <f t="shared" si="63"/>
        <v>108.96000000000001</v>
      </c>
      <c r="AV304" s="9">
        <f t="shared" si="54"/>
        <v>0.82482967448902356</v>
      </c>
    </row>
    <row r="305" spans="1:48" x14ac:dyDescent="0.3">
      <c r="A305" s="23">
        <v>222</v>
      </c>
      <c r="B305" t="s">
        <v>42</v>
      </c>
      <c r="C305" s="1">
        <v>11222</v>
      </c>
      <c r="D305" t="s">
        <v>141</v>
      </c>
      <c r="E305" t="s">
        <v>142</v>
      </c>
      <c r="F305" t="s">
        <v>316</v>
      </c>
      <c r="G305" s="2">
        <v>1977</v>
      </c>
      <c r="H305" s="2" t="s">
        <v>69</v>
      </c>
      <c r="I305" s="2" t="str">
        <f t="shared" si="55"/>
        <v>1950-1980</v>
      </c>
      <c r="J305" s="2">
        <v>44</v>
      </c>
      <c r="K305" s="2">
        <f t="shared" si="53"/>
        <v>40</v>
      </c>
      <c r="L305" s="2">
        <v>176</v>
      </c>
      <c r="M305" s="2">
        <v>132</v>
      </c>
      <c r="N305" s="2">
        <v>5</v>
      </c>
      <c r="O305" s="2">
        <v>0</v>
      </c>
      <c r="P305" s="2">
        <v>3</v>
      </c>
      <c r="Q305" s="2">
        <v>1</v>
      </c>
      <c r="R305" s="2">
        <v>15.5</v>
      </c>
      <c r="S305" s="2">
        <v>15.5</v>
      </c>
      <c r="V305" s="1">
        <v>605</v>
      </c>
      <c r="W305" s="2">
        <v>2538.6</v>
      </c>
      <c r="X305" s="2">
        <v>546.6</v>
      </c>
      <c r="Y305" s="1">
        <v>2307</v>
      </c>
      <c r="Z305" s="2" t="s">
        <v>47</v>
      </c>
      <c r="AA305" s="2">
        <v>4</v>
      </c>
      <c r="AB305" s="2">
        <v>0</v>
      </c>
      <c r="AD305" s="3" t="s">
        <v>126</v>
      </c>
      <c r="AE305" s="3" t="s">
        <v>92</v>
      </c>
      <c r="AF305" s="3" t="s">
        <v>50</v>
      </c>
      <c r="AG305" s="3" t="s">
        <v>74</v>
      </c>
      <c r="AH305" s="3" t="s">
        <v>75</v>
      </c>
      <c r="AI305" s="2">
        <v>1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 t="s">
        <v>88</v>
      </c>
      <c r="AP305" s="1">
        <f>1205</f>
        <v>1205</v>
      </c>
      <c r="AQ305" s="1">
        <f>391</f>
        <v>391</v>
      </c>
      <c r="AR305" s="4">
        <f t="shared" si="62"/>
        <v>0.2449874686716792</v>
      </c>
      <c r="AS305" s="18">
        <f t="shared" si="61"/>
        <v>369.12</v>
      </c>
      <c r="AT305">
        <f t="shared" si="58"/>
        <v>0.94404092071611256</v>
      </c>
      <c r="AU305">
        <f t="shared" si="63"/>
        <v>299.64</v>
      </c>
      <c r="AV305" s="9">
        <f t="shared" si="54"/>
        <v>0.76634271099744244</v>
      </c>
    </row>
    <row r="306" spans="1:48" x14ac:dyDescent="0.3">
      <c r="A306" s="23">
        <v>126</v>
      </c>
      <c r="B306" t="s">
        <v>42</v>
      </c>
      <c r="C306" s="1">
        <v>11222</v>
      </c>
      <c r="D306" t="s">
        <v>141</v>
      </c>
      <c r="E306" t="s">
        <v>223</v>
      </c>
      <c r="F306" t="s">
        <v>223</v>
      </c>
      <c r="G306" s="2">
        <v>1974</v>
      </c>
      <c r="H306" s="2" t="s">
        <v>69</v>
      </c>
      <c r="I306" s="2" t="str">
        <f t="shared" si="55"/>
        <v>1950-1980</v>
      </c>
      <c r="J306" s="2">
        <v>24</v>
      </c>
      <c r="K306" s="2">
        <f t="shared" si="53"/>
        <v>20</v>
      </c>
      <c r="L306" s="2">
        <v>114</v>
      </c>
      <c r="M306" s="2">
        <v>90</v>
      </c>
      <c r="N306" s="2">
        <v>3</v>
      </c>
      <c r="O306" s="2">
        <v>0</v>
      </c>
      <c r="P306" s="2">
        <v>4</v>
      </c>
      <c r="Q306" s="2">
        <v>1</v>
      </c>
      <c r="R306" s="2">
        <v>10</v>
      </c>
      <c r="S306" s="2">
        <v>10</v>
      </c>
      <c r="V306" s="1">
        <v>558</v>
      </c>
      <c r="W306" s="2">
        <v>1648.7</v>
      </c>
      <c r="X306" s="2">
        <v>483.6</v>
      </c>
      <c r="Y306" s="1">
        <v>1322.6</v>
      </c>
      <c r="Z306" s="2" t="s">
        <v>47</v>
      </c>
      <c r="AA306" s="2">
        <v>4</v>
      </c>
      <c r="AB306" s="2">
        <v>0</v>
      </c>
      <c r="AD306" s="3" t="s">
        <v>58</v>
      </c>
      <c r="AE306" s="3" t="s">
        <v>49</v>
      </c>
      <c r="AF306" s="3" t="s">
        <v>50</v>
      </c>
      <c r="AG306" s="3" t="s">
        <v>74</v>
      </c>
      <c r="AH306" s="3" t="s">
        <v>75</v>
      </c>
      <c r="AI306" s="2">
        <v>1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 t="s">
        <v>76</v>
      </c>
      <c r="AP306" s="1">
        <f>929.7+119.5</f>
        <v>1049.2</v>
      </c>
      <c r="AQ306" s="1">
        <f>153+19.9+120.3</f>
        <v>293.2</v>
      </c>
      <c r="AR306" s="4">
        <f t="shared" si="62"/>
        <v>0.21841477949940402</v>
      </c>
      <c r="AS306" s="18">
        <f t="shared" si="61"/>
        <v>211.61599999999999</v>
      </c>
      <c r="AT306">
        <f t="shared" si="58"/>
        <v>0.72174624829467937</v>
      </c>
      <c r="AU306">
        <f t="shared" si="63"/>
        <v>204.3</v>
      </c>
      <c r="AV306" s="9">
        <f t="shared" si="54"/>
        <v>0.69679399727148705</v>
      </c>
    </row>
    <row r="307" spans="1:48" x14ac:dyDescent="0.3">
      <c r="A307" s="23">
        <v>377</v>
      </c>
      <c r="B307" t="s">
        <v>42</v>
      </c>
      <c r="C307" s="1">
        <v>12201</v>
      </c>
      <c r="D307" t="s">
        <v>141</v>
      </c>
      <c r="E307" t="s">
        <v>223</v>
      </c>
      <c r="F307" t="s">
        <v>223</v>
      </c>
      <c r="G307" s="2">
        <v>1990</v>
      </c>
      <c r="H307" s="2" t="s">
        <v>131</v>
      </c>
      <c r="I307" s="2" t="str">
        <f t="shared" si="55"/>
        <v>&gt;1980</v>
      </c>
      <c r="J307" s="2">
        <v>75</v>
      </c>
      <c r="K307" s="2">
        <f>MROUND(J307,10)</f>
        <v>80</v>
      </c>
      <c r="L307" s="2">
        <v>328</v>
      </c>
      <c r="M307" s="2">
        <v>253</v>
      </c>
      <c r="N307" s="2">
        <v>10</v>
      </c>
      <c r="O307" s="2">
        <v>2</v>
      </c>
      <c r="P307" s="2">
        <v>2</v>
      </c>
      <c r="Q307" s="2">
        <v>1</v>
      </c>
      <c r="R307" s="2">
        <v>31.7</v>
      </c>
      <c r="S307" s="2">
        <v>31.5</v>
      </c>
      <c r="T307" s="2">
        <v>17.5</v>
      </c>
      <c r="U307" s="2">
        <v>53.5</v>
      </c>
      <c r="V307" s="1">
        <v>804.7</v>
      </c>
      <c r="W307" s="2">
        <v>5641</v>
      </c>
      <c r="X307" s="2">
        <v>885.3</v>
      </c>
      <c r="Y307" s="1">
        <v>5095</v>
      </c>
      <c r="Z307" s="2" t="s">
        <v>47</v>
      </c>
      <c r="AA307" s="2">
        <v>12</v>
      </c>
      <c r="AB307" s="2">
        <v>8</v>
      </c>
      <c r="AD307" s="3" t="s">
        <v>58</v>
      </c>
      <c r="AE307" s="3" t="s">
        <v>235</v>
      </c>
      <c r="AF307" s="3" t="s">
        <v>59</v>
      </c>
      <c r="AG307" s="3" t="s">
        <v>74</v>
      </c>
      <c r="AH307" s="3" t="s">
        <v>75</v>
      </c>
      <c r="AI307" s="2">
        <v>1</v>
      </c>
      <c r="AJ307" s="2">
        <v>0</v>
      </c>
      <c r="AK307" s="2">
        <v>0</v>
      </c>
      <c r="AL307" s="2">
        <v>1</v>
      </c>
      <c r="AM307" s="2">
        <v>0</v>
      </c>
      <c r="AN307" s="2">
        <v>1</v>
      </c>
      <c r="AO307" s="2" t="s">
        <v>123</v>
      </c>
      <c r="AP307" s="1">
        <f>2012+416</f>
        <v>2428</v>
      </c>
      <c r="AQ307" s="1">
        <f>662+35</f>
        <v>697</v>
      </c>
      <c r="AR307" s="4">
        <f t="shared" si="62"/>
        <v>0.22303999999999999</v>
      </c>
      <c r="AS307" s="18">
        <f t="shared" si="61"/>
        <v>815.2</v>
      </c>
      <c r="AT307">
        <f t="shared" si="58"/>
        <v>1.1695839311334291</v>
      </c>
      <c r="AU307">
        <f t="shared" si="63"/>
        <v>574.31000000000006</v>
      </c>
      <c r="AV307" s="9">
        <f t="shared" si="54"/>
        <v>0.82397417503586812</v>
      </c>
    </row>
    <row r="308" spans="1:48" x14ac:dyDescent="0.3">
      <c r="A308" s="23">
        <v>230</v>
      </c>
      <c r="B308" t="s">
        <v>42</v>
      </c>
      <c r="C308" s="1">
        <v>11222</v>
      </c>
      <c r="D308" t="s">
        <v>141</v>
      </c>
      <c r="E308" t="s">
        <v>223</v>
      </c>
      <c r="F308" t="s">
        <v>223</v>
      </c>
      <c r="G308" s="2">
        <v>1992</v>
      </c>
      <c r="H308" s="2" t="s">
        <v>167</v>
      </c>
      <c r="I308" s="2" t="str">
        <f t="shared" si="55"/>
        <v>&gt;1980</v>
      </c>
      <c r="J308" s="2">
        <v>24</v>
      </c>
      <c r="K308" s="2">
        <f t="shared" si="53"/>
        <v>20</v>
      </c>
      <c r="L308" s="2">
        <v>110</v>
      </c>
      <c r="M308" s="2">
        <v>86</v>
      </c>
      <c r="N308" s="2">
        <v>4</v>
      </c>
      <c r="O308" s="2">
        <v>0</v>
      </c>
      <c r="P308" s="2">
        <v>2</v>
      </c>
      <c r="Q308" s="2">
        <v>1</v>
      </c>
      <c r="R308" s="2">
        <v>14.7</v>
      </c>
      <c r="S308" s="2">
        <v>14.5</v>
      </c>
      <c r="T308" s="2">
        <v>22.1</v>
      </c>
      <c r="U308" s="2">
        <v>33.9</v>
      </c>
      <c r="V308" s="1">
        <v>534.29999999999995</v>
      </c>
      <c r="W308" s="2">
        <v>1883.7</v>
      </c>
      <c r="X308" s="2">
        <v>482.1</v>
      </c>
      <c r="Y308" s="1">
        <v>1500.6</v>
      </c>
      <c r="Z308" s="2" t="s">
        <v>47</v>
      </c>
      <c r="AA308" s="2">
        <v>9</v>
      </c>
      <c r="AB308" s="2">
        <v>5</v>
      </c>
      <c r="AD308" s="3" t="s">
        <v>126</v>
      </c>
      <c r="AE308" s="3" t="s">
        <v>58</v>
      </c>
      <c r="AF308" s="3" t="s">
        <v>50</v>
      </c>
      <c r="AG308" s="3" t="s">
        <v>74</v>
      </c>
      <c r="AH308" s="3" t="s">
        <v>75</v>
      </c>
      <c r="AI308" s="2">
        <v>1</v>
      </c>
      <c r="AJ308" s="2">
        <v>0</v>
      </c>
      <c r="AK308" s="2">
        <v>0</v>
      </c>
      <c r="AL308" s="2">
        <v>1</v>
      </c>
      <c r="AM308" s="2">
        <v>0</v>
      </c>
      <c r="AN308" s="2">
        <v>1</v>
      </c>
      <c r="AO308" s="2" t="s">
        <v>76</v>
      </c>
      <c r="AP308" s="1">
        <f>1262.3+268</f>
        <v>1530.3</v>
      </c>
      <c r="AQ308" s="1">
        <f>56+113.2+13.5+38.4</f>
        <v>221.1</v>
      </c>
      <c r="AR308" s="4">
        <f t="shared" si="62"/>
        <v>0.1262418636519356</v>
      </c>
      <c r="AS308" s="18">
        <f t="shared" si="61"/>
        <v>240.09599999999998</v>
      </c>
      <c r="AT308">
        <f t="shared" si="58"/>
        <v>1.0859158751696065</v>
      </c>
      <c r="AU308">
        <f t="shared" si="63"/>
        <v>195.22</v>
      </c>
      <c r="AV308" s="9">
        <f t="shared" si="54"/>
        <v>0.88294889190411585</v>
      </c>
    </row>
    <row r="309" spans="1:48" x14ac:dyDescent="0.3">
      <c r="A309" s="23">
        <v>239</v>
      </c>
      <c r="B309" t="s">
        <v>42</v>
      </c>
      <c r="C309" s="1">
        <v>11222</v>
      </c>
      <c r="D309" t="s">
        <v>304</v>
      </c>
      <c r="E309" t="s">
        <v>307</v>
      </c>
      <c r="F309" t="s">
        <v>307</v>
      </c>
      <c r="G309" s="2">
        <v>1961</v>
      </c>
      <c r="H309" s="2" t="s">
        <v>57</v>
      </c>
      <c r="I309" s="2" t="str">
        <f t="shared" si="55"/>
        <v>1950-1980</v>
      </c>
      <c r="J309" s="2">
        <v>18</v>
      </c>
      <c r="K309" s="2">
        <f t="shared" si="53"/>
        <v>20</v>
      </c>
      <c r="L309" s="2">
        <v>72</v>
      </c>
      <c r="M309" s="2">
        <v>54</v>
      </c>
      <c r="N309" s="2">
        <v>3</v>
      </c>
      <c r="O309" s="2">
        <v>0</v>
      </c>
      <c r="P309" s="2">
        <v>2</v>
      </c>
      <c r="Q309" s="2">
        <v>1</v>
      </c>
      <c r="R309" s="2">
        <v>11.7</v>
      </c>
      <c r="S309" s="2">
        <v>11.5</v>
      </c>
      <c r="T309" s="2">
        <v>11.8</v>
      </c>
      <c r="U309" s="2">
        <v>31.1</v>
      </c>
      <c r="V309" s="1">
        <v>359</v>
      </c>
      <c r="W309" s="2">
        <v>1017.8</v>
      </c>
      <c r="X309" s="2">
        <v>68.2</v>
      </c>
      <c r="Y309" s="1">
        <v>772.4</v>
      </c>
      <c r="Z309" s="2" t="s">
        <v>47</v>
      </c>
      <c r="AA309" s="2">
        <v>4</v>
      </c>
      <c r="AB309" s="2">
        <v>0</v>
      </c>
      <c r="AD309" s="3" t="s">
        <v>394</v>
      </c>
      <c r="AE309" s="3" t="s">
        <v>58</v>
      </c>
      <c r="AF309" s="3" t="s">
        <v>273</v>
      </c>
      <c r="AG309" s="3" t="s">
        <v>51</v>
      </c>
      <c r="AH309" s="3" t="s">
        <v>75</v>
      </c>
      <c r="AI309" s="2">
        <v>0</v>
      </c>
      <c r="AJ309" s="2">
        <v>1</v>
      </c>
      <c r="AK309" s="2">
        <v>0</v>
      </c>
      <c r="AL309" s="2">
        <v>0</v>
      </c>
      <c r="AM309" s="2">
        <v>0</v>
      </c>
      <c r="AN309" s="2">
        <v>1</v>
      </c>
      <c r="AO309" s="2" t="s">
        <v>123</v>
      </c>
      <c r="AR309" s="4"/>
      <c r="AS309" s="18" t="str">
        <f t="shared" si="61"/>
        <v/>
      </c>
      <c r="AT309" t="str">
        <f t="shared" si="58"/>
        <v/>
      </c>
      <c r="AU309" t="str">
        <f>IF(AQ309&lt;&gt;"",2.3*M309,"")</f>
        <v/>
      </c>
      <c r="AV309" s="9" t="str">
        <f t="shared" si="54"/>
        <v/>
      </c>
    </row>
    <row r="310" spans="1:48" x14ac:dyDescent="0.3">
      <c r="A310" s="23">
        <v>305</v>
      </c>
      <c r="B310" t="s">
        <v>42</v>
      </c>
      <c r="C310" s="1">
        <v>11222</v>
      </c>
      <c r="D310" t="s">
        <v>304</v>
      </c>
      <c r="E310" t="s">
        <v>307</v>
      </c>
      <c r="F310" t="s">
        <v>307</v>
      </c>
      <c r="G310" s="2">
        <v>1977</v>
      </c>
      <c r="H310" s="2" t="s">
        <v>69</v>
      </c>
      <c r="I310" s="2" t="str">
        <f t="shared" si="55"/>
        <v>1950-1980</v>
      </c>
      <c r="J310" s="2">
        <v>45</v>
      </c>
      <c r="K310" s="2">
        <f t="shared" si="53"/>
        <v>50</v>
      </c>
      <c r="L310" s="2">
        <v>180</v>
      </c>
      <c r="M310" s="2">
        <v>135</v>
      </c>
      <c r="N310" s="2">
        <v>10</v>
      </c>
      <c r="O310" s="2">
        <v>1</v>
      </c>
      <c r="P310" s="2">
        <v>1</v>
      </c>
      <c r="Q310" s="2">
        <v>1</v>
      </c>
      <c r="R310" s="2">
        <v>32.1</v>
      </c>
      <c r="S310" s="2">
        <v>32</v>
      </c>
      <c r="T310" s="2">
        <v>18.8</v>
      </c>
      <c r="U310" s="2">
        <v>26.5</v>
      </c>
      <c r="V310" s="1">
        <v>447</v>
      </c>
      <c r="W310" s="2">
        <v>2751.2</v>
      </c>
      <c r="X310" s="2">
        <v>605.1</v>
      </c>
      <c r="Y310" s="1">
        <v>2751</v>
      </c>
      <c r="Z310" s="2" t="s">
        <v>47</v>
      </c>
      <c r="AA310" s="2">
        <v>11</v>
      </c>
      <c r="AB310" s="2">
        <v>7</v>
      </c>
      <c r="AD310" s="3" t="s">
        <v>58</v>
      </c>
      <c r="AE310" s="3" t="s">
        <v>58</v>
      </c>
      <c r="AF310" s="3" t="s">
        <v>145</v>
      </c>
      <c r="AG310" s="3" t="s">
        <v>74</v>
      </c>
      <c r="AH310" s="3" t="s">
        <v>75</v>
      </c>
      <c r="AI310" s="2">
        <v>1</v>
      </c>
      <c r="AJ310" s="2">
        <v>0</v>
      </c>
      <c r="AK310" s="2">
        <v>0</v>
      </c>
      <c r="AL310" s="2">
        <v>1</v>
      </c>
      <c r="AM310" s="2">
        <v>0</v>
      </c>
      <c r="AN310" s="2">
        <v>1</v>
      </c>
      <c r="AO310" s="2" t="s">
        <v>76</v>
      </c>
      <c r="AP310" s="1">
        <v>1570.3</v>
      </c>
      <c r="AQ310" s="1">
        <f>171.7+184+154.6+97.7</f>
        <v>608</v>
      </c>
      <c r="AR310" s="4">
        <f>AQ310/(AP310+AQ310)</f>
        <v>0.2791167424138089</v>
      </c>
      <c r="AS310" s="18">
        <f>IF(AQ310&lt;&gt;"", Y310/5.8,"")</f>
        <v>474.31034482758622</v>
      </c>
      <c r="AT310">
        <f t="shared" si="58"/>
        <v>0.78011569872958264</v>
      </c>
      <c r="AU310">
        <f>IF(AQ310&lt;&gt;"",2.5*M310,"")</f>
        <v>337.5</v>
      </c>
      <c r="AV310" s="9">
        <f t="shared" si="54"/>
        <v>0.55509868421052633</v>
      </c>
    </row>
    <row r="311" spans="1:48" x14ac:dyDescent="0.3">
      <c r="A311" s="23">
        <v>378</v>
      </c>
      <c r="B311" t="s">
        <v>42</v>
      </c>
      <c r="C311" s="1">
        <v>11222</v>
      </c>
      <c r="D311" t="s">
        <v>43</v>
      </c>
      <c r="E311" t="s">
        <v>148</v>
      </c>
      <c r="F311" t="s">
        <v>281</v>
      </c>
      <c r="G311" s="2">
        <v>1981</v>
      </c>
      <c r="H311" s="2" t="s">
        <v>131</v>
      </c>
      <c r="I311" s="2" t="str">
        <f t="shared" si="55"/>
        <v>&gt;1980</v>
      </c>
      <c r="J311" s="2">
        <v>29</v>
      </c>
      <c r="K311" s="2">
        <f t="shared" si="53"/>
        <v>30</v>
      </c>
      <c r="L311" s="2">
        <v>108</v>
      </c>
      <c r="M311" s="2">
        <v>79</v>
      </c>
      <c r="N311" s="2">
        <v>11</v>
      </c>
      <c r="O311" s="2">
        <v>1</v>
      </c>
      <c r="P311" s="2">
        <v>1</v>
      </c>
      <c r="Q311" s="2">
        <v>1</v>
      </c>
      <c r="R311" s="2">
        <v>32</v>
      </c>
      <c r="S311" s="2">
        <v>32</v>
      </c>
      <c r="T311" s="2">
        <v>19</v>
      </c>
      <c r="U311" s="2">
        <v>20</v>
      </c>
      <c r="V311" s="1">
        <v>282</v>
      </c>
      <c r="W311" s="2">
        <v>2260.9</v>
      </c>
      <c r="X311" s="2">
        <v>538.1</v>
      </c>
      <c r="Y311" s="1">
        <v>1793.6</v>
      </c>
      <c r="Z311" s="2" t="s">
        <v>47</v>
      </c>
      <c r="AA311" s="2">
        <v>6</v>
      </c>
      <c r="AB311" s="2">
        <v>2</v>
      </c>
      <c r="AD311" s="3" t="s">
        <v>58</v>
      </c>
      <c r="AE311" s="3" t="s">
        <v>49</v>
      </c>
      <c r="AF311" s="3" t="s">
        <v>59</v>
      </c>
      <c r="AG311" s="3" t="s">
        <v>74</v>
      </c>
      <c r="AH311" s="3" t="s">
        <v>81</v>
      </c>
      <c r="AI311" s="2">
        <v>1</v>
      </c>
      <c r="AJ311" s="2">
        <v>0</v>
      </c>
      <c r="AK311" s="2">
        <v>0</v>
      </c>
      <c r="AL311" s="2">
        <v>1</v>
      </c>
      <c r="AM311" s="2">
        <v>0</v>
      </c>
      <c r="AN311" s="2">
        <v>1</v>
      </c>
      <c r="AO311" s="2" t="s">
        <v>76</v>
      </c>
      <c r="AP311" s="1">
        <v>1898</v>
      </c>
      <c r="AQ311" s="1">
        <f>123.6+95.4+95.4+14.4</f>
        <v>328.79999999999995</v>
      </c>
      <c r="AR311" s="4">
        <f>AQ311/(AP311+AQ311)</f>
        <v>0.14765582899227589</v>
      </c>
      <c r="AS311" s="18">
        <f>IF(AQ311&lt;&gt;"", Y311/5.8,"")</f>
        <v>309.24137931034483</v>
      </c>
      <c r="AT311">
        <f t="shared" si="58"/>
        <v>0.94051514388791013</v>
      </c>
      <c r="AU311">
        <f>IF(AQ311&lt;&gt;"",2.5*M311,"")</f>
        <v>197.5</v>
      </c>
      <c r="AV311" s="9">
        <f t="shared" si="54"/>
        <v>0.60066909975669103</v>
      </c>
    </row>
    <row r="312" spans="1:48" x14ac:dyDescent="0.3">
      <c r="A312" s="23">
        <v>129</v>
      </c>
      <c r="B312" t="s">
        <v>42</v>
      </c>
      <c r="C312" s="1">
        <v>11222</v>
      </c>
      <c r="D312" t="s">
        <v>43</v>
      </c>
      <c r="E312" t="s">
        <v>148</v>
      </c>
      <c r="F312" t="s">
        <v>205</v>
      </c>
      <c r="G312" s="2">
        <v>1965</v>
      </c>
      <c r="H312" s="2" t="s">
        <v>57</v>
      </c>
      <c r="I312" s="2" t="str">
        <f t="shared" si="55"/>
        <v>1950-1980</v>
      </c>
      <c r="J312" s="2">
        <v>25</v>
      </c>
      <c r="K312" s="2">
        <f t="shared" si="53"/>
        <v>30</v>
      </c>
      <c r="L312" s="2">
        <v>85</v>
      </c>
      <c r="M312" s="2">
        <v>60</v>
      </c>
      <c r="N312" s="2">
        <v>3</v>
      </c>
      <c r="O312" s="2">
        <v>0</v>
      </c>
      <c r="P312" s="2">
        <v>3</v>
      </c>
      <c r="Q312" s="2">
        <v>1</v>
      </c>
      <c r="R312" s="2">
        <v>12.8</v>
      </c>
      <c r="S312" s="2">
        <v>13</v>
      </c>
      <c r="T312" s="2">
        <v>12.7</v>
      </c>
      <c r="U312" s="2">
        <v>41</v>
      </c>
      <c r="V312" s="1">
        <v>493.5</v>
      </c>
      <c r="W312" s="2">
        <v>1398.3</v>
      </c>
      <c r="X312" s="2">
        <v>350.1</v>
      </c>
      <c r="Y312" s="1">
        <v>989.3</v>
      </c>
      <c r="Z312" s="2" t="s">
        <v>47</v>
      </c>
      <c r="AA312" s="2">
        <v>4</v>
      </c>
      <c r="AB312" s="2">
        <v>0</v>
      </c>
      <c r="AD312" s="3" t="s">
        <v>80</v>
      </c>
      <c r="AE312" s="3" t="s">
        <v>58</v>
      </c>
      <c r="AF312" s="3" t="s">
        <v>50</v>
      </c>
      <c r="AG312" s="3" t="s">
        <v>67</v>
      </c>
      <c r="AH312" s="3" t="s">
        <v>81</v>
      </c>
      <c r="AI312" s="2">
        <v>0</v>
      </c>
      <c r="AJ312" s="2">
        <v>1</v>
      </c>
      <c r="AK312" s="2">
        <v>0</v>
      </c>
      <c r="AL312" s="2">
        <v>0</v>
      </c>
      <c r="AM312" s="2">
        <v>0</v>
      </c>
      <c r="AN312" s="2">
        <v>1</v>
      </c>
      <c r="AO312" s="2" t="s">
        <v>53</v>
      </c>
      <c r="AP312" s="1">
        <v>602</v>
      </c>
      <c r="AQ312" s="1">
        <f>14+92+99+14</f>
        <v>219</v>
      </c>
      <c r="AR312" s="4">
        <f>AQ312/(AP312+AQ312)</f>
        <v>0.26674786845310594</v>
      </c>
      <c r="AS312" s="18">
        <f>IF(AQ312&lt;&gt;"", Y312/5.8,"")</f>
        <v>170.56896551724137</v>
      </c>
      <c r="AT312">
        <f t="shared" si="58"/>
        <v>0.77885372382301998</v>
      </c>
      <c r="AU312">
        <f>IF(AQ312&lt;&gt;"",2.5*M312,"")</f>
        <v>150</v>
      </c>
      <c r="AV312" s="9">
        <f t="shared" si="54"/>
        <v>0.68493150684931503</v>
      </c>
    </row>
    <row r="313" spans="1:48" x14ac:dyDescent="0.3">
      <c r="A313" s="23">
        <v>101</v>
      </c>
      <c r="B313" t="s">
        <v>42</v>
      </c>
      <c r="C313" s="1">
        <v>11222</v>
      </c>
      <c r="D313" t="s">
        <v>43</v>
      </c>
      <c r="E313" t="s">
        <v>146</v>
      </c>
      <c r="F313" t="s">
        <v>147</v>
      </c>
      <c r="G313" s="2">
        <v>1961</v>
      </c>
      <c r="H313" s="2" t="s">
        <v>57</v>
      </c>
      <c r="I313" s="2" t="str">
        <f t="shared" si="55"/>
        <v>1950-1980</v>
      </c>
      <c r="J313" s="2">
        <v>18</v>
      </c>
      <c r="K313" s="2">
        <f t="shared" si="53"/>
        <v>20</v>
      </c>
      <c r="L313" s="2">
        <v>72</v>
      </c>
      <c r="M313" s="2">
        <v>54</v>
      </c>
      <c r="N313" s="2">
        <v>3</v>
      </c>
      <c r="O313" s="2">
        <v>0</v>
      </c>
      <c r="P313" s="2">
        <v>2</v>
      </c>
      <c r="Q313" s="2">
        <v>0</v>
      </c>
      <c r="R313" s="2">
        <v>12</v>
      </c>
      <c r="S313" s="2">
        <v>12</v>
      </c>
      <c r="T313" s="2">
        <v>11.4</v>
      </c>
      <c r="U313" s="2">
        <v>31</v>
      </c>
      <c r="V313" s="1">
        <v>342</v>
      </c>
      <c r="W313" s="2">
        <v>776.8</v>
      </c>
      <c r="X313" s="2">
        <v>64.099999999999994</v>
      </c>
      <c r="Y313" s="1">
        <v>776.8</v>
      </c>
      <c r="Z313" s="2" t="s">
        <v>47</v>
      </c>
      <c r="AA313" s="2">
        <v>4</v>
      </c>
      <c r="AB313" s="2">
        <v>0</v>
      </c>
      <c r="AD313" s="3" t="s">
        <v>58</v>
      </c>
      <c r="AE313" s="3" t="s">
        <v>115</v>
      </c>
      <c r="AF313" s="3" t="s">
        <v>139</v>
      </c>
      <c r="AG313" s="3" t="s">
        <v>51</v>
      </c>
      <c r="AH313" s="3" t="s">
        <v>75</v>
      </c>
      <c r="AI313" s="2">
        <v>0</v>
      </c>
      <c r="AJ313" s="2">
        <v>1</v>
      </c>
      <c r="AK313" s="2">
        <v>0</v>
      </c>
      <c r="AL313" s="2">
        <v>0</v>
      </c>
      <c r="AM313" s="2">
        <v>0</v>
      </c>
      <c r="AN313" s="2">
        <v>1</v>
      </c>
      <c r="AO313" s="2" t="s">
        <v>84</v>
      </c>
      <c r="AP313" s="1">
        <v>431.7</v>
      </c>
      <c r="AQ313" s="1">
        <f>58.8+25.2+76.1</f>
        <v>160.1</v>
      </c>
      <c r="AR313" s="4">
        <f>AQ313/(AP313+AQ313)</f>
        <v>0.27053058465697871</v>
      </c>
      <c r="AS313" s="18">
        <f>IF(AQ313&lt;&gt;"", Y313/5.8,"")</f>
        <v>133.93103448275861</v>
      </c>
      <c r="AT313">
        <f t="shared" si="58"/>
        <v>0.83654612418962282</v>
      </c>
      <c r="AU313">
        <f>IF(AQ313&lt;&gt;"",2.5*M313,"")</f>
        <v>135</v>
      </c>
      <c r="AV313" s="9">
        <f t="shared" si="54"/>
        <v>0.84322298563397879</v>
      </c>
    </row>
    <row r="314" spans="1:48" x14ac:dyDescent="0.3">
      <c r="A314" s="23">
        <v>206</v>
      </c>
      <c r="B314" t="s">
        <v>42</v>
      </c>
      <c r="C314" s="1">
        <v>11222</v>
      </c>
      <c r="D314" t="s">
        <v>43</v>
      </c>
      <c r="E314" t="s">
        <v>318</v>
      </c>
      <c r="F314" t="s">
        <v>319</v>
      </c>
      <c r="G314" s="2">
        <v>1968</v>
      </c>
      <c r="H314" s="2" t="s">
        <v>57</v>
      </c>
      <c r="I314" s="2" t="str">
        <f t="shared" si="55"/>
        <v>1950-1980</v>
      </c>
      <c r="J314" s="2">
        <v>44</v>
      </c>
      <c r="K314" s="2">
        <f t="shared" si="53"/>
        <v>40</v>
      </c>
      <c r="L314" s="2">
        <v>188</v>
      </c>
      <c r="M314" s="2">
        <v>144</v>
      </c>
      <c r="N314" s="2">
        <v>4</v>
      </c>
      <c r="O314" s="2">
        <v>0</v>
      </c>
      <c r="P314" s="2">
        <v>4</v>
      </c>
      <c r="Q314" s="2">
        <v>1</v>
      </c>
      <c r="R314" s="2">
        <v>15.2</v>
      </c>
      <c r="S314" s="2">
        <v>15</v>
      </c>
      <c r="T314" s="2">
        <v>12.4</v>
      </c>
      <c r="U314" s="2">
        <v>65.400000000000006</v>
      </c>
      <c r="V314" s="1">
        <v>750</v>
      </c>
      <c r="W314" s="2">
        <v>2805.6</v>
      </c>
      <c r="X314" s="2">
        <v>632</v>
      </c>
      <c r="Y314" s="1">
        <v>2358</v>
      </c>
      <c r="Z314" s="2" t="s">
        <v>47</v>
      </c>
      <c r="AA314" s="2">
        <v>4</v>
      </c>
      <c r="AB314" s="2">
        <v>0</v>
      </c>
      <c r="AD314" s="3" t="s">
        <v>58</v>
      </c>
      <c r="AE314" s="3" t="s">
        <v>58</v>
      </c>
      <c r="AF314" s="3" t="s">
        <v>139</v>
      </c>
      <c r="AG314" s="3" t="s">
        <v>51</v>
      </c>
      <c r="AH314" s="3" t="s">
        <v>100</v>
      </c>
      <c r="AI314" s="2">
        <v>0</v>
      </c>
      <c r="AJ314" s="2">
        <v>1</v>
      </c>
      <c r="AK314" s="2">
        <v>0</v>
      </c>
      <c r="AL314" s="2">
        <v>0</v>
      </c>
      <c r="AM314" s="2">
        <v>0</v>
      </c>
      <c r="AN314" s="2">
        <v>0</v>
      </c>
      <c r="AO314" s="2" t="s">
        <v>76</v>
      </c>
      <c r="AP314" s="1">
        <f>251+1212</f>
        <v>1463</v>
      </c>
      <c r="AQ314" s="1">
        <f>180+166</f>
        <v>346</v>
      </c>
      <c r="AR314" s="4">
        <f>AQ314/(AP314+AQ314)</f>
        <v>0.19126589275843006</v>
      </c>
      <c r="AS314" s="18">
        <f>IF(AQ314&lt;&gt;"", Y314/5.8,"")</f>
        <v>406.55172413793105</v>
      </c>
      <c r="AT314">
        <f t="shared" si="58"/>
        <v>1.1750049830576041</v>
      </c>
      <c r="AU314">
        <f>IF(AQ314&lt;&gt;"",2.5*M314,"")</f>
        <v>360</v>
      </c>
      <c r="AV314" s="9">
        <f t="shared" si="54"/>
        <v>1.0404624277456647</v>
      </c>
    </row>
    <row r="315" spans="1:48" x14ac:dyDescent="0.3">
      <c r="A315" s="23">
        <v>0</v>
      </c>
      <c r="B315" t="s">
        <v>42</v>
      </c>
      <c r="C315" s="1">
        <v>11222</v>
      </c>
      <c r="D315" t="s">
        <v>43</v>
      </c>
      <c r="E315" t="s">
        <v>68</v>
      </c>
      <c r="F315" t="s">
        <v>68</v>
      </c>
      <c r="G315" s="2">
        <v>1967</v>
      </c>
      <c r="H315" s="2" t="s">
        <v>57</v>
      </c>
      <c r="I315" s="2" t="str">
        <f t="shared" si="55"/>
        <v>1950-1980</v>
      </c>
      <c r="J315" s="2">
        <v>12</v>
      </c>
      <c r="K315" s="2">
        <f t="shared" si="53"/>
        <v>10</v>
      </c>
      <c r="L315" s="2">
        <v>48</v>
      </c>
      <c r="M315" s="2">
        <v>36</v>
      </c>
      <c r="N315" s="2">
        <v>2</v>
      </c>
      <c r="O315" s="2">
        <v>0</v>
      </c>
      <c r="P315" s="2">
        <v>2</v>
      </c>
      <c r="Q315" s="2">
        <v>1</v>
      </c>
      <c r="R315" s="2">
        <v>9</v>
      </c>
      <c r="S315" s="2">
        <v>9</v>
      </c>
      <c r="T315" s="2">
        <v>12</v>
      </c>
      <c r="U315" s="2">
        <v>31</v>
      </c>
      <c r="V315" s="1">
        <v>329</v>
      </c>
      <c r="W315" s="2">
        <v>592.79999999999995</v>
      </c>
      <c r="X315" s="2">
        <v>124.2</v>
      </c>
      <c r="Y315" s="1">
        <v>468.6</v>
      </c>
      <c r="Z315" s="2" t="s">
        <v>47</v>
      </c>
      <c r="AA315" s="2">
        <v>4</v>
      </c>
      <c r="AB315" s="2">
        <v>0</v>
      </c>
      <c r="AD315" s="3" t="s">
        <v>58</v>
      </c>
      <c r="AE315" s="3" t="s">
        <v>49</v>
      </c>
      <c r="AF315" s="3" t="s">
        <v>65</v>
      </c>
      <c r="AG315" s="3" t="s">
        <v>60</v>
      </c>
      <c r="AH315" s="3" t="s">
        <v>75</v>
      </c>
      <c r="AI315" s="2">
        <v>0</v>
      </c>
      <c r="AJ315" s="2">
        <v>1</v>
      </c>
      <c r="AK315" s="2">
        <v>0</v>
      </c>
      <c r="AL315" s="2">
        <v>0</v>
      </c>
      <c r="AM315" s="2">
        <v>0</v>
      </c>
      <c r="AN315" s="2">
        <v>1</v>
      </c>
      <c r="AO315" s="2" t="s">
        <v>53</v>
      </c>
      <c r="AR315" s="4"/>
      <c r="AS315" s="18" t="str">
        <f>IF(AQ315&lt;&gt;"", Y315/6.25,"")</f>
        <v/>
      </c>
      <c r="AT315" t="str">
        <f t="shared" si="58"/>
        <v/>
      </c>
      <c r="AU315" t="str">
        <f>IF(AQ315&lt;&gt;"",2.3*M315,"")</f>
        <v/>
      </c>
      <c r="AV315" s="9" t="str">
        <f t="shared" si="54"/>
        <v/>
      </c>
    </row>
    <row r="316" spans="1:48" x14ac:dyDescent="0.3">
      <c r="A316" s="23">
        <v>34</v>
      </c>
      <c r="B316" t="s">
        <v>42</v>
      </c>
      <c r="C316" s="1">
        <v>11222</v>
      </c>
      <c r="D316" t="s">
        <v>43</v>
      </c>
      <c r="E316" t="s">
        <v>104</v>
      </c>
      <c r="F316" t="s">
        <v>105</v>
      </c>
      <c r="G316" s="2">
        <v>1968</v>
      </c>
      <c r="H316" s="2" t="s">
        <v>57</v>
      </c>
      <c r="I316" s="2" t="str">
        <f t="shared" si="55"/>
        <v>1950-1980</v>
      </c>
      <c r="J316" s="2">
        <v>12</v>
      </c>
      <c r="K316" s="2">
        <f t="shared" si="53"/>
        <v>10</v>
      </c>
      <c r="L316" s="2">
        <v>60</v>
      </c>
      <c r="M316" s="2">
        <v>48</v>
      </c>
      <c r="N316" s="2">
        <v>3</v>
      </c>
      <c r="O316" s="2">
        <v>0</v>
      </c>
      <c r="P316" s="2">
        <v>2</v>
      </c>
      <c r="Q316" s="2">
        <v>1</v>
      </c>
      <c r="R316" s="2">
        <v>10.6</v>
      </c>
      <c r="S316" s="2">
        <v>10.5</v>
      </c>
      <c r="V316" s="1">
        <v>288</v>
      </c>
      <c r="W316" s="2">
        <v>863.3</v>
      </c>
      <c r="X316" s="2">
        <v>249.9</v>
      </c>
      <c r="Y316" s="1">
        <v>613</v>
      </c>
      <c r="Z316" s="2" t="s">
        <v>47</v>
      </c>
      <c r="AA316" s="2">
        <v>4</v>
      </c>
      <c r="AB316" s="2">
        <v>0</v>
      </c>
      <c r="AC316" s="2">
        <v>0</v>
      </c>
      <c r="AD316" s="3" t="s">
        <v>91</v>
      </c>
      <c r="AE316" s="3" t="s">
        <v>49</v>
      </c>
      <c r="AF316" s="3" t="s">
        <v>59</v>
      </c>
      <c r="AG316" s="3" t="s">
        <v>74</v>
      </c>
      <c r="AH316" s="3" t="s">
        <v>75</v>
      </c>
      <c r="AI316" s="2">
        <v>1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 t="s">
        <v>61</v>
      </c>
      <c r="AP316" s="1">
        <v>608</v>
      </c>
      <c r="AQ316" s="1">
        <f>75.2+67.8</f>
        <v>143</v>
      </c>
      <c r="AR316" s="4">
        <f>AQ316/(AP316+AQ316)</f>
        <v>0.1904127829560586</v>
      </c>
      <c r="AS316" s="18">
        <f>IF(AQ316&lt;&gt;"", Y316/5.8,"")</f>
        <v>105.68965517241379</v>
      </c>
      <c r="AT316">
        <f t="shared" si="58"/>
        <v>0.73908849770918739</v>
      </c>
      <c r="AU316">
        <f>IF(AQ316&lt;&gt;"",2.3*M316,"")</f>
        <v>110.39999999999999</v>
      </c>
      <c r="AV316" s="9">
        <f t="shared" si="54"/>
        <v>0.77202797202797202</v>
      </c>
    </row>
    <row r="317" spans="1:48" x14ac:dyDescent="0.3">
      <c r="A317" s="23">
        <v>134</v>
      </c>
      <c r="B317" t="s">
        <v>42</v>
      </c>
      <c r="C317" s="1">
        <v>11222</v>
      </c>
      <c r="D317" t="s">
        <v>43</v>
      </c>
      <c r="E317" t="s">
        <v>215</v>
      </c>
      <c r="F317" t="s">
        <v>216</v>
      </c>
      <c r="G317" s="2">
        <v>1975</v>
      </c>
      <c r="H317" s="2" t="s">
        <v>69</v>
      </c>
      <c r="I317" s="2" t="str">
        <f t="shared" si="55"/>
        <v>1950-1980</v>
      </c>
      <c r="J317" s="2">
        <v>20</v>
      </c>
      <c r="K317" s="2">
        <f t="shared" si="53"/>
        <v>20</v>
      </c>
      <c r="L317" s="2">
        <v>74</v>
      </c>
      <c r="M317" s="2">
        <v>54</v>
      </c>
      <c r="N317" s="2">
        <v>5</v>
      </c>
      <c r="O317" s="2">
        <v>0</v>
      </c>
      <c r="P317" s="2">
        <v>1</v>
      </c>
      <c r="Q317" s="2">
        <v>0</v>
      </c>
      <c r="R317" s="2">
        <v>17</v>
      </c>
      <c r="S317" s="2">
        <v>17</v>
      </c>
      <c r="T317" s="2">
        <v>16.2</v>
      </c>
      <c r="U317" s="2">
        <v>16.399999999999999</v>
      </c>
      <c r="V317" s="1">
        <v>264</v>
      </c>
      <c r="W317" s="2">
        <v>1230.8</v>
      </c>
      <c r="X317" s="2">
        <v>320.60000000000002</v>
      </c>
      <c r="Y317" s="1">
        <v>1032</v>
      </c>
      <c r="Z317" s="2" t="s">
        <v>47</v>
      </c>
      <c r="AA317" s="2">
        <v>4</v>
      </c>
      <c r="AB317" s="2">
        <v>0</v>
      </c>
      <c r="AD317" s="3" t="s">
        <v>80</v>
      </c>
      <c r="AE317" s="3" t="s">
        <v>58</v>
      </c>
      <c r="AF317" s="3" t="s">
        <v>150</v>
      </c>
      <c r="AG317" s="3" t="s">
        <v>74</v>
      </c>
      <c r="AH317" s="3" t="s">
        <v>75</v>
      </c>
      <c r="AI317" s="2">
        <v>1</v>
      </c>
      <c r="AJ317" s="2">
        <v>0</v>
      </c>
      <c r="AK317" s="2">
        <v>0</v>
      </c>
      <c r="AL317" s="2">
        <v>0</v>
      </c>
      <c r="AM317" s="2">
        <v>0</v>
      </c>
      <c r="AN317" s="2">
        <v>1</v>
      </c>
      <c r="AO317" s="2" t="s">
        <v>76</v>
      </c>
      <c r="AP317" s="1">
        <v>769.6</v>
      </c>
      <c r="AQ317" s="1">
        <f>12.3+68+114.2+12.3</f>
        <v>206.8</v>
      </c>
      <c r="AR317" s="4">
        <f>AQ317/(AP317+AQ317)</f>
        <v>0.21179844326095862</v>
      </c>
      <c r="AS317" s="18">
        <f>IF(AQ317&lt;&gt;"", Y317/5.8,"")</f>
        <v>177.93103448275863</v>
      </c>
      <c r="AT317">
        <f t="shared" si="58"/>
        <v>0.86040152070966447</v>
      </c>
      <c r="AU317">
        <f>IF(AQ317&lt;&gt;"",2.5*M317,"")</f>
        <v>135</v>
      </c>
      <c r="AV317" s="9">
        <f t="shared" si="54"/>
        <v>0.65280464216634426</v>
      </c>
    </row>
    <row r="318" spans="1:48" x14ac:dyDescent="0.3">
      <c r="A318" s="23">
        <v>260</v>
      </c>
      <c r="B318" t="s">
        <v>42</v>
      </c>
      <c r="C318" s="1">
        <v>11222</v>
      </c>
      <c r="D318" t="s">
        <v>43</v>
      </c>
      <c r="E318" t="s">
        <v>101</v>
      </c>
      <c r="F318" t="s">
        <v>261</v>
      </c>
      <c r="G318" s="2">
        <v>1978</v>
      </c>
      <c r="H318" s="2" t="s">
        <v>69</v>
      </c>
      <c r="I318" s="2" t="str">
        <f t="shared" si="55"/>
        <v>1950-1980</v>
      </c>
      <c r="J318" s="2">
        <v>54</v>
      </c>
      <c r="K318" s="2">
        <f t="shared" si="53"/>
        <v>50</v>
      </c>
      <c r="L318" s="2">
        <v>172</v>
      </c>
      <c r="M318" s="2">
        <v>118</v>
      </c>
      <c r="N318" s="2">
        <v>5</v>
      </c>
      <c r="O318" s="2">
        <v>0</v>
      </c>
      <c r="P318" s="2">
        <v>3</v>
      </c>
      <c r="Q318" s="2">
        <v>1</v>
      </c>
      <c r="R318" s="2">
        <v>17</v>
      </c>
      <c r="S318" s="2">
        <v>17</v>
      </c>
      <c r="V318" s="1">
        <v>445</v>
      </c>
      <c r="W318" s="2">
        <v>1972.2</v>
      </c>
      <c r="X318" s="2">
        <v>465.8</v>
      </c>
      <c r="Y318" s="1">
        <v>1584.5</v>
      </c>
      <c r="Z318" s="2" t="s">
        <v>47</v>
      </c>
      <c r="AA318" s="2">
        <v>8</v>
      </c>
      <c r="AB318" s="2">
        <v>4</v>
      </c>
      <c r="AD318" s="3" t="s">
        <v>58</v>
      </c>
      <c r="AE318" s="3" t="s">
        <v>58</v>
      </c>
      <c r="AF318" s="3" t="s">
        <v>50</v>
      </c>
      <c r="AG318" s="3" t="s">
        <v>74</v>
      </c>
      <c r="AH318" s="3" t="s">
        <v>75</v>
      </c>
      <c r="AI318" s="2">
        <v>1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 t="s">
        <v>103</v>
      </c>
      <c r="AP318" s="1">
        <v>1321.4</v>
      </c>
      <c r="AQ318" s="1">
        <f>168.8+147.2</f>
        <v>316</v>
      </c>
      <c r="AR318" s="4">
        <f>AQ318/(AP318+AQ318)</f>
        <v>0.19298888481739343</v>
      </c>
      <c r="AS318" s="18">
        <f>IF(AQ318&lt;&gt;"", Y318/5.8,"")</f>
        <v>273.18965517241378</v>
      </c>
      <c r="AT318">
        <f t="shared" si="58"/>
        <v>0.86452422522915751</v>
      </c>
      <c r="AU318">
        <f>IF(AQ318&lt;&gt;"",2.5*M318,"")</f>
        <v>295</v>
      </c>
      <c r="AV318" s="9">
        <f t="shared" si="54"/>
        <v>0.93354430379746833</v>
      </c>
    </row>
    <row r="319" spans="1:48" x14ac:dyDescent="0.3">
      <c r="A319" s="23">
        <v>346</v>
      </c>
      <c r="B319" t="s">
        <v>42</v>
      </c>
      <c r="C319" s="1">
        <v>11222</v>
      </c>
      <c r="D319" t="s">
        <v>43</v>
      </c>
      <c r="E319" t="s">
        <v>101</v>
      </c>
      <c r="F319" t="s">
        <v>261</v>
      </c>
      <c r="G319" s="2">
        <v>1975</v>
      </c>
      <c r="H319" s="2" t="s">
        <v>69</v>
      </c>
      <c r="I319" s="2" t="str">
        <f t="shared" si="55"/>
        <v>1950-1980</v>
      </c>
      <c r="J319" s="2">
        <v>45</v>
      </c>
      <c r="K319" s="2">
        <f t="shared" si="53"/>
        <v>50</v>
      </c>
      <c r="L319" s="2">
        <v>224</v>
      </c>
      <c r="M319" s="2">
        <v>179</v>
      </c>
      <c r="N319" s="2">
        <v>5</v>
      </c>
      <c r="O319" s="2">
        <v>0</v>
      </c>
      <c r="P319" s="2">
        <v>3</v>
      </c>
      <c r="Q319" s="2">
        <v>1</v>
      </c>
      <c r="R319" s="2">
        <v>17.5</v>
      </c>
      <c r="S319" s="2">
        <v>17.5</v>
      </c>
      <c r="T319" s="2">
        <v>35.799999999999997</v>
      </c>
      <c r="U319" s="2">
        <v>40.4</v>
      </c>
      <c r="V319" s="1">
        <v>824</v>
      </c>
      <c r="W319" s="2">
        <v>3945</v>
      </c>
      <c r="X319" s="2">
        <v>1044.3</v>
      </c>
      <c r="Y319" s="1">
        <v>3198.3</v>
      </c>
      <c r="Z319" s="2" t="s">
        <v>47</v>
      </c>
      <c r="AA319" s="2">
        <v>19</v>
      </c>
      <c r="AB319" s="2">
        <v>15</v>
      </c>
      <c r="AD319" s="3" t="s">
        <v>91</v>
      </c>
      <c r="AE319" s="3" t="s">
        <v>58</v>
      </c>
      <c r="AF319" s="3" t="s">
        <v>59</v>
      </c>
      <c r="AG319" s="3" t="s">
        <v>74</v>
      </c>
      <c r="AH319" s="3" t="s">
        <v>75</v>
      </c>
      <c r="AI319" s="2">
        <v>1</v>
      </c>
      <c r="AJ319" s="2">
        <v>0</v>
      </c>
      <c r="AK319" s="2">
        <v>0</v>
      </c>
      <c r="AL319" s="2">
        <v>1</v>
      </c>
      <c r="AM319" s="2">
        <v>0</v>
      </c>
      <c r="AN319" s="2">
        <v>1</v>
      </c>
      <c r="AO319" s="2" t="s">
        <v>76</v>
      </c>
      <c r="AP319" s="1">
        <v>2044.5</v>
      </c>
      <c r="AQ319" s="1">
        <f>103.7+107.9+119.2+153.2</f>
        <v>484</v>
      </c>
      <c r="AR319" s="4">
        <f>AQ319/(AP319+AQ319)</f>
        <v>0.19141783666205259</v>
      </c>
      <c r="AS319" s="18">
        <f>IF(AQ319&lt;&gt;"", Y319/5.8,"")</f>
        <v>551.43103448275872</v>
      </c>
      <c r="AT319">
        <f t="shared" si="58"/>
        <v>1.1393203191792536</v>
      </c>
      <c r="AU319">
        <f>IF(AQ319&lt;&gt;"",2.5*M319,"")</f>
        <v>447.5</v>
      </c>
      <c r="AV319" s="9">
        <f t="shared" si="54"/>
        <v>0.92458677685950408</v>
      </c>
    </row>
    <row r="320" spans="1:48" x14ac:dyDescent="0.3">
      <c r="A320" s="23">
        <v>381</v>
      </c>
      <c r="B320" t="s">
        <v>42</v>
      </c>
      <c r="C320" s="1">
        <v>11222</v>
      </c>
      <c r="D320" t="s">
        <v>43</v>
      </c>
      <c r="E320" t="s">
        <v>101</v>
      </c>
      <c r="F320" t="s">
        <v>261</v>
      </c>
      <c r="G320" s="2">
        <v>1981</v>
      </c>
      <c r="H320" s="2" t="s">
        <v>131</v>
      </c>
      <c r="I320" s="2" t="str">
        <f t="shared" si="55"/>
        <v>&gt;1980</v>
      </c>
      <c r="J320" s="2">
        <v>50</v>
      </c>
      <c r="K320" s="2">
        <f t="shared" si="53"/>
        <v>50</v>
      </c>
      <c r="L320" s="2">
        <v>225</v>
      </c>
      <c r="M320" s="2">
        <v>175</v>
      </c>
      <c r="N320" s="2">
        <v>5</v>
      </c>
      <c r="O320" s="2">
        <v>0</v>
      </c>
      <c r="P320" s="2">
        <v>3</v>
      </c>
      <c r="Q320" s="2">
        <v>1</v>
      </c>
      <c r="R320" s="2">
        <v>16.7</v>
      </c>
      <c r="S320" s="2">
        <v>16.5</v>
      </c>
      <c r="T320" s="2">
        <v>18.5</v>
      </c>
      <c r="U320" s="2">
        <v>62</v>
      </c>
      <c r="V320" s="1">
        <v>689</v>
      </c>
      <c r="W320" s="2">
        <v>4035.5</v>
      </c>
      <c r="X320" s="2">
        <v>1063.2</v>
      </c>
      <c r="Y320" s="1">
        <v>3409.2</v>
      </c>
      <c r="Z320" s="2" t="s">
        <v>47</v>
      </c>
      <c r="AA320" s="2">
        <v>14</v>
      </c>
      <c r="AB320" s="2">
        <v>10</v>
      </c>
      <c r="AD320" s="3" t="s">
        <v>80</v>
      </c>
      <c r="AE320" s="3" t="s">
        <v>58</v>
      </c>
      <c r="AF320" s="3" t="s">
        <v>347</v>
      </c>
      <c r="AG320" s="3" t="s">
        <v>74</v>
      </c>
      <c r="AH320" s="3" t="s">
        <v>75</v>
      </c>
      <c r="AI320" s="2">
        <v>1</v>
      </c>
      <c r="AJ320" s="2">
        <v>0</v>
      </c>
      <c r="AK320" s="2">
        <v>0</v>
      </c>
      <c r="AL320" s="2">
        <v>1</v>
      </c>
      <c r="AM320" s="2">
        <v>0</v>
      </c>
      <c r="AN320" s="2">
        <v>1</v>
      </c>
      <c r="AO320" s="2" t="s">
        <v>76</v>
      </c>
      <c r="AP320" s="16">
        <v>1736.1</v>
      </c>
      <c r="AQ320" s="16">
        <v>538.9</v>
      </c>
      <c r="AR320" s="4">
        <f>AQ320/(AP320+AQ320)</f>
        <v>0.23687912087912086</v>
      </c>
      <c r="AS320" s="18">
        <f>IF(AQ320&lt;&gt;"", Y320/5.8,"")</f>
        <v>587.79310344827582</v>
      </c>
      <c r="AT320">
        <f t="shared" si="58"/>
        <v>1.0907275996442305</v>
      </c>
      <c r="AU320">
        <f>IF(AQ320&lt;&gt;"",2.5*M320,"")</f>
        <v>437.5</v>
      </c>
      <c r="AV320" s="9">
        <f t="shared" si="54"/>
        <v>0.81183893115605865</v>
      </c>
    </row>
    <row r="321" spans="1:49" x14ac:dyDescent="0.3">
      <c r="A321" s="23">
        <v>45</v>
      </c>
      <c r="B321" t="s">
        <v>42</v>
      </c>
      <c r="C321" s="1">
        <v>11222</v>
      </c>
      <c r="D321" t="s">
        <v>43</v>
      </c>
      <c r="E321" t="s">
        <v>101</v>
      </c>
      <c r="F321" t="s">
        <v>261</v>
      </c>
      <c r="G321" s="2">
        <v>1969</v>
      </c>
      <c r="H321" s="2" t="s">
        <v>57</v>
      </c>
      <c r="I321" s="2" t="str">
        <f t="shared" si="55"/>
        <v>1950-1980</v>
      </c>
      <c r="J321" s="2">
        <v>12</v>
      </c>
      <c r="K321" s="2">
        <f t="shared" si="53"/>
        <v>10</v>
      </c>
      <c r="L321" s="2">
        <v>48</v>
      </c>
      <c r="M321" s="2">
        <v>36</v>
      </c>
      <c r="N321" s="2">
        <v>2</v>
      </c>
      <c r="O321" s="2">
        <v>0</v>
      </c>
      <c r="P321" s="2">
        <v>2</v>
      </c>
      <c r="Q321" s="2">
        <v>1</v>
      </c>
      <c r="R321" s="2">
        <v>7.4</v>
      </c>
      <c r="S321" s="2">
        <v>7.5</v>
      </c>
      <c r="T321" s="2">
        <v>11</v>
      </c>
      <c r="U321" s="2">
        <v>33.6</v>
      </c>
      <c r="V321" s="1">
        <v>358</v>
      </c>
      <c r="W321" s="2">
        <v>833.9</v>
      </c>
      <c r="X321" s="2">
        <v>309.3</v>
      </c>
      <c r="Y321" s="1">
        <v>560.5</v>
      </c>
      <c r="Z321" s="2" t="s">
        <v>47</v>
      </c>
      <c r="AA321" s="2">
        <v>4</v>
      </c>
      <c r="AB321" s="2">
        <v>0</v>
      </c>
      <c r="AC321" s="2">
        <v>0</v>
      </c>
      <c r="AD321" s="3" t="s">
        <v>58</v>
      </c>
      <c r="AE321" s="3" t="s">
        <v>65</v>
      </c>
      <c r="AF321" s="3" t="s">
        <v>50</v>
      </c>
      <c r="AG321" s="3" t="s">
        <v>74</v>
      </c>
      <c r="AH321" s="3" t="s">
        <v>75</v>
      </c>
      <c r="AI321" s="2">
        <v>1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 t="s">
        <v>61</v>
      </c>
      <c r="AR321" s="4"/>
      <c r="AS321" s="18" t="str">
        <f>IF(AQ321&lt;&gt;"", Y321/6.25,"")</f>
        <v/>
      </c>
      <c r="AT321" t="str">
        <f t="shared" si="58"/>
        <v/>
      </c>
      <c r="AU321" t="str">
        <f>IF(AQ321&lt;&gt;"",2.3*M321,"")</f>
        <v/>
      </c>
      <c r="AV321" s="9" t="str">
        <f t="shared" si="54"/>
        <v/>
      </c>
    </row>
    <row r="322" spans="1:49" x14ac:dyDescent="0.3">
      <c r="A322" s="23">
        <v>66</v>
      </c>
      <c r="B322" t="s">
        <v>42</v>
      </c>
      <c r="C322" s="1">
        <v>11222</v>
      </c>
      <c r="D322" t="s">
        <v>43</v>
      </c>
      <c r="E322" t="s">
        <v>68</v>
      </c>
      <c r="F322" t="s">
        <v>68</v>
      </c>
      <c r="G322" s="2">
        <v>1985</v>
      </c>
      <c r="H322" s="2" t="s">
        <v>131</v>
      </c>
      <c r="I322" s="2" t="str">
        <f t="shared" si="55"/>
        <v>&gt;1980</v>
      </c>
      <c r="J322" s="2">
        <v>15</v>
      </c>
      <c r="K322" s="2">
        <f t="shared" ref="K322:K385" si="64">MROUND(J322,10)</f>
        <v>20</v>
      </c>
      <c r="L322" s="2">
        <v>68</v>
      </c>
      <c r="M322" s="2">
        <v>53</v>
      </c>
      <c r="N322" s="2">
        <v>3</v>
      </c>
      <c r="O322" s="2">
        <v>0</v>
      </c>
      <c r="P322" s="2">
        <v>2</v>
      </c>
      <c r="Q322" s="2">
        <v>1</v>
      </c>
      <c r="R322" s="2">
        <v>12.5</v>
      </c>
      <c r="S322" s="2">
        <v>12.5</v>
      </c>
      <c r="T322" s="2">
        <v>15.5</v>
      </c>
      <c r="U322" s="2">
        <v>32</v>
      </c>
      <c r="V322" s="1">
        <v>411</v>
      </c>
      <c r="W322" s="2">
        <v>1200.4000000000001</v>
      </c>
      <c r="X322" s="2">
        <v>355.9</v>
      </c>
      <c r="Y322" s="1">
        <f>844.5+72</f>
        <v>916.5</v>
      </c>
      <c r="Z322" s="2" t="s">
        <v>47</v>
      </c>
      <c r="AA322" s="2">
        <v>4</v>
      </c>
      <c r="AB322" s="2">
        <v>0</v>
      </c>
      <c r="AD322" s="3" t="s">
        <v>58</v>
      </c>
      <c r="AE322" s="3" t="s">
        <v>115</v>
      </c>
      <c r="AF322" s="3" t="s">
        <v>50</v>
      </c>
      <c r="AG322" s="3" t="s">
        <v>74</v>
      </c>
      <c r="AH322" s="3" t="s">
        <v>75</v>
      </c>
      <c r="AI322" s="2">
        <v>0</v>
      </c>
      <c r="AJ322" s="2">
        <v>1</v>
      </c>
      <c r="AK322" s="2">
        <v>0</v>
      </c>
      <c r="AL322" s="2">
        <v>1</v>
      </c>
      <c r="AM322" s="2">
        <v>0</v>
      </c>
      <c r="AN322" s="2">
        <v>0</v>
      </c>
      <c r="AR322" s="4"/>
      <c r="AS322" s="18" t="str">
        <f>IF(AQ322&lt;&gt;"", Y322/6.25,"")</f>
        <v/>
      </c>
      <c r="AT322" t="str">
        <f t="shared" si="58"/>
        <v/>
      </c>
      <c r="AU322" t="str">
        <f>IF(AQ322&lt;&gt;"",2.3*M322,"")</f>
        <v/>
      </c>
      <c r="AV322" s="9" t="str">
        <f t="shared" ref="AV322:AV385" si="65">IF(AQ322&lt;&gt;"",AU322/AQ322,"")</f>
        <v/>
      </c>
    </row>
    <row r="323" spans="1:49" x14ac:dyDescent="0.3">
      <c r="A323" s="23">
        <v>3</v>
      </c>
      <c r="B323" t="s">
        <v>42</v>
      </c>
      <c r="C323" s="1">
        <v>11222</v>
      </c>
      <c r="D323" t="s">
        <v>43</v>
      </c>
      <c r="E323" t="s">
        <v>68</v>
      </c>
      <c r="F323" t="s">
        <v>68</v>
      </c>
      <c r="G323" s="2">
        <v>1971</v>
      </c>
      <c r="H323" s="2" t="s">
        <v>69</v>
      </c>
      <c r="I323" s="2" t="str">
        <f t="shared" ref="I323:I386" si="66">IF(G323&lt;1951,"&lt;1950",IF(G323&lt;1981,"1950-1980","&gt;1980"))</f>
        <v>1950-1980</v>
      </c>
      <c r="J323" s="2">
        <v>12</v>
      </c>
      <c r="K323" s="2">
        <f t="shared" si="64"/>
        <v>10</v>
      </c>
      <c r="L323" s="2">
        <v>54</v>
      </c>
      <c r="M323" s="2">
        <v>42</v>
      </c>
      <c r="N323" s="2">
        <v>2</v>
      </c>
      <c r="O323" s="2">
        <v>0</v>
      </c>
      <c r="P323" s="2">
        <v>3</v>
      </c>
      <c r="Q323" s="2">
        <v>1</v>
      </c>
      <c r="R323" s="2">
        <v>7</v>
      </c>
      <c r="S323" s="2">
        <v>7</v>
      </c>
      <c r="T323" s="2">
        <v>9</v>
      </c>
      <c r="U323" s="2">
        <v>46</v>
      </c>
      <c r="V323" s="1">
        <v>390</v>
      </c>
      <c r="W323" s="2">
        <v>852.8</v>
      </c>
      <c r="X323" s="2">
        <v>324</v>
      </c>
      <c r="Y323" s="1">
        <v>613</v>
      </c>
      <c r="Z323" s="2" t="s">
        <v>47</v>
      </c>
      <c r="AA323" s="2">
        <v>10</v>
      </c>
      <c r="AB323" s="2">
        <v>6</v>
      </c>
      <c r="AC323" s="2">
        <v>0</v>
      </c>
      <c r="AD323" s="3" t="s">
        <v>58</v>
      </c>
      <c r="AE323" s="3" t="s">
        <v>49</v>
      </c>
      <c r="AF323" s="3" t="s">
        <v>59</v>
      </c>
      <c r="AG323" s="3" t="s">
        <v>60</v>
      </c>
      <c r="AH323" s="3" t="s">
        <v>52</v>
      </c>
      <c r="AI323" s="2">
        <v>1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 t="s">
        <v>61</v>
      </c>
      <c r="AP323" s="1">
        <f>356.7+79</f>
        <v>435.7</v>
      </c>
      <c r="AQ323" s="1">
        <f>80.4+62.1</f>
        <v>142.5</v>
      </c>
      <c r="AR323" s="4">
        <f>AQ323/(AP323+AQ323)</f>
        <v>0.2464545140089934</v>
      </c>
      <c r="AS323" s="18">
        <f>IF(AQ323&lt;&gt;"", Y323/5.8,"")</f>
        <v>105.68965517241379</v>
      </c>
      <c r="AT323">
        <f t="shared" si="58"/>
        <v>0.74168179068360562</v>
      </c>
      <c r="AU323">
        <f>IF(AQ323&lt;&gt;"",2.3*M323,"")</f>
        <v>96.6</v>
      </c>
      <c r="AV323" s="9">
        <f t="shared" si="65"/>
        <v>0.67789473684210522</v>
      </c>
    </row>
    <row r="324" spans="1:49" x14ac:dyDescent="0.3">
      <c r="A324" s="23">
        <v>215</v>
      </c>
      <c r="B324" t="s">
        <v>42</v>
      </c>
      <c r="C324" s="1">
        <v>11222</v>
      </c>
      <c r="D324" t="s">
        <v>43</v>
      </c>
      <c r="E324" t="s">
        <v>68</v>
      </c>
      <c r="F324" t="s">
        <v>68</v>
      </c>
      <c r="G324" s="2">
        <v>1970</v>
      </c>
      <c r="H324" s="2" t="s">
        <v>57</v>
      </c>
      <c r="I324" s="2" t="str">
        <f t="shared" si="66"/>
        <v>1950-1980</v>
      </c>
      <c r="J324" s="2">
        <v>16</v>
      </c>
      <c r="K324" s="2">
        <f t="shared" si="64"/>
        <v>20</v>
      </c>
      <c r="L324" s="2">
        <v>79</v>
      </c>
      <c r="M324" s="2">
        <v>63</v>
      </c>
      <c r="N324" s="2">
        <v>4</v>
      </c>
      <c r="O324" s="2">
        <v>0</v>
      </c>
      <c r="P324" s="2">
        <v>2</v>
      </c>
      <c r="Q324" s="2">
        <v>1</v>
      </c>
      <c r="R324" s="2">
        <v>14.8</v>
      </c>
      <c r="S324" s="2">
        <v>15</v>
      </c>
      <c r="V324" s="1">
        <v>290</v>
      </c>
      <c r="W324" s="2">
        <v>1105.7</v>
      </c>
      <c r="X324" s="2">
        <v>293.5</v>
      </c>
      <c r="Y324" s="1">
        <f>862</f>
        <v>862</v>
      </c>
      <c r="Z324" s="2" t="s">
        <v>47</v>
      </c>
      <c r="AA324" s="2">
        <v>4</v>
      </c>
      <c r="AB324" s="2">
        <v>0</v>
      </c>
      <c r="AC324" s="2">
        <v>0</v>
      </c>
      <c r="AD324" s="3" t="s">
        <v>58</v>
      </c>
      <c r="AE324" s="3" t="s">
        <v>395</v>
      </c>
      <c r="AF324" s="3" t="s">
        <v>59</v>
      </c>
      <c r="AG324" s="3" t="s">
        <v>74</v>
      </c>
      <c r="AH324" s="3" t="s">
        <v>75</v>
      </c>
      <c r="AI324" s="2">
        <v>1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 t="s">
        <v>61</v>
      </c>
      <c r="AR324" s="4"/>
      <c r="AS324" s="18" t="str">
        <f>IF(AQ324&lt;&gt;"", Y324/6.25,"")</f>
        <v/>
      </c>
      <c r="AT324" t="str">
        <f t="shared" si="58"/>
        <v/>
      </c>
      <c r="AU324" t="str">
        <f>IF(AQ324&lt;&gt;"",2.3*M324,"")</f>
        <v/>
      </c>
      <c r="AV324" s="9" t="str">
        <f t="shared" si="65"/>
        <v/>
      </c>
    </row>
    <row r="325" spans="1:49" x14ac:dyDescent="0.3">
      <c r="A325" s="23">
        <v>13</v>
      </c>
      <c r="B325" t="s">
        <v>42</v>
      </c>
      <c r="C325" s="1">
        <v>11222</v>
      </c>
      <c r="D325" t="s">
        <v>43</v>
      </c>
      <c r="E325" t="s">
        <v>101</v>
      </c>
      <c r="F325" t="s">
        <v>122</v>
      </c>
      <c r="G325" s="2">
        <v>1967</v>
      </c>
      <c r="H325" s="2" t="s">
        <v>57</v>
      </c>
      <c r="I325" s="2" t="str">
        <f t="shared" si="66"/>
        <v>1950-1980</v>
      </c>
      <c r="J325" s="2">
        <v>12</v>
      </c>
      <c r="K325" s="2">
        <f t="shared" si="64"/>
        <v>10</v>
      </c>
      <c r="L325" s="2">
        <v>60</v>
      </c>
      <c r="M325" s="2">
        <v>48</v>
      </c>
      <c r="N325" s="2">
        <v>3</v>
      </c>
      <c r="O325" s="2">
        <v>0</v>
      </c>
      <c r="P325" s="2">
        <v>2</v>
      </c>
      <c r="Q325" s="2">
        <v>1</v>
      </c>
      <c r="R325" s="2">
        <v>10.5</v>
      </c>
      <c r="S325" s="2">
        <v>10.5</v>
      </c>
      <c r="V325" s="1">
        <v>295</v>
      </c>
      <c r="W325" s="2">
        <v>902.9</v>
      </c>
      <c r="X325" s="2">
        <v>294.10000000000002</v>
      </c>
      <c r="Y325" s="1">
        <v>681</v>
      </c>
      <c r="Z325" s="2" t="s">
        <v>47</v>
      </c>
      <c r="AA325" s="2">
        <v>4</v>
      </c>
      <c r="AB325" s="2">
        <v>0</v>
      </c>
      <c r="AC325" s="2">
        <v>0</v>
      </c>
      <c r="AD325" s="3" t="s">
        <v>58</v>
      </c>
      <c r="AE325" s="3" t="s">
        <v>49</v>
      </c>
      <c r="AF325" s="3" t="s">
        <v>59</v>
      </c>
      <c r="AG325" s="3" t="s">
        <v>74</v>
      </c>
      <c r="AH325" s="3" t="s">
        <v>75</v>
      </c>
      <c r="AI325" s="2">
        <v>1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 t="s">
        <v>84</v>
      </c>
      <c r="AP325" s="1">
        <f>518+138</f>
        <v>656</v>
      </c>
      <c r="AQ325" s="1">
        <f>66+67</f>
        <v>133</v>
      </c>
      <c r="AR325" s="4">
        <f t="shared" ref="AR325:AR334" si="67">AQ325/(AP325+AQ325)</f>
        <v>0.16856780735107732</v>
      </c>
      <c r="AS325" s="18">
        <f>IF(AQ325&lt;&gt;"", Y325/5.8,"")</f>
        <v>117.41379310344828</v>
      </c>
      <c r="AT325">
        <f t="shared" si="58"/>
        <v>0.88281047446201721</v>
      </c>
      <c r="AU325">
        <f>IF(AQ325&lt;&gt;"",2.5*M325,"")</f>
        <v>120</v>
      </c>
      <c r="AV325" s="9">
        <f t="shared" si="65"/>
        <v>0.90225563909774431</v>
      </c>
    </row>
    <row r="326" spans="1:49" x14ac:dyDescent="0.3">
      <c r="A326" s="23">
        <v>135</v>
      </c>
      <c r="B326" t="s">
        <v>42</v>
      </c>
      <c r="C326" s="1">
        <v>11222</v>
      </c>
      <c r="D326" t="s">
        <v>43</v>
      </c>
      <c r="E326" t="s">
        <v>101</v>
      </c>
      <c r="F326" t="s">
        <v>102</v>
      </c>
      <c r="G326" s="2">
        <v>1973</v>
      </c>
      <c r="H326" s="2" t="s">
        <v>69</v>
      </c>
      <c r="I326" s="2" t="str">
        <f t="shared" si="66"/>
        <v>1950-1980</v>
      </c>
      <c r="J326" s="2">
        <v>12</v>
      </c>
      <c r="K326" s="2">
        <f t="shared" si="64"/>
        <v>10</v>
      </c>
      <c r="L326" s="2">
        <v>48</v>
      </c>
      <c r="M326" s="2">
        <v>36</v>
      </c>
      <c r="N326" s="2">
        <v>2</v>
      </c>
      <c r="O326" s="2">
        <v>0</v>
      </c>
      <c r="P326" s="2">
        <v>3</v>
      </c>
      <c r="Q326" s="2">
        <v>1</v>
      </c>
      <c r="R326" s="2">
        <v>8.5</v>
      </c>
      <c r="S326" s="2">
        <v>8.5</v>
      </c>
      <c r="T326" s="2">
        <v>9.9</v>
      </c>
      <c r="U326" s="2">
        <v>38.4</v>
      </c>
      <c r="V326" s="1">
        <v>452</v>
      </c>
      <c r="W326" s="2">
        <v>854.5</v>
      </c>
      <c r="X326" s="2">
        <v>339.1</v>
      </c>
      <c r="Y326" s="1">
        <v>597</v>
      </c>
      <c r="Z326" s="2" t="s">
        <v>47</v>
      </c>
      <c r="AA326" s="2">
        <v>4</v>
      </c>
      <c r="AB326" s="2">
        <v>0</v>
      </c>
      <c r="AC326" s="2">
        <v>0</v>
      </c>
      <c r="AD326" s="3" t="s">
        <v>80</v>
      </c>
      <c r="AE326" s="3" t="s">
        <v>58</v>
      </c>
      <c r="AF326" s="3" t="s">
        <v>50</v>
      </c>
      <c r="AG326" s="3" t="s">
        <v>51</v>
      </c>
      <c r="AH326" s="3" t="s">
        <v>81</v>
      </c>
      <c r="AI326" s="2">
        <v>0</v>
      </c>
      <c r="AJ326" s="2">
        <v>1</v>
      </c>
      <c r="AK326" s="2">
        <v>0</v>
      </c>
      <c r="AL326" s="2">
        <v>0</v>
      </c>
      <c r="AM326" s="2">
        <v>0</v>
      </c>
      <c r="AN326" s="2">
        <v>1</v>
      </c>
      <c r="AO326" s="2" t="s">
        <v>76</v>
      </c>
      <c r="AP326" s="1">
        <v>417.5</v>
      </c>
      <c r="AQ326" s="1">
        <f>51.8+4.1+4.1+41</f>
        <v>101</v>
      </c>
      <c r="AR326" s="4">
        <f t="shared" si="67"/>
        <v>0.19479267116682739</v>
      </c>
      <c r="AS326" s="18">
        <f>IF(AQ326&lt;&gt;"", Y326/5.8,"")</f>
        <v>102.93103448275862</v>
      </c>
      <c r="AT326">
        <f t="shared" si="58"/>
        <v>1.0191191532946398</v>
      </c>
      <c r="AU326">
        <f>IF(AQ326&lt;&gt;"",2.3*M326,"")</f>
        <v>82.8</v>
      </c>
      <c r="AV326" s="9">
        <f t="shared" si="65"/>
        <v>0.81980198019801975</v>
      </c>
    </row>
    <row r="327" spans="1:49" x14ac:dyDescent="0.3">
      <c r="A327" s="23">
        <v>231</v>
      </c>
      <c r="B327" t="s">
        <v>42</v>
      </c>
      <c r="C327" s="1">
        <v>11222</v>
      </c>
      <c r="D327" t="s">
        <v>43</v>
      </c>
      <c r="E327" t="s">
        <v>101</v>
      </c>
      <c r="F327" t="s">
        <v>261</v>
      </c>
      <c r="G327" s="2">
        <v>1985</v>
      </c>
      <c r="H327" s="2" t="s">
        <v>131</v>
      </c>
      <c r="I327" s="2" t="str">
        <f t="shared" si="66"/>
        <v>&gt;1980</v>
      </c>
      <c r="J327" s="2">
        <v>44</v>
      </c>
      <c r="K327" s="2">
        <f t="shared" si="64"/>
        <v>40</v>
      </c>
      <c r="L327" s="2">
        <v>213</v>
      </c>
      <c r="M327" s="2">
        <v>169</v>
      </c>
      <c r="N327" s="2">
        <v>5</v>
      </c>
      <c r="O327" s="2">
        <v>0</v>
      </c>
      <c r="P327" s="2">
        <v>3</v>
      </c>
      <c r="Q327" s="2">
        <v>1</v>
      </c>
      <c r="R327" s="2">
        <v>18</v>
      </c>
      <c r="S327" s="2">
        <v>18</v>
      </c>
      <c r="T327" s="2">
        <v>40.799999999999997</v>
      </c>
      <c r="U327" s="2">
        <v>43.2</v>
      </c>
      <c r="V327" s="1">
        <v>815</v>
      </c>
      <c r="W327" s="2">
        <v>3765.9</v>
      </c>
      <c r="X327" s="2">
        <v>893.7</v>
      </c>
      <c r="Y327" s="1">
        <v>3232.1</v>
      </c>
      <c r="Z327" s="2" t="s">
        <v>47</v>
      </c>
      <c r="AA327" s="2">
        <v>8</v>
      </c>
      <c r="AB327" s="2">
        <v>4</v>
      </c>
      <c r="AD327" s="3" t="s">
        <v>58</v>
      </c>
      <c r="AE327" s="3" t="s">
        <v>115</v>
      </c>
      <c r="AF327" s="3" t="s">
        <v>50</v>
      </c>
      <c r="AG327" s="3" t="s">
        <v>74</v>
      </c>
      <c r="AH327" s="3" t="s">
        <v>75</v>
      </c>
      <c r="AI327" s="2">
        <v>1</v>
      </c>
      <c r="AJ327" s="2">
        <v>0</v>
      </c>
      <c r="AK327" s="2">
        <v>0</v>
      </c>
      <c r="AL327" s="2">
        <v>1</v>
      </c>
      <c r="AM327" s="2">
        <v>0</v>
      </c>
      <c r="AN327" s="2">
        <v>0</v>
      </c>
      <c r="AO327" s="2" t="s">
        <v>123</v>
      </c>
      <c r="AP327" s="1">
        <f>2141.5</f>
        <v>2141.5</v>
      </c>
      <c r="AQ327" s="1">
        <f>181.1+172.5+110.6+106.7</f>
        <v>570.90000000000009</v>
      </c>
      <c r="AR327" s="4">
        <f t="shared" si="67"/>
        <v>0.21047780563338744</v>
      </c>
      <c r="AS327" s="18">
        <f>IF(AQ327&lt;&gt;"", Y327/5.8,"")</f>
        <v>557.25862068965512</v>
      </c>
      <c r="AT327">
        <f t="shared" si="58"/>
        <v>0.97610548377939221</v>
      </c>
      <c r="AU327">
        <f>IF(AQ327&lt;&gt;"",2.5*M327,"")</f>
        <v>422.5</v>
      </c>
      <c r="AV327" s="9">
        <f t="shared" si="65"/>
        <v>0.74005955508845667</v>
      </c>
    </row>
    <row r="328" spans="1:49" x14ac:dyDescent="0.3">
      <c r="A328" s="23">
        <v>43</v>
      </c>
      <c r="B328" t="s">
        <v>42</v>
      </c>
      <c r="C328" s="1">
        <v>11222</v>
      </c>
      <c r="D328" t="s">
        <v>43</v>
      </c>
      <c r="E328" t="s">
        <v>241</v>
      </c>
      <c r="F328" t="s">
        <v>320</v>
      </c>
      <c r="G328" s="2">
        <v>1988</v>
      </c>
      <c r="H328" s="2" t="s">
        <v>131</v>
      </c>
      <c r="I328" s="2" t="str">
        <f t="shared" si="66"/>
        <v>&gt;1980</v>
      </c>
      <c r="J328" s="2">
        <v>28</v>
      </c>
      <c r="K328" s="2">
        <f t="shared" si="64"/>
        <v>30</v>
      </c>
      <c r="L328" s="2">
        <v>126</v>
      </c>
      <c r="M328" s="2">
        <v>98</v>
      </c>
      <c r="N328" s="2">
        <v>5</v>
      </c>
      <c r="O328" s="2">
        <v>0</v>
      </c>
      <c r="P328" s="2">
        <v>4</v>
      </c>
      <c r="Q328" s="2">
        <v>1</v>
      </c>
      <c r="R328" s="2">
        <v>19.399999999999999</v>
      </c>
      <c r="S328" s="2">
        <v>19.5</v>
      </c>
      <c r="T328" s="2">
        <v>33.1</v>
      </c>
      <c r="U328" s="2">
        <v>60.6</v>
      </c>
      <c r="V328" s="1">
        <v>778</v>
      </c>
      <c r="W328" s="2">
        <v>2670.6</v>
      </c>
      <c r="X328" s="2">
        <v>798.6</v>
      </c>
      <c r="Y328" s="1">
        <v>2456</v>
      </c>
      <c r="Z328" s="2" t="s">
        <v>47</v>
      </c>
      <c r="AA328" s="2">
        <v>24</v>
      </c>
      <c r="AB328" s="2">
        <v>20</v>
      </c>
      <c r="AD328" s="3" t="s">
        <v>58</v>
      </c>
      <c r="AE328" s="3" t="s">
        <v>115</v>
      </c>
      <c r="AF328" s="3" t="s">
        <v>50</v>
      </c>
      <c r="AG328" s="3" t="s">
        <v>74</v>
      </c>
      <c r="AH328" s="3" t="s">
        <v>75</v>
      </c>
      <c r="AI328" s="2">
        <v>1</v>
      </c>
      <c r="AJ328" s="2">
        <v>0</v>
      </c>
      <c r="AK328" s="2">
        <v>0</v>
      </c>
      <c r="AL328" s="2">
        <v>1</v>
      </c>
      <c r="AM328" s="2">
        <v>0</v>
      </c>
      <c r="AN328" s="2">
        <v>0</v>
      </c>
      <c r="AO328" s="2" t="s">
        <v>76</v>
      </c>
      <c r="AP328" s="1">
        <f>2167+304</f>
        <v>2471</v>
      </c>
      <c r="AQ328" s="1">
        <f>217+12+4+106</f>
        <v>339</v>
      </c>
      <c r="AR328" s="4">
        <f t="shared" si="67"/>
        <v>0.1206405693950178</v>
      </c>
      <c r="AS328" s="18">
        <f>IF(AQ328&lt;&gt;"", Y328/5.8,"")</f>
        <v>423.44827586206895</v>
      </c>
      <c r="AT328">
        <f t="shared" si="58"/>
        <v>1.2491099582951886</v>
      </c>
      <c r="AU328">
        <f>IF(AQ328&lt;&gt;"",2.5*M328,"")</f>
        <v>245</v>
      </c>
      <c r="AV328" s="9">
        <f t="shared" si="65"/>
        <v>0.72271386430678464</v>
      </c>
    </row>
    <row r="329" spans="1:49" x14ac:dyDescent="0.3">
      <c r="A329" s="24" t="s">
        <v>262</v>
      </c>
      <c r="B329" t="s">
        <v>42</v>
      </c>
      <c r="C329" s="2">
        <v>11222</v>
      </c>
      <c r="D329" t="s">
        <v>43</v>
      </c>
      <c r="E329" t="s">
        <v>101</v>
      </c>
      <c r="F329" t="s">
        <v>261</v>
      </c>
      <c r="G329" s="2">
        <v>1992</v>
      </c>
      <c r="H329" s="2" t="s">
        <v>167</v>
      </c>
      <c r="I329" s="2" t="str">
        <f t="shared" si="66"/>
        <v>&gt;1980</v>
      </c>
      <c r="J329" s="14">
        <v>18</v>
      </c>
      <c r="K329" s="2">
        <f t="shared" si="64"/>
        <v>20</v>
      </c>
      <c r="L329" s="14">
        <f>62+2*18</f>
        <v>98</v>
      </c>
      <c r="M329" s="14">
        <f>62+18</f>
        <v>80</v>
      </c>
      <c r="N329" s="2">
        <v>3</v>
      </c>
      <c r="O329" s="2">
        <v>0</v>
      </c>
      <c r="P329" s="2">
        <v>3</v>
      </c>
      <c r="Q329" s="2">
        <v>0</v>
      </c>
      <c r="R329" s="15">
        <v>10.81</v>
      </c>
      <c r="S329" s="2">
        <v>11</v>
      </c>
      <c r="T329" s="15">
        <v>12.48</v>
      </c>
      <c r="U329" s="15">
        <v>55.56</v>
      </c>
      <c r="V329" s="2">
        <v>684</v>
      </c>
      <c r="W329" s="2">
        <v>1981.2</v>
      </c>
      <c r="Y329" s="2">
        <v>1551.5</v>
      </c>
      <c r="Z329" s="2" t="s">
        <v>47</v>
      </c>
      <c r="AA329">
        <v>4</v>
      </c>
      <c r="AB329" s="2">
        <v>0</v>
      </c>
      <c r="AC329"/>
      <c r="AD329" s="3" t="s">
        <v>58</v>
      </c>
      <c r="AE329" s="3" t="s">
        <v>191</v>
      </c>
      <c r="AF329" s="3" t="s">
        <v>50</v>
      </c>
      <c r="AG329" s="3" t="s">
        <v>51</v>
      </c>
      <c r="AH329" s="3" t="s">
        <v>75</v>
      </c>
      <c r="AI329" s="2">
        <v>0</v>
      </c>
      <c r="AJ329" s="2">
        <v>1</v>
      </c>
      <c r="AK329" s="2">
        <v>0</v>
      </c>
      <c r="AL329" s="2">
        <v>0</v>
      </c>
      <c r="AM329" s="2">
        <v>1</v>
      </c>
      <c r="AN329" s="2">
        <v>1</v>
      </c>
      <c r="AO329" s="2" t="s">
        <v>76</v>
      </c>
      <c r="AP329" s="2">
        <v>991.49</v>
      </c>
      <c r="AQ329" s="2">
        <v>210.15600000000001</v>
      </c>
      <c r="AR329" s="4">
        <f t="shared" si="67"/>
        <v>0.17489010906706301</v>
      </c>
      <c r="AS329" s="18">
        <f>IF(AQ329&lt;&gt;"", Y329/5.8,"")</f>
        <v>267.5</v>
      </c>
      <c r="AT329">
        <f t="shared" si="58"/>
        <v>1.2728639677192182</v>
      </c>
      <c r="AU329">
        <f>IF(AQ329&lt;&gt;"",2.5*M329,"")</f>
        <v>200</v>
      </c>
      <c r="AV329" s="9">
        <f t="shared" si="65"/>
        <v>0.95167399455642476</v>
      </c>
      <c r="AW329" t="s">
        <v>243</v>
      </c>
    </row>
    <row r="330" spans="1:49" x14ac:dyDescent="0.3">
      <c r="A330" s="23">
        <v>87</v>
      </c>
      <c r="B330" t="s">
        <v>42</v>
      </c>
      <c r="C330" s="1">
        <v>11222</v>
      </c>
      <c r="D330" t="s">
        <v>85</v>
      </c>
      <c r="E330" t="s">
        <v>86</v>
      </c>
      <c r="F330" t="s">
        <v>86</v>
      </c>
      <c r="G330" s="2">
        <v>1977</v>
      </c>
      <c r="H330" s="2" t="s">
        <v>69</v>
      </c>
      <c r="I330" s="2" t="str">
        <f t="shared" si="66"/>
        <v>1950-1980</v>
      </c>
      <c r="J330" s="2">
        <v>40</v>
      </c>
      <c r="K330" s="2">
        <f t="shared" si="64"/>
        <v>40</v>
      </c>
      <c r="L330" s="2">
        <v>170</v>
      </c>
      <c r="M330" s="2">
        <v>130</v>
      </c>
      <c r="N330" s="2">
        <v>5</v>
      </c>
      <c r="O330" s="2">
        <v>0</v>
      </c>
      <c r="P330" s="2">
        <v>2</v>
      </c>
      <c r="Q330" s="2">
        <v>1</v>
      </c>
      <c r="R330" s="2">
        <v>17.2</v>
      </c>
      <c r="S330" s="2">
        <v>17</v>
      </c>
      <c r="T330" s="2">
        <v>32.1</v>
      </c>
      <c r="U330" s="2">
        <v>33.200000000000003</v>
      </c>
      <c r="V330" s="1">
        <v>645.6</v>
      </c>
      <c r="W330" s="2">
        <v>2760.2</v>
      </c>
      <c r="X330" s="2">
        <v>701</v>
      </c>
      <c r="Y330" s="1">
        <v>2760.2</v>
      </c>
      <c r="Z330" s="2" t="s">
        <v>298</v>
      </c>
      <c r="AA330" s="2">
        <v>14</v>
      </c>
      <c r="AB330" s="2">
        <v>10</v>
      </c>
      <c r="AD330" s="3" t="s">
        <v>91</v>
      </c>
      <c r="AE330" s="3" t="s">
        <v>92</v>
      </c>
      <c r="AF330" s="3" t="s">
        <v>50</v>
      </c>
      <c r="AG330" s="3" t="s">
        <v>74</v>
      </c>
      <c r="AH330" s="3" t="s">
        <v>75</v>
      </c>
      <c r="AI330" s="2">
        <v>1</v>
      </c>
      <c r="AJ330" s="2">
        <v>0</v>
      </c>
      <c r="AK330" s="2">
        <v>0</v>
      </c>
      <c r="AL330" s="2">
        <v>1</v>
      </c>
      <c r="AM330" s="2">
        <v>0</v>
      </c>
      <c r="AN330" s="2">
        <v>1</v>
      </c>
      <c r="AO330" s="2" t="s">
        <v>76</v>
      </c>
      <c r="AP330" s="1">
        <f>1194.2+175.9</f>
        <v>1370.1000000000001</v>
      </c>
      <c r="AQ330" s="1">
        <f>59.9+52.9+113.8+83.7+17.5+134.4</f>
        <v>462.20000000000005</v>
      </c>
      <c r="AR330" s="4">
        <f t="shared" si="67"/>
        <v>0.25225126889701466</v>
      </c>
      <c r="AS330" s="18">
        <f>IF(AQ330&lt;&gt;"", Y330/6.25,"")</f>
        <v>441.63199999999995</v>
      </c>
      <c r="AT330">
        <f t="shared" si="58"/>
        <v>0.95549978364344423</v>
      </c>
      <c r="AU330">
        <f>IF(AQ330&lt;&gt;"",2.27*M330,"")</f>
        <v>295.10000000000002</v>
      </c>
      <c r="AV330" s="9">
        <f t="shared" si="65"/>
        <v>0.63846819558632628</v>
      </c>
    </row>
    <row r="331" spans="1:49" x14ac:dyDescent="0.3">
      <c r="A331" s="23">
        <v>218</v>
      </c>
      <c r="B331" t="s">
        <v>42</v>
      </c>
      <c r="C331" s="1">
        <v>11222</v>
      </c>
      <c r="D331" t="s">
        <v>128</v>
      </c>
      <c r="E331" t="s">
        <v>129</v>
      </c>
      <c r="F331" t="s">
        <v>129</v>
      </c>
      <c r="G331" s="2">
        <v>1978</v>
      </c>
      <c r="H331" s="2" t="s">
        <v>69</v>
      </c>
      <c r="I331" s="2" t="str">
        <f t="shared" si="66"/>
        <v>1950-1980</v>
      </c>
      <c r="J331" s="2">
        <v>36</v>
      </c>
      <c r="K331" s="2">
        <f t="shared" si="64"/>
        <v>40</v>
      </c>
      <c r="L331" s="2">
        <v>144</v>
      </c>
      <c r="M331" s="2">
        <v>108</v>
      </c>
      <c r="N331" s="2">
        <v>4</v>
      </c>
      <c r="O331" s="2">
        <v>0</v>
      </c>
      <c r="P331" s="2">
        <v>1</v>
      </c>
      <c r="Q331" s="2">
        <v>1</v>
      </c>
      <c r="R331" s="2">
        <v>13.3</v>
      </c>
      <c r="S331" s="2">
        <v>13.5</v>
      </c>
      <c r="T331" s="2">
        <v>25</v>
      </c>
      <c r="U331" s="2">
        <v>46</v>
      </c>
      <c r="V331" s="1">
        <v>618.1</v>
      </c>
      <c r="W331" s="2">
        <v>2249.6999999999998</v>
      </c>
      <c r="X331" s="2">
        <v>501.5</v>
      </c>
      <c r="Y331" s="1">
        <v>1892.1</v>
      </c>
      <c r="Z331" s="2" t="s">
        <v>298</v>
      </c>
      <c r="AA331" s="2">
        <v>8</v>
      </c>
      <c r="AB331" s="2">
        <v>4</v>
      </c>
      <c r="AD331" s="3" t="s">
        <v>300</v>
      </c>
      <c r="AE331" s="3" t="s">
        <v>66</v>
      </c>
      <c r="AF331" s="3" t="s">
        <v>202</v>
      </c>
      <c r="AG331" s="3" t="s">
        <v>74</v>
      </c>
      <c r="AH331" s="3" t="s">
        <v>100</v>
      </c>
      <c r="AI331" s="2">
        <v>1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 t="s">
        <v>123</v>
      </c>
      <c r="AP331" s="1">
        <f>712.2+506</f>
        <v>1218.2</v>
      </c>
      <c r="AQ331" s="1">
        <f>259.7</f>
        <v>259.7</v>
      </c>
      <c r="AR331" s="4">
        <f t="shared" si="67"/>
        <v>0.17572230868123687</v>
      </c>
      <c r="AS331" s="18">
        <f>IF(AQ331&lt;&gt;"", Y331/6.25,"")</f>
        <v>302.73599999999999</v>
      </c>
      <c r="AT331">
        <f t="shared" si="58"/>
        <v>1.1657142857142857</v>
      </c>
      <c r="AU331">
        <f>IF(AQ331&lt;&gt;"",2.27*M331,"")</f>
        <v>245.16</v>
      </c>
      <c r="AV331" s="9">
        <f t="shared" si="65"/>
        <v>0.94401232190989603</v>
      </c>
    </row>
    <row r="332" spans="1:49" x14ac:dyDescent="0.3">
      <c r="A332" s="23">
        <v>219</v>
      </c>
      <c r="B332" t="s">
        <v>42</v>
      </c>
      <c r="C332" s="1">
        <v>11222</v>
      </c>
      <c r="D332" t="s">
        <v>128</v>
      </c>
      <c r="E332" t="s">
        <v>129</v>
      </c>
      <c r="F332" t="s">
        <v>129</v>
      </c>
      <c r="G332" s="2">
        <v>1978</v>
      </c>
      <c r="H332" s="2" t="s">
        <v>69</v>
      </c>
      <c r="I332" s="2" t="str">
        <f t="shared" si="66"/>
        <v>1950-1980</v>
      </c>
      <c r="J332" s="2">
        <v>35</v>
      </c>
      <c r="K332" s="2">
        <f t="shared" si="64"/>
        <v>40</v>
      </c>
      <c r="L332" s="2">
        <v>107</v>
      </c>
      <c r="M332" s="2">
        <v>72</v>
      </c>
      <c r="N332" s="2">
        <v>4</v>
      </c>
      <c r="O332" s="2">
        <v>0</v>
      </c>
      <c r="P332" s="2">
        <v>4</v>
      </c>
      <c r="Q332" s="2">
        <v>1</v>
      </c>
      <c r="R332" s="2">
        <v>13.3</v>
      </c>
      <c r="S332" s="2">
        <v>13.5</v>
      </c>
      <c r="T332" s="2">
        <v>25</v>
      </c>
      <c r="U332" s="2">
        <v>46</v>
      </c>
      <c r="V332" s="1">
        <v>618.1</v>
      </c>
      <c r="W332" s="2">
        <v>2249.6999999999998</v>
      </c>
      <c r="X332" s="2">
        <v>501.5</v>
      </c>
      <c r="Y332" s="1">
        <v>1892.1</v>
      </c>
      <c r="Z332" s="2" t="s">
        <v>298</v>
      </c>
      <c r="AA332" s="2">
        <v>8</v>
      </c>
      <c r="AB332" s="2">
        <v>4</v>
      </c>
      <c r="AD332" s="3" t="s">
        <v>299</v>
      </c>
      <c r="AE332" s="3" t="s">
        <v>66</v>
      </c>
      <c r="AF332" s="3" t="s">
        <v>202</v>
      </c>
      <c r="AG332" s="3" t="s">
        <v>74</v>
      </c>
      <c r="AH332" s="3" t="s">
        <v>100</v>
      </c>
      <c r="AI332" s="2">
        <v>1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 t="s">
        <v>123</v>
      </c>
      <c r="AP332" s="1">
        <v>1179.5999999999999</v>
      </c>
      <c r="AQ332" s="1">
        <f>171.7+182.7+1.9</f>
        <v>356.29999999999995</v>
      </c>
      <c r="AR332" s="4">
        <f t="shared" si="67"/>
        <v>0.23198124877921739</v>
      </c>
      <c r="AS332" s="18">
        <f>IF(AQ332&lt;&gt;"", Y332/5.8,"")</f>
        <v>326.22413793103448</v>
      </c>
      <c r="AT332">
        <f t="shared" si="58"/>
        <v>0.91558837477135702</v>
      </c>
      <c r="AU332">
        <f>IF(AQ332&lt;&gt;"",2.5*M332,"")</f>
        <v>180</v>
      </c>
      <c r="AV332" s="9">
        <f t="shared" si="65"/>
        <v>0.50519225371877641</v>
      </c>
    </row>
    <row r="333" spans="1:49" x14ac:dyDescent="0.3">
      <c r="A333" s="23">
        <v>164</v>
      </c>
      <c r="B333" t="s">
        <v>42</v>
      </c>
      <c r="C333" s="1">
        <v>11222</v>
      </c>
      <c r="D333" t="s">
        <v>85</v>
      </c>
      <c r="E333" t="s">
        <v>276</v>
      </c>
      <c r="F333" t="s">
        <v>277</v>
      </c>
      <c r="G333" s="2">
        <v>1980</v>
      </c>
      <c r="H333" s="2" t="s">
        <v>69</v>
      </c>
      <c r="I333" s="2" t="str">
        <f t="shared" si="66"/>
        <v>1950-1980</v>
      </c>
      <c r="J333" s="2">
        <v>42</v>
      </c>
      <c r="K333" s="2">
        <f t="shared" si="64"/>
        <v>40</v>
      </c>
      <c r="L333" s="2">
        <v>141</v>
      </c>
      <c r="M333" s="2">
        <v>99</v>
      </c>
      <c r="N333" s="2">
        <v>3</v>
      </c>
      <c r="O333" s="2">
        <v>0</v>
      </c>
      <c r="P333" s="2">
        <v>1</v>
      </c>
      <c r="Q333" s="2">
        <v>1</v>
      </c>
      <c r="R333" s="2">
        <v>12.5</v>
      </c>
      <c r="S333" s="2">
        <v>12.5</v>
      </c>
      <c r="T333" s="2">
        <v>16.5</v>
      </c>
      <c r="U333" s="2">
        <v>48.8</v>
      </c>
      <c r="V333" s="1">
        <v>694</v>
      </c>
      <c r="W333" s="2">
        <v>1696.5</v>
      </c>
      <c r="X333" s="2">
        <v>346.6</v>
      </c>
      <c r="Y333" s="1">
        <v>1697</v>
      </c>
      <c r="Z333" s="2" t="s">
        <v>278</v>
      </c>
      <c r="AA333" s="2">
        <v>8</v>
      </c>
      <c r="AB333" s="2">
        <v>4</v>
      </c>
      <c r="AD333" s="3" t="s">
        <v>91</v>
      </c>
      <c r="AE333" s="3" t="s">
        <v>115</v>
      </c>
      <c r="AF333" s="3" t="s">
        <v>50</v>
      </c>
      <c r="AG333" s="3" t="s">
        <v>51</v>
      </c>
      <c r="AH333" s="3" t="s">
        <v>81</v>
      </c>
      <c r="AI333" s="2">
        <v>0</v>
      </c>
      <c r="AJ333" s="2">
        <v>1</v>
      </c>
      <c r="AK333" s="2">
        <v>0</v>
      </c>
      <c r="AL333" s="2">
        <v>0</v>
      </c>
      <c r="AM333" s="2">
        <v>0</v>
      </c>
      <c r="AN333" s="2">
        <v>1</v>
      </c>
      <c r="AO333" s="2" t="s">
        <v>84</v>
      </c>
      <c r="AP333" s="1">
        <f>855.3+20.6</f>
        <v>875.9</v>
      </c>
      <c r="AQ333" s="1">
        <f>198.4</f>
        <v>198.4</v>
      </c>
      <c r="AR333" s="4">
        <f t="shared" si="67"/>
        <v>0.18467839523410595</v>
      </c>
      <c r="AS333" s="18">
        <f>IF(AQ333&lt;&gt;"", Y333/6.25,"")</f>
        <v>271.52</v>
      </c>
      <c r="AT333">
        <f t="shared" si="58"/>
        <v>1.3685483870967741</v>
      </c>
      <c r="AU333">
        <f>IF(AQ333&lt;&gt;"",2.27*M333,"")</f>
        <v>224.73</v>
      </c>
      <c r="AV333" s="9">
        <f t="shared" si="65"/>
        <v>1.132711693548387</v>
      </c>
    </row>
    <row r="334" spans="1:49" x14ac:dyDescent="0.3">
      <c r="A334" s="23">
        <v>245</v>
      </c>
      <c r="B334" t="s">
        <v>42</v>
      </c>
      <c r="C334" s="1">
        <v>11222</v>
      </c>
      <c r="D334" t="s">
        <v>43</v>
      </c>
      <c r="E334" t="s">
        <v>68</v>
      </c>
      <c r="F334" t="s">
        <v>68</v>
      </c>
      <c r="G334" s="2">
        <v>1986</v>
      </c>
      <c r="H334" s="2" t="s">
        <v>131</v>
      </c>
      <c r="I334" s="2" t="str">
        <f t="shared" si="66"/>
        <v>&gt;1980</v>
      </c>
      <c r="J334" s="2">
        <v>40</v>
      </c>
      <c r="K334" s="2">
        <f t="shared" si="64"/>
        <v>40</v>
      </c>
      <c r="L334" s="2">
        <v>124</v>
      </c>
      <c r="M334" s="2">
        <v>84</v>
      </c>
      <c r="N334" s="2">
        <v>3</v>
      </c>
      <c r="O334" s="2">
        <v>0</v>
      </c>
      <c r="P334" s="2">
        <v>2</v>
      </c>
      <c r="Q334" s="2">
        <v>1</v>
      </c>
      <c r="R334" s="2">
        <v>9.3000000000000007</v>
      </c>
      <c r="S334" s="2">
        <v>9.5</v>
      </c>
      <c r="T334" s="2">
        <v>16.3</v>
      </c>
      <c r="U334" s="2">
        <v>48.7</v>
      </c>
      <c r="V334" s="1">
        <v>712</v>
      </c>
      <c r="W334" s="2">
        <v>2332.3000000000002</v>
      </c>
      <c r="X334" s="2">
        <v>848.6</v>
      </c>
      <c r="Y334" s="1">
        <v>1743.8</v>
      </c>
      <c r="Z334" s="2" t="s">
        <v>278</v>
      </c>
      <c r="AA334" s="2">
        <v>8</v>
      </c>
      <c r="AB334" s="2">
        <v>4</v>
      </c>
      <c r="AD334" s="3" t="s">
        <v>126</v>
      </c>
      <c r="AE334" s="3" t="s">
        <v>115</v>
      </c>
      <c r="AF334" s="3" t="s">
        <v>83</v>
      </c>
      <c r="AG334" s="3" t="s">
        <v>74</v>
      </c>
      <c r="AH334" s="3" t="s">
        <v>75</v>
      </c>
      <c r="AI334" s="2">
        <v>1</v>
      </c>
      <c r="AJ334" s="2">
        <v>0</v>
      </c>
      <c r="AK334" s="2">
        <v>0</v>
      </c>
      <c r="AL334" s="2">
        <v>1</v>
      </c>
      <c r="AM334" s="2">
        <v>0</v>
      </c>
      <c r="AN334" s="2">
        <v>1</v>
      </c>
      <c r="AO334" s="2" t="s">
        <v>123</v>
      </c>
      <c r="AP334" s="16">
        <v>928.4</v>
      </c>
      <c r="AQ334" s="16">
        <f>103.7+3.6+5.5+99.6</f>
        <v>212.39999999999998</v>
      </c>
      <c r="AR334" s="4">
        <f t="shared" si="67"/>
        <v>0.18618513323983168</v>
      </c>
      <c r="AS334" s="18">
        <f>IF(AQ334&lt;&gt;"", Y334/5.8,"")</f>
        <v>300.65517241379308</v>
      </c>
      <c r="AT334">
        <f t="shared" si="58"/>
        <v>1.4155139944152217</v>
      </c>
      <c r="AU334">
        <f>IF(AQ334&lt;&gt;"",2.5*M334,"")</f>
        <v>210</v>
      </c>
      <c r="AV334" s="9">
        <f t="shared" si="65"/>
        <v>0.98870056497175152</v>
      </c>
    </row>
    <row r="335" spans="1:49" x14ac:dyDescent="0.3">
      <c r="A335" s="23">
        <v>18</v>
      </c>
      <c r="B335" t="s">
        <v>42</v>
      </c>
      <c r="C335" s="1">
        <v>11222</v>
      </c>
      <c r="D335" t="s">
        <v>85</v>
      </c>
      <c r="E335" t="s">
        <v>86</v>
      </c>
      <c r="F335" t="s">
        <v>206</v>
      </c>
      <c r="G335" s="2">
        <v>1992</v>
      </c>
      <c r="H335" s="2" t="s">
        <v>167</v>
      </c>
      <c r="I335" s="2" t="str">
        <f t="shared" si="66"/>
        <v>&gt;1980</v>
      </c>
      <c r="J335" s="2">
        <v>24</v>
      </c>
      <c r="K335" s="2">
        <f t="shared" si="64"/>
        <v>20</v>
      </c>
      <c r="L335" s="2">
        <v>118</v>
      </c>
      <c r="M335" s="2">
        <v>94</v>
      </c>
      <c r="N335" s="2">
        <v>3</v>
      </c>
      <c r="O335" s="2">
        <v>0</v>
      </c>
      <c r="P335" s="2">
        <v>3</v>
      </c>
      <c r="Q335" s="2">
        <v>1</v>
      </c>
      <c r="R335" s="2">
        <v>12</v>
      </c>
      <c r="S335" s="2">
        <v>12</v>
      </c>
      <c r="T335" s="2">
        <v>13</v>
      </c>
      <c r="U335" s="2">
        <v>55</v>
      </c>
      <c r="V335" s="1">
        <v>418</v>
      </c>
      <c r="W335" s="2">
        <v>1975.8</v>
      </c>
      <c r="X335" s="2">
        <v>490.2</v>
      </c>
      <c r="Y335" s="1">
        <v>1627</v>
      </c>
      <c r="Z335" s="2" t="s">
        <v>265</v>
      </c>
      <c r="AA335" s="2">
        <v>4</v>
      </c>
      <c r="AB335" s="2">
        <v>0</v>
      </c>
      <c r="AD335" s="3" t="s">
        <v>139</v>
      </c>
      <c r="AE335" s="3" t="s">
        <v>139</v>
      </c>
      <c r="AF335" s="3" t="s">
        <v>50</v>
      </c>
      <c r="AG335" s="3" t="s">
        <v>65</v>
      </c>
      <c r="AH335" s="3" t="s">
        <v>75</v>
      </c>
      <c r="AI335" s="2">
        <v>0</v>
      </c>
      <c r="AJ335" s="2">
        <v>1</v>
      </c>
      <c r="AK335" s="2">
        <v>0</v>
      </c>
      <c r="AL335" s="2">
        <v>1</v>
      </c>
      <c r="AM335" s="2">
        <v>0</v>
      </c>
      <c r="AN335" s="2">
        <v>1</v>
      </c>
      <c r="AO335" s="2" t="s">
        <v>84</v>
      </c>
      <c r="AR335" s="4"/>
      <c r="AS335" s="18" t="str">
        <f t="shared" ref="AS335:AS343" si="68">IF(AQ335&lt;&gt;"", Y335/6.25,"")</f>
        <v/>
      </c>
      <c r="AT335" t="str">
        <f t="shared" si="58"/>
        <v/>
      </c>
      <c r="AU335" t="str">
        <f>IF(AQ335&lt;&gt;"",2.3*M335,"")</f>
        <v/>
      </c>
      <c r="AV335" s="9" t="str">
        <f t="shared" si="65"/>
        <v/>
      </c>
    </row>
    <row r="336" spans="1:49" x14ac:dyDescent="0.3">
      <c r="A336" s="23">
        <v>121</v>
      </c>
      <c r="B336" t="s">
        <v>42</v>
      </c>
      <c r="C336" s="1">
        <v>11222</v>
      </c>
      <c r="D336" t="s">
        <v>85</v>
      </c>
      <c r="E336" t="s">
        <v>86</v>
      </c>
      <c r="F336" t="s">
        <v>86</v>
      </c>
      <c r="G336" s="2">
        <v>1992</v>
      </c>
      <c r="H336" s="2" t="s">
        <v>167</v>
      </c>
      <c r="I336" s="2" t="str">
        <f t="shared" si="66"/>
        <v>&gt;1980</v>
      </c>
      <c r="J336" s="2">
        <v>40</v>
      </c>
      <c r="K336" s="2">
        <f t="shared" si="64"/>
        <v>40</v>
      </c>
      <c r="L336" s="2">
        <v>130</v>
      </c>
      <c r="M336" s="2">
        <v>90</v>
      </c>
      <c r="N336" s="2">
        <v>5</v>
      </c>
      <c r="O336" s="2">
        <v>0</v>
      </c>
      <c r="P336" s="2">
        <v>2</v>
      </c>
      <c r="Q336" s="2">
        <v>1</v>
      </c>
      <c r="R336" s="2">
        <v>16.5</v>
      </c>
      <c r="S336" s="2">
        <v>16.5</v>
      </c>
      <c r="T336" s="2">
        <v>12.5</v>
      </c>
      <c r="U336" s="2">
        <v>33.200000000000003</v>
      </c>
      <c r="V336" s="1">
        <v>389</v>
      </c>
      <c r="W336" s="2">
        <v>1904.7</v>
      </c>
      <c r="X336" s="2">
        <v>507.2</v>
      </c>
      <c r="Y336" s="1">
        <v>1602</v>
      </c>
      <c r="Z336" s="2" t="s">
        <v>265</v>
      </c>
      <c r="AA336" s="2">
        <v>4</v>
      </c>
      <c r="AB336" s="2">
        <v>0</v>
      </c>
      <c r="AD336" s="3" t="s">
        <v>91</v>
      </c>
      <c r="AE336" s="3" t="s">
        <v>92</v>
      </c>
      <c r="AF336" s="3" t="s">
        <v>50</v>
      </c>
      <c r="AG336" s="3" t="s">
        <v>74</v>
      </c>
      <c r="AH336" s="3" t="s">
        <v>75</v>
      </c>
      <c r="AI336" s="2">
        <v>1</v>
      </c>
      <c r="AJ336" s="2">
        <v>0</v>
      </c>
      <c r="AK336" s="2">
        <v>0</v>
      </c>
      <c r="AL336" s="2">
        <v>1</v>
      </c>
      <c r="AM336" s="2">
        <v>0</v>
      </c>
      <c r="AN336" s="2">
        <v>0</v>
      </c>
      <c r="AO336" s="2" t="s">
        <v>84</v>
      </c>
      <c r="AP336" s="1">
        <v>1104.0999999999999</v>
      </c>
      <c r="AQ336" s="1">
        <f>109.7+81.4</f>
        <v>191.10000000000002</v>
      </c>
      <c r="AR336" s="4">
        <f t="shared" ref="AR336:AR367" si="69">AQ336/(AP336+AQ336)</f>
        <v>0.147544780728845</v>
      </c>
      <c r="AS336" s="18">
        <f t="shared" si="68"/>
        <v>256.32</v>
      </c>
      <c r="AT336">
        <f t="shared" si="58"/>
        <v>1.3412872841444268</v>
      </c>
      <c r="AU336">
        <f t="shared" ref="AU336:AU343" si="70">IF(AQ336&lt;&gt;"",2.27*M336,"")</f>
        <v>204.3</v>
      </c>
      <c r="AV336" s="9">
        <f t="shared" si="65"/>
        <v>1.0690737833594977</v>
      </c>
    </row>
    <row r="337" spans="1:49" x14ac:dyDescent="0.3">
      <c r="A337" s="23">
        <v>173</v>
      </c>
      <c r="B337" t="s">
        <v>42</v>
      </c>
      <c r="C337" s="1">
        <v>11222</v>
      </c>
      <c r="D337" t="s">
        <v>85</v>
      </c>
      <c r="E337" t="s">
        <v>86</v>
      </c>
      <c r="F337" t="s">
        <v>86</v>
      </c>
      <c r="G337" s="2">
        <v>1980</v>
      </c>
      <c r="H337" s="2" t="s">
        <v>69</v>
      </c>
      <c r="I337" s="2" t="str">
        <f t="shared" si="66"/>
        <v>1950-1980</v>
      </c>
      <c r="J337" s="2">
        <v>36</v>
      </c>
      <c r="K337" s="2">
        <f t="shared" si="64"/>
        <v>40</v>
      </c>
      <c r="L337" s="2">
        <v>162</v>
      </c>
      <c r="M337" s="2">
        <v>126</v>
      </c>
      <c r="N337" s="2">
        <v>9</v>
      </c>
      <c r="O337" s="2">
        <v>1</v>
      </c>
      <c r="P337" s="2">
        <v>1</v>
      </c>
      <c r="Q337" s="2">
        <v>1</v>
      </c>
      <c r="R337" s="2">
        <v>30</v>
      </c>
      <c r="S337" s="2">
        <v>30</v>
      </c>
      <c r="T337" s="2">
        <v>12.2</v>
      </c>
      <c r="U337" s="2">
        <v>25.9</v>
      </c>
      <c r="V337" s="1">
        <v>327</v>
      </c>
      <c r="W337" s="2">
        <v>2449.6</v>
      </c>
      <c r="X337" s="2">
        <v>488.4</v>
      </c>
      <c r="Y337" s="1">
        <v>2248</v>
      </c>
      <c r="Z337" s="2" t="s">
        <v>265</v>
      </c>
      <c r="AA337" s="2">
        <v>8</v>
      </c>
      <c r="AB337" s="2">
        <v>4</v>
      </c>
      <c r="AD337" s="3" t="s">
        <v>91</v>
      </c>
      <c r="AE337" s="3" t="s">
        <v>92</v>
      </c>
      <c r="AF337" s="3" t="s">
        <v>50</v>
      </c>
      <c r="AG337" s="3" t="s">
        <v>74</v>
      </c>
      <c r="AH337" s="3" t="s">
        <v>75</v>
      </c>
      <c r="AI337" s="2">
        <v>1</v>
      </c>
      <c r="AJ337" s="2">
        <v>0</v>
      </c>
      <c r="AK337" s="2">
        <v>0</v>
      </c>
      <c r="AL337" s="2">
        <v>1</v>
      </c>
      <c r="AM337" s="2">
        <v>0</v>
      </c>
      <c r="AN337" s="2">
        <v>0</v>
      </c>
      <c r="AO337" s="2" t="s">
        <v>76</v>
      </c>
      <c r="AP337" s="1">
        <f>1429.8+155.4</f>
        <v>1585.2</v>
      </c>
      <c r="AQ337" s="1">
        <f>207+1+133.6</f>
        <v>341.6</v>
      </c>
      <c r="AR337" s="4">
        <f t="shared" si="69"/>
        <v>0.17728876894332571</v>
      </c>
      <c r="AS337" s="18">
        <f t="shared" si="68"/>
        <v>359.68</v>
      </c>
      <c r="AT337">
        <f t="shared" ref="AT337:AT400" si="71">IF(AQ337&lt;&gt;"",AS337/AQ337,"")</f>
        <v>1.052927400468384</v>
      </c>
      <c r="AU337">
        <f t="shared" si="70"/>
        <v>286.02</v>
      </c>
      <c r="AV337" s="9">
        <f t="shared" si="65"/>
        <v>0.83729508196721303</v>
      </c>
    </row>
    <row r="338" spans="1:49" x14ac:dyDescent="0.3">
      <c r="A338" s="23">
        <v>254</v>
      </c>
      <c r="B338" t="s">
        <v>42</v>
      </c>
      <c r="C338" s="1">
        <v>11222</v>
      </c>
      <c r="D338" t="s">
        <v>85</v>
      </c>
      <c r="E338" t="s">
        <v>86</v>
      </c>
      <c r="F338" t="s">
        <v>86</v>
      </c>
      <c r="G338" s="2">
        <v>1988</v>
      </c>
      <c r="H338" s="2" t="s">
        <v>131</v>
      </c>
      <c r="I338" s="2" t="str">
        <f t="shared" si="66"/>
        <v>&gt;1980</v>
      </c>
      <c r="J338" s="2">
        <v>45</v>
      </c>
      <c r="K338" s="2">
        <f t="shared" si="64"/>
        <v>50</v>
      </c>
      <c r="L338" s="2">
        <v>155</v>
      </c>
      <c r="M338" s="2">
        <v>110</v>
      </c>
      <c r="N338" s="2">
        <v>5</v>
      </c>
      <c r="O338" s="2">
        <v>0</v>
      </c>
      <c r="P338" s="2">
        <v>3</v>
      </c>
      <c r="Q338" s="2">
        <v>1</v>
      </c>
      <c r="R338" s="2">
        <v>16</v>
      </c>
      <c r="S338" s="2">
        <v>16</v>
      </c>
      <c r="T338" s="2">
        <v>11.5</v>
      </c>
      <c r="U338" s="2">
        <v>55</v>
      </c>
      <c r="V338" s="1">
        <v>653</v>
      </c>
      <c r="W338" s="2">
        <v>3299.6</v>
      </c>
      <c r="X338" s="2">
        <v>240</v>
      </c>
      <c r="Y338" s="1">
        <v>2731.8</v>
      </c>
      <c r="Z338" s="2" t="s">
        <v>265</v>
      </c>
      <c r="AA338" s="2">
        <v>8</v>
      </c>
      <c r="AB338" s="2">
        <v>4</v>
      </c>
      <c r="AD338" s="3" t="s">
        <v>91</v>
      </c>
      <c r="AE338" s="3" t="s">
        <v>92</v>
      </c>
      <c r="AF338" s="3" t="s">
        <v>139</v>
      </c>
      <c r="AG338" s="3" t="s">
        <v>74</v>
      </c>
      <c r="AH338" s="3" t="s">
        <v>75</v>
      </c>
      <c r="AI338" s="2">
        <v>1</v>
      </c>
      <c r="AJ338" s="2">
        <v>0</v>
      </c>
      <c r="AK338" s="2">
        <v>0</v>
      </c>
      <c r="AL338" s="2">
        <v>1</v>
      </c>
      <c r="AM338" s="2">
        <v>0</v>
      </c>
      <c r="AN338" s="2">
        <v>0</v>
      </c>
      <c r="AO338" s="2" t="s">
        <v>123</v>
      </c>
      <c r="AP338" s="1">
        <v>1518</v>
      </c>
      <c r="AQ338" s="1">
        <v>402</v>
      </c>
      <c r="AR338" s="4">
        <f t="shared" si="69"/>
        <v>0.20937500000000001</v>
      </c>
      <c r="AS338" s="18">
        <f t="shared" si="68"/>
        <v>437.08800000000002</v>
      </c>
      <c r="AT338">
        <f t="shared" si="71"/>
        <v>1.0872835820895523</v>
      </c>
      <c r="AU338">
        <f t="shared" si="70"/>
        <v>249.7</v>
      </c>
      <c r="AV338" s="9">
        <f t="shared" si="65"/>
        <v>0.62114427860696519</v>
      </c>
    </row>
    <row r="339" spans="1:49" x14ac:dyDescent="0.3">
      <c r="A339" s="23">
        <v>265</v>
      </c>
      <c r="B339" t="s">
        <v>42</v>
      </c>
      <c r="C339" s="1">
        <v>11222</v>
      </c>
      <c r="D339" t="s">
        <v>304</v>
      </c>
      <c r="E339" t="s">
        <v>307</v>
      </c>
      <c r="F339" t="s">
        <v>307</v>
      </c>
      <c r="G339" s="2">
        <v>1991</v>
      </c>
      <c r="H339" s="2" t="s">
        <v>167</v>
      </c>
      <c r="I339" s="2" t="str">
        <f t="shared" si="66"/>
        <v>&gt;1980</v>
      </c>
      <c r="J339" s="2">
        <v>30</v>
      </c>
      <c r="K339" s="2">
        <f t="shared" si="64"/>
        <v>30</v>
      </c>
      <c r="L339" s="2">
        <v>140</v>
      </c>
      <c r="M339" s="2">
        <v>110</v>
      </c>
      <c r="N339" s="2">
        <v>5</v>
      </c>
      <c r="O339" s="2">
        <v>0</v>
      </c>
      <c r="P339" s="2">
        <v>2</v>
      </c>
      <c r="Q339" s="2">
        <v>1</v>
      </c>
      <c r="R339" s="2">
        <v>15.3</v>
      </c>
      <c r="S339" s="2">
        <v>15.5</v>
      </c>
      <c r="T339" s="2">
        <v>13.2</v>
      </c>
      <c r="U339" s="2">
        <v>39.700000000000003</v>
      </c>
      <c r="V339" s="1">
        <v>490</v>
      </c>
      <c r="W339" s="2">
        <v>2192.1999999999998</v>
      </c>
      <c r="X339" s="2">
        <v>61.2</v>
      </c>
      <c r="Y339" s="1">
        <v>1919</v>
      </c>
      <c r="Z339" s="2" t="s">
        <v>265</v>
      </c>
      <c r="AA339" s="2">
        <v>4</v>
      </c>
      <c r="AB339" s="2">
        <v>0</v>
      </c>
      <c r="AD339" s="3" t="s">
        <v>91</v>
      </c>
      <c r="AE339" s="3" t="s">
        <v>92</v>
      </c>
      <c r="AF339" s="3" t="s">
        <v>50</v>
      </c>
      <c r="AG339" s="3" t="s">
        <v>74</v>
      </c>
      <c r="AH339" s="3" t="s">
        <v>75</v>
      </c>
      <c r="AI339" s="2">
        <v>1</v>
      </c>
      <c r="AJ339" s="2">
        <v>0</v>
      </c>
      <c r="AK339" s="2">
        <v>0</v>
      </c>
      <c r="AL339" s="2">
        <v>1</v>
      </c>
      <c r="AM339" s="2">
        <v>0</v>
      </c>
      <c r="AN339" s="2">
        <v>0</v>
      </c>
      <c r="AO339" s="2" t="s">
        <v>88</v>
      </c>
      <c r="AP339" s="1">
        <f>1299</f>
        <v>1299</v>
      </c>
      <c r="AQ339" s="1">
        <f>96.4+127.9</f>
        <v>224.3</v>
      </c>
      <c r="AR339" s="4">
        <f t="shared" si="69"/>
        <v>0.14724611041817109</v>
      </c>
      <c r="AS339" s="18">
        <f t="shared" si="68"/>
        <v>307.04000000000002</v>
      </c>
      <c r="AT339">
        <f t="shared" si="71"/>
        <v>1.3688809629959875</v>
      </c>
      <c r="AU339">
        <f t="shared" si="70"/>
        <v>249.7</v>
      </c>
      <c r="AV339" s="9">
        <f t="shared" si="65"/>
        <v>1.1132411948283547</v>
      </c>
    </row>
    <row r="340" spans="1:49" x14ac:dyDescent="0.3">
      <c r="A340" s="23">
        <v>296</v>
      </c>
      <c r="B340" t="s">
        <v>42</v>
      </c>
      <c r="C340" s="1">
        <v>11222</v>
      </c>
      <c r="D340" t="s">
        <v>85</v>
      </c>
      <c r="E340" t="s">
        <v>86</v>
      </c>
      <c r="F340" t="s">
        <v>86</v>
      </c>
      <c r="G340" s="2">
        <v>1988</v>
      </c>
      <c r="H340" s="2" t="s">
        <v>131</v>
      </c>
      <c r="I340" s="2" t="str">
        <f t="shared" si="66"/>
        <v>&gt;1980</v>
      </c>
      <c r="J340" s="2">
        <v>45</v>
      </c>
      <c r="K340" s="2">
        <f t="shared" si="64"/>
        <v>50</v>
      </c>
      <c r="L340" s="2">
        <v>200</v>
      </c>
      <c r="M340" s="2">
        <v>155</v>
      </c>
      <c r="N340" s="2">
        <v>5</v>
      </c>
      <c r="O340" s="2">
        <v>0</v>
      </c>
      <c r="P340" s="2">
        <v>3</v>
      </c>
      <c r="Q340" s="2">
        <v>1</v>
      </c>
      <c r="R340" s="2">
        <v>16.399999999999999</v>
      </c>
      <c r="S340" s="2">
        <v>16.5</v>
      </c>
      <c r="T340" s="2">
        <v>12.2</v>
      </c>
      <c r="U340" s="2">
        <v>55.4</v>
      </c>
      <c r="V340" s="1">
        <v>651</v>
      </c>
      <c r="W340" s="2">
        <v>3214.8</v>
      </c>
      <c r="X340" s="2">
        <v>749.8</v>
      </c>
      <c r="Y340" s="1">
        <v>2667</v>
      </c>
      <c r="Z340" s="2" t="s">
        <v>265</v>
      </c>
      <c r="AA340" s="2">
        <v>8</v>
      </c>
      <c r="AB340" s="2">
        <v>4</v>
      </c>
      <c r="AD340" s="3" t="s">
        <v>91</v>
      </c>
      <c r="AE340" s="3" t="s">
        <v>92</v>
      </c>
      <c r="AF340" s="3" t="s">
        <v>50</v>
      </c>
      <c r="AG340" s="3" t="s">
        <v>74</v>
      </c>
      <c r="AH340" s="3" t="s">
        <v>75</v>
      </c>
      <c r="AI340" s="2">
        <v>1</v>
      </c>
      <c r="AJ340" s="2">
        <v>0</v>
      </c>
      <c r="AK340" s="2">
        <v>0</v>
      </c>
      <c r="AL340" s="2">
        <v>1</v>
      </c>
      <c r="AM340" s="2">
        <v>0</v>
      </c>
      <c r="AN340" s="2">
        <v>0</v>
      </c>
      <c r="AO340" s="2" t="s">
        <v>61</v>
      </c>
      <c r="AP340" s="1">
        <f>1648.5</f>
        <v>1648.5</v>
      </c>
      <c r="AQ340" s="1">
        <f>168.9+239.7</f>
        <v>408.6</v>
      </c>
      <c r="AR340" s="4">
        <f t="shared" si="69"/>
        <v>0.19862913810704391</v>
      </c>
      <c r="AS340" s="18">
        <f t="shared" si="68"/>
        <v>426.72</v>
      </c>
      <c r="AT340">
        <f t="shared" si="71"/>
        <v>1.0443465491923642</v>
      </c>
      <c r="AU340">
        <f t="shared" si="70"/>
        <v>351.85</v>
      </c>
      <c r="AV340" s="9">
        <f t="shared" si="65"/>
        <v>0.86111111111111116</v>
      </c>
    </row>
    <row r="341" spans="1:49" x14ac:dyDescent="0.3">
      <c r="A341" s="23">
        <v>323</v>
      </c>
      <c r="B341" t="s">
        <v>42</v>
      </c>
      <c r="C341" s="1">
        <v>11222</v>
      </c>
      <c r="D341" t="s">
        <v>85</v>
      </c>
      <c r="E341" t="s">
        <v>86</v>
      </c>
      <c r="F341" t="s">
        <v>86</v>
      </c>
      <c r="G341" s="2">
        <v>1987</v>
      </c>
      <c r="H341" s="2" t="s">
        <v>131</v>
      </c>
      <c r="I341" s="2" t="str">
        <f t="shared" si="66"/>
        <v>&gt;1980</v>
      </c>
      <c r="J341" s="2">
        <v>47</v>
      </c>
      <c r="K341" s="2">
        <f t="shared" si="64"/>
        <v>50</v>
      </c>
      <c r="L341" s="2">
        <v>109</v>
      </c>
      <c r="M341" s="2">
        <v>62</v>
      </c>
      <c r="N341" s="2">
        <v>3</v>
      </c>
      <c r="O341" s="2">
        <v>0</v>
      </c>
      <c r="P341" s="2">
        <v>5</v>
      </c>
      <c r="Q341" s="2">
        <v>1</v>
      </c>
      <c r="R341" s="2">
        <v>11</v>
      </c>
      <c r="S341" s="2">
        <v>11</v>
      </c>
      <c r="T341" s="2">
        <v>45.4</v>
      </c>
      <c r="U341" s="2">
        <v>78.400000000000006</v>
      </c>
      <c r="V341" s="1">
        <v>1177</v>
      </c>
      <c r="W341" s="2">
        <v>3802.9</v>
      </c>
      <c r="X341" s="2">
        <v>1208.8</v>
      </c>
      <c r="Y341" s="1">
        <v>2858.4</v>
      </c>
      <c r="Z341" s="2" t="s">
        <v>265</v>
      </c>
      <c r="AA341" s="2">
        <v>8</v>
      </c>
      <c r="AB341" s="2">
        <v>4</v>
      </c>
      <c r="AD341" s="3" t="s">
        <v>91</v>
      </c>
      <c r="AE341" s="3" t="s">
        <v>92</v>
      </c>
      <c r="AF341" s="3" t="s">
        <v>50</v>
      </c>
      <c r="AG341" s="3" t="s">
        <v>74</v>
      </c>
      <c r="AH341" s="3" t="s">
        <v>75</v>
      </c>
      <c r="AI341" s="2">
        <v>1</v>
      </c>
      <c r="AJ341" s="2">
        <v>0</v>
      </c>
      <c r="AK341" s="2">
        <v>0</v>
      </c>
      <c r="AL341" s="2">
        <v>1</v>
      </c>
      <c r="AM341" s="2">
        <v>0</v>
      </c>
      <c r="AN341" s="2">
        <v>0</v>
      </c>
      <c r="AO341" s="2" t="s">
        <v>76</v>
      </c>
      <c r="AP341" s="1">
        <f>281+70+142+77+1376</f>
        <v>1946</v>
      </c>
      <c r="AQ341" s="1">
        <f>69+45+138+90</f>
        <v>342</v>
      </c>
      <c r="AR341" s="4">
        <f t="shared" si="69"/>
        <v>0.14947552447552448</v>
      </c>
      <c r="AS341" s="18">
        <f t="shared" si="68"/>
        <v>457.34399999999999</v>
      </c>
      <c r="AT341">
        <f t="shared" si="71"/>
        <v>1.3372631578947369</v>
      </c>
      <c r="AU341">
        <f t="shared" si="70"/>
        <v>140.74</v>
      </c>
      <c r="AV341" s="9">
        <f t="shared" si="65"/>
        <v>0.41152046783625734</v>
      </c>
    </row>
    <row r="342" spans="1:49" x14ac:dyDescent="0.3">
      <c r="A342" s="23">
        <v>325</v>
      </c>
      <c r="B342" t="s">
        <v>42</v>
      </c>
      <c r="C342" s="1">
        <v>11222</v>
      </c>
      <c r="D342" t="s">
        <v>141</v>
      </c>
      <c r="E342" t="s">
        <v>223</v>
      </c>
      <c r="F342" t="s">
        <v>223</v>
      </c>
      <c r="G342" s="2">
        <v>1988</v>
      </c>
      <c r="H342" s="2" t="s">
        <v>131</v>
      </c>
      <c r="I342" s="2" t="str">
        <f t="shared" si="66"/>
        <v>&gt;1980</v>
      </c>
      <c r="J342" s="2">
        <v>45</v>
      </c>
      <c r="K342" s="2">
        <f t="shared" si="64"/>
        <v>50</v>
      </c>
      <c r="L342" s="2">
        <v>200</v>
      </c>
      <c r="M342" s="2">
        <v>155</v>
      </c>
      <c r="N342" s="2">
        <v>5</v>
      </c>
      <c r="O342" s="2">
        <v>0</v>
      </c>
      <c r="P342" s="2">
        <v>3</v>
      </c>
      <c r="Q342" s="2">
        <v>1</v>
      </c>
      <c r="R342" s="2">
        <v>16.399999999999999</v>
      </c>
      <c r="S342" s="2">
        <v>16.5</v>
      </c>
      <c r="T342" s="2">
        <v>13.2</v>
      </c>
      <c r="U342" s="2">
        <v>55.3</v>
      </c>
      <c r="V342" s="1">
        <v>699</v>
      </c>
      <c r="W342" s="2">
        <v>3053.6</v>
      </c>
      <c r="X342" s="2">
        <v>449.4</v>
      </c>
      <c r="Y342" s="1">
        <v>2682.8</v>
      </c>
      <c r="Z342" s="2" t="s">
        <v>265</v>
      </c>
      <c r="AA342" s="2">
        <v>4</v>
      </c>
      <c r="AB342" s="2">
        <v>0</v>
      </c>
      <c r="AD342" s="3" t="s">
        <v>91</v>
      </c>
      <c r="AE342" s="3" t="s">
        <v>92</v>
      </c>
      <c r="AF342" s="3" t="s">
        <v>83</v>
      </c>
      <c r="AG342" s="3" t="s">
        <v>74</v>
      </c>
      <c r="AH342" s="3" t="s">
        <v>75</v>
      </c>
      <c r="AI342" s="2">
        <v>1</v>
      </c>
      <c r="AJ342" s="2">
        <v>0</v>
      </c>
      <c r="AK342" s="2">
        <v>0</v>
      </c>
      <c r="AL342" s="2">
        <v>1</v>
      </c>
      <c r="AM342" s="2">
        <v>0</v>
      </c>
      <c r="AN342" s="2">
        <v>0</v>
      </c>
      <c r="AO342" s="2" t="s">
        <v>123</v>
      </c>
      <c r="AP342" s="1">
        <f>1353.4+321.1</f>
        <v>1674.5</v>
      </c>
      <c r="AQ342" s="1">
        <f>155.5+224</f>
        <v>379.5</v>
      </c>
      <c r="AR342" s="4">
        <f t="shared" si="69"/>
        <v>0.18476144109055501</v>
      </c>
      <c r="AS342" s="18">
        <f t="shared" si="68"/>
        <v>429.24800000000005</v>
      </c>
      <c r="AT342">
        <f t="shared" si="71"/>
        <v>1.1310882740447958</v>
      </c>
      <c r="AU342">
        <f t="shared" si="70"/>
        <v>351.85</v>
      </c>
      <c r="AV342" s="9">
        <f t="shared" si="65"/>
        <v>0.92714097496706194</v>
      </c>
    </row>
    <row r="343" spans="1:49" x14ac:dyDescent="0.3">
      <c r="A343" s="23">
        <v>326</v>
      </c>
      <c r="B343" t="s">
        <v>42</v>
      </c>
      <c r="C343" s="1">
        <v>11222</v>
      </c>
      <c r="D343" t="s">
        <v>85</v>
      </c>
      <c r="E343" t="s">
        <v>86</v>
      </c>
      <c r="F343" t="s">
        <v>86</v>
      </c>
      <c r="G343" s="2">
        <v>1986</v>
      </c>
      <c r="H343" s="2" t="s">
        <v>131</v>
      </c>
      <c r="I343" s="2" t="str">
        <f t="shared" si="66"/>
        <v>&gt;1980</v>
      </c>
      <c r="J343" s="2">
        <v>59</v>
      </c>
      <c r="K343" s="2">
        <f t="shared" si="64"/>
        <v>60</v>
      </c>
      <c r="L343" s="2">
        <v>278</v>
      </c>
      <c r="M343" s="2">
        <v>219</v>
      </c>
      <c r="N343" s="2">
        <v>5</v>
      </c>
      <c r="O343" s="2">
        <v>0</v>
      </c>
      <c r="P343" s="2">
        <v>5</v>
      </c>
      <c r="Q343" s="2">
        <v>1</v>
      </c>
      <c r="R343" s="2">
        <v>16.3</v>
      </c>
      <c r="S343" s="2">
        <v>16.5</v>
      </c>
      <c r="T343" s="2">
        <v>13.3</v>
      </c>
      <c r="U343" s="2">
        <v>65.5</v>
      </c>
      <c r="V343" s="1">
        <v>775.8</v>
      </c>
      <c r="W343" s="2">
        <v>4564.7</v>
      </c>
      <c r="X343" s="2">
        <v>1061.8</v>
      </c>
      <c r="Y343" s="1">
        <v>3740</v>
      </c>
      <c r="Z343" s="2" t="s">
        <v>265</v>
      </c>
      <c r="AA343" s="2">
        <v>4</v>
      </c>
      <c r="AB343" s="2">
        <v>0</v>
      </c>
      <c r="AD343" s="3" t="s">
        <v>91</v>
      </c>
      <c r="AE343" s="3" t="s">
        <v>92</v>
      </c>
      <c r="AF343" s="3" t="s">
        <v>65</v>
      </c>
      <c r="AG343" s="3" t="s">
        <v>74</v>
      </c>
      <c r="AH343" s="3" t="s">
        <v>75</v>
      </c>
      <c r="AI343" s="2">
        <v>1</v>
      </c>
      <c r="AJ343" s="2">
        <v>0</v>
      </c>
      <c r="AK343" s="2">
        <v>0</v>
      </c>
      <c r="AL343" s="2">
        <v>1</v>
      </c>
      <c r="AM343" s="2">
        <v>0</v>
      </c>
      <c r="AN343" s="2">
        <v>0</v>
      </c>
      <c r="AO343" s="2" t="s">
        <v>76</v>
      </c>
      <c r="AP343" s="1">
        <f>2231.4</f>
        <v>2231.4</v>
      </c>
      <c r="AQ343" s="1">
        <f>236.1+316</f>
        <v>552.1</v>
      </c>
      <c r="AR343" s="4">
        <f t="shared" si="69"/>
        <v>0.19834740434704509</v>
      </c>
      <c r="AS343" s="18">
        <f t="shared" si="68"/>
        <v>598.4</v>
      </c>
      <c r="AT343">
        <f t="shared" si="71"/>
        <v>1.0838616192718709</v>
      </c>
      <c r="AU343">
        <f t="shared" si="70"/>
        <v>497.13</v>
      </c>
      <c r="AV343" s="9">
        <f t="shared" si="65"/>
        <v>0.90043470385799673</v>
      </c>
    </row>
    <row r="344" spans="1:49" x14ac:dyDescent="0.3">
      <c r="A344" s="24" t="s">
        <v>356</v>
      </c>
      <c r="B344" t="s">
        <v>42</v>
      </c>
      <c r="C344" s="2">
        <v>11222</v>
      </c>
      <c r="D344" t="s">
        <v>85</v>
      </c>
      <c r="E344" t="s">
        <v>86</v>
      </c>
      <c r="F344" t="s">
        <v>86</v>
      </c>
      <c r="G344" s="2" t="s">
        <v>357</v>
      </c>
      <c r="H344" s="2" t="s">
        <v>131</v>
      </c>
      <c r="I344" s="2" t="str">
        <f t="shared" si="66"/>
        <v>&gt;1980</v>
      </c>
      <c r="J344" s="14">
        <v>60</v>
      </c>
      <c r="K344" s="2">
        <f t="shared" si="64"/>
        <v>60</v>
      </c>
      <c r="L344" s="14">
        <f>159+60*2</f>
        <v>279</v>
      </c>
      <c r="M344" s="14">
        <f>159+60</f>
        <v>219</v>
      </c>
      <c r="N344" s="2">
        <v>5</v>
      </c>
      <c r="O344" s="2">
        <v>0</v>
      </c>
      <c r="P344" s="2">
        <v>4</v>
      </c>
      <c r="Q344" s="2">
        <v>1</v>
      </c>
      <c r="R344" s="2">
        <v>15</v>
      </c>
      <c r="S344" s="2">
        <v>15</v>
      </c>
      <c r="T344" s="15">
        <v>12.9</v>
      </c>
      <c r="U344" s="15">
        <v>78.58</v>
      </c>
      <c r="V344" s="2">
        <v>948</v>
      </c>
      <c r="W344" s="2">
        <v>4580.8999999999996</v>
      </c>
      <c r="X344" s="2">
        <v>0</v>
      </c>
      <c r="Y344" s="2">
        <v>3797.7</v>
      </c>
      <c r="Z344" s="2" t="s">
        <v>265</v>
      </c>
      <c r="AA344">
        <v>14</v>
      </c>
      <c r="AB344" s="2">
        <v>10</v>
      </c>
      <c r="AC344"/>
      <c r="AD344" s="3" t="s">
        <v>91</v>
      </c>
      <c r="AE344" s="3" t="s">
        <v>92</v>
      </c>
      <c r="AF344" s="3" t="s">
        <v>358</v>
      </c>
      <c r="AG344" s="3" t="s">
        <v>174</v>
      </c>
      <c r="AH344" s="3" t="s">
        <v>75</v>
      </c>
      <c r="AI344" s="2">
        <v>0</v>
      </c>
      <c r="AJ344" s="2">
        <v>1</v>
      </c>
      <c r="AK344" s="2">
        <v>0</v>
      </c>
      <c r="AL344" s="2">
        <v>1</v>
      </c>
      <c r="AM344" s="2">
        <v>0</v>
      </c>
      <c r="AN344" s="2">
        <v>0</v>
      </c>
      <c r="AO344" s="2" t="s">
        <v>123</v>
      </c>
      <c r="AP344" s="2">
        <v>2420.6999999999998</v>
      </c>
      <c r="AQ344" s="2">
        <v>501.7</v>
      </c>
      <c r="AR344" s="4">
        <f t="shared" si="69"/>
        <v>0.17167396660279224</v>
      </c>
      <c r="AS344" s="18">
        <f>IF(AQ344&lt;&gt;"", Y344/5.8,"")</f>
        <v>654.77586206896547</v>
      </c>
      <c r="AT344">
        <f t="shared" si="71"/>
        <v>1.3051143353975792</v>
      </c>
      <c r="AU344">
        <f>IF(AQ344&lt;&gt;"",2.5*M344,"")</f>
        <v>547.5</v>
      </c>
      <c r="AV344" s="9">
        <f t="shared" si="65"/>
        <v>1.091289615307953</v>
      </c>
      <c r="AW344" t="s">
        <v>245</v>
      </c>
    </row>
    <row r="345" spans="1:49" x14ac:dyDescent="0.3">
      <c r="A345" s="24" t="s">
        <v>338</v>
      </c>
      <c r="B345" t="s">
        <v>42</v>
      </c>
      <c r="C345" s="2">
        <v>11222</v>
      </c>
      <c r="D345" t="s">
        <v>141</v>
      </c>
      <c r="E345" t="s">
        <v>223</v>
      </c>
      <c r="F345" t="s">
        <v>223</v>
      </c>
      <c r="G345" s="2" t="s">
        <v>339</v>
      </c>
      <c r="H345" s="2" t="s">
        <v>131</v>
      </c>
      <c r="I345" s="2" t="str">
        <f t="shared" si="66"/>
        <v>&gt;1980</v>
      </c>
      <c r="J345" s="14">
        <v>45</v>
      </c>
      <c r="K345" s="2">
        <f t="shared" si="64"/>
        <v>50</v>
      </c>
      <c r="L345" s="14">
        <f>120+45*2</f>
        <v>210</v>
      </c>
      <c r="M345" s="14">
        <f>120+45</f>
        <v>165</v>
      </c>
      <c r="N345" s="2">
        <v>5</v>
      </c>
      <c r="O345" s="2">
        <v>0</v>
      </c>
      <c r="P345" s="2">
        <v>3</v>
      </c>
      <c r="Q345" s="2">
        <v>1</v>
      </c>
      <c r="R345" s="2">
        <v>14.9</v>
      </c>
      <c r="S345" s="2">
        <v>15</v>
      </c>
      <c r="T345" s="15">
        <v>15.07</v>
      </c>
      <c r="U345" s="15">
        <v>58.15</v>
      </c>
      <c r="V345" s="2">
        <v>744</v>
      </c>
      <c r="W345" s="2">
        <v>3245.3</v>
      </c>
      <c r="X345" s="2">
        <v>590</v>
      </c>
      <c r="Y345" s="2">
        <v>2950</v>
      </c>
      <c r="Z345" s="2" t="s">
        <v>265</v>
      </c>
      <c r="AA345">
        <v>6</v>
      </c>
      <c r="AB345" s="2">
        <v>2</v>
      </c>
      <c r="AC345"/>
      <c r="AD345" s="3" t="s">
        <v>91</v>
      </c>
      <c r="AE345" s="3" t="s">
        <v>92</v>
      </c>
      <c r="AF345" s="3" t="s">
        <v>139</v>
      </c>
      <c r="AG345" s="3" t="s">
        <v>74</v>
      </c>
      <c r="AH345" s="3" t="s">
        <v>75</v>
      </c>
      <c r="AI345" s="2">
        <v>1</v>
      </c>
      <c r="AJ345" s="2">
        <v>0</v>
      </c>
      <c r="AK345" s="2">
        <v>0</v>
      </c>
      <c r="AL345" s="2">
        <v>1</v>
      </c>
      <c r="AM345" s="2">
        <v>0</v>
      </c>
      <c r="AN345" s="2">
        <v>0</v>
      </c>
      <c r="AO345" s="2" t="s">
        <v>123</v>
      </c>
      <c r="AP345" s="2">
        <v>1870.2</v>
      </c>
      <c r="AQ345" s="2">
        <v>418.74400000000003</v>
      </c>
      <c r="AR345" s="4">
        <f t="shared" si="69"/>
        <v>0.1829420029498319</v>
      </c>
      <c r="AS345" s="18">
        <f>IF(AQ345&lt;&gt;"", Y345/5.8,"")</f>
        <v>508.62068965517244</v>
      </c>
      <c r="AT345">
        <f t="shared" si="71"/>
        <v>1.2146339760215608</v>
      </c>
      <c r="AU345">
        <f>IF(AQ345&lt;&gt;"",2.5*M345,"")</f>
        <v>412.5</v>
      </c>
      <c r="AV345" s="9">
        <f t="shared" si="65"/>
        <v>0.98508874157002835</v>
      </c>
      <c r="AW345" t="s">
        <v>260</v>
      </c>
    </row>
    <row r="346" spans="1:49" x14ac:dyDescent="0.3">
      <c r="A346" s="24" t="s">
        <v>355</v>
      </c>
      <c r="B346" t="s">
        <v>42</v>
      </c>
      <c r="C346" s="2">
        <v>11222</v>
      </c>
      <c r="D346" t="s">
        <v>158</v>
      </c>
      <c r="E346" t="s">
        <v>159</v>
      </c>
      <c r="F346" t="s">
        <v>352</v>
      </c>
      <c r="G346" s="2">
        <v>1980</v>
      </c>
      <c r="H346" s="2" t="s">
        <v>69</v>
      </c>
      <c r="I346" s="2" t="str">
        <f t="shared" si="66"/>
        <v>1950-1980</v>
      </c>
      <c r="J346" s="14">
        <v>60</v>
      </c>
      <c r="K346" s="2">
        <f t="shared" si="64"/>
        <v>60</v>
      </c>
      <c r="L346" s="14">
        <f>150+60*2</f>
        <v>270</v>
      </c>
      <c r="M346" s="14">
        <f>150+60</f>
        <v>210</v>
      </c>
      <c r="N346" s="2">
        <v>5</v>
      </c>
      <c r="O346" s="2">
        <v>0</v>
      </c>
      <c r="P346" s="2">
        <v>4</v>
      </c>
      <c r="Q346" s="2">
        <v>1</v>
      </c>
      <c r="R346" s="2">
        <v>17.3</v>
      </c>
      <c r="S346" s="2">
        <v>17.5</v>
      </c>
      <c r="T346" s="15">
        <v>11.85</v>
      </c>
      <c r="U346" s="15">
        <v>73.8</v>
      </c>
      <c r="V346" s="2">
        <v>960</v>
      </c>
      <c r="W346" s="2">
        <v>4168.5</v>
      </c>
      <c r="X346" s="2">
        <v>0</v>
      </c>
      <c r="Y346" s="2">
        <v>3694.6</v>
      </c>
      <c r="Z346" s="2" t="s">
        <v>214</v>
      </c>
      <c r="AA346">
        <v>4</v>
      </c>
      <c r="AB346" s="2">
        <v>0</v>
      </c>
      <c r="AC346"/>
      <c r="AD346" s="3" t="s">
        <v>58</v>
      </c>
      <c r="AE346" s="3" t="s">
        <v>92</v>
      </c>
      <c r="AF346" s="3" t="s">
        <v>50</v>
      </c>
      <c r="AG346" s="3" t="s">
        <v>74</v>
      </c>
      <c r="AH346" s="3" t="s">
        <v>75</v>
      </c>
      <c r="AI346" s="2">
        <v>1</v>
      </c>
      <c r="AJ346" s="2">
        <v>0</v>
      </c>
      <c r="AK346" s="2">
        <v>0</v>
      </c>
      <c r="AL346" s="2">
        <v>1</v>
      </c>
      <c r="AM346" s="2">
        <v>0</v>
      </c>
      <c r="AN346" s="2">
        <v>0</v>
      </c>
      <c r="AO346" s="2" t="s">
        <v>61</v>
      </c>
      <c r="AP346" s="2">
        <v>1743</v>
      </c>
      <c r="AQ346" s="2">
        <v>642</v>
      </c>
      <c r="AR346" s="4">
        <f t="shared" si="69"/>
        <v>0.26918238993710691</v>
      </c>
      <c r="AS346" s="18">
        <f t="shared" ref="AS346:AS389" si="72">IF(AQ346&lt;&gt;"", Y346/6.25,"")</f>
        <v>591.13599999999997</v>
      </c>
      <c r="AT346">
        <f t="shared" si="71"/>
        <v>0.92077258566978193</v>
      </c>
      <c r="AU346">
        <f t="shared" ref="AU346:AU367" si="73">IF(AQ346&lt;&gt;"",2.27*M346,"")</f>
        <v>476.7</v>
      </c>
      <c r="AV346" s="9">
        <f t="shared" si="65"/>
        <v>0.74252336448598133</v>
      </c>
      <c r="AW346" t="s">
        <v>245</v>
      </c>
    </row>
    <row r="347" spans="1:49" x14ac:dyDescent="0.3">
      <c r="A347" s="24" t="s">
        <v>351</v>
      </c>
      <c r="B347" t="s">
        <v>42</v>
      </c>
      <c r="C347" s="2">
        <v>11222</v>
      </c>
      <c r="D347" t="s">
        <v>158</v>
      </c>
      <c r="E347" t="s">
        <v>159</v>
      </c>
      <c r="F347" t="s">
        <v>352</v>
      </c>
      <c r="G347" s="2">
        <v>1986</v>
      </c>
      <c r="H347" s="2" t="s">
        <v>131</v>
      </c>
      <c r="I347" s="2" t="str">
        <f t="shared" si="66"/>
        <v>&gt;1980</v>
      </c>
      <c r="J347" s="14">
        <v>60</v>
      </c>
      <c r="K347" s="2">
        <f t="shared" si="64"/>
        <v>60</v>
      </c>
      <c r="L347" s="14">
        <f>150+60*2</f>
        <v>270</v>
      </c>
      <c r="M347" s="14">
        <f>150+60</f>
        <v>210</v>
      </c>
      <c r="N347" s="2">
        <v>5</v>
      </c>
      <c r="O347" s="2">
        <v>0</v>
      </c>
      <c r="P347" s="2">
        <v>4</v>
      </c>
      <c r="Q347" s="2">
        <v>1</v>
      </c>
      <c r="R347" s="15">
        <v>16.98</v>
      </c>
      <c r="S347" s="2">
        <v>17</v>
      </c>
      <c r="T347" s="15">
        <v>11.9</v>
      </c>
      <c r="U347" s="15">
        <v>73.87</v>
      </c>
      <c r="V347" s="2">
        <v>967</v>
      </c>
      <c r="W347" s="2">
        <v>4144.5</v>
      </c>
      <c r="X347" s="2">
        <v>0</v>
      </c>
      <c r="Y347" s="2">
        <v>3682</v>
      </c>
      <c r="Z347" s="2" t="s">
        <v>214</v>
      </c>
      <c r="AA347">
        <v>4</v>
      </c>
      <c r="AB347" s="2">
        <v>0</v>
      </c>
      <c r="AC347"/>
      <c r="AD347" s="3" t="s">
        <v>58</v>
      </c>
      <c r="AE347" s="3" t="s">
        <v>92</v>
      </c>
      <c r="AF347" s="3" t="s">
        <v>353</v>
      </c>
      <c r="AG347" s="3" t="s">
        <v>74</v>
      </c>
      <c r="AH347" s="3" t="s">
        <v>75</v>
      </c>
      <c r="AI347" s="2">
        <v>1</v>
      </c>
      <c r="AJ347" s="2">
        <v>0</v>
      </c>
      <c r="AK347" s="2">
        <v>0</v>
      </c>
      <c r="AL347" s="2">
        <v>1</v>
      </c>
      <c r="AM347" s="2">
        <v>0</v>
      </c>
      <c r="AN347" s="2">
        <v>0</v>
      </c>
      <c r="AO347" s="2" t="s">
        <v>61</v>
      </c>
      <c r="AP347" s="2">
        <v>1743</v>
      </c>
      <c r="AQ347" s="2">
        <v>642</v>
      </c>
      <c r="AR347" s="4">
        <f t="shared" si="69"/>
        <v>0.26918238993710691</v>
      </c>
      <c r="AS347" s="18">
        <f t="shared" si="72"/>
        <v>589.12</v>
      </c>
      <c r="AT347">
        <f t="shared" si="71"/>
        <v>0.91763239875389413</v>
      </c>
      <c r="AU347">
        <f t="shared" si="73"/>
        <v>476.7</v>
      </c>
      <c r="AV347" s="9">
        <f t="shared" si="65"/>
        <v>0.74252336448598133</v>
      </c>
      <c r="AW347" t="s">
        <v>245</v>
      </c>
    </row>
    <row r="348" spans="1:49" x14ac:dyDescent="0.3">
      <c r="A348" s="24" t="s">
        <v>354</v>
      </c>
      <c r="B348" t="s">
        <v>42</v>
      </c>
      <c r="C348" s="2">
        <v>11222</v>
      </c>
      <c r="D348" t="s">
        <v>158</v>
      </c>
      <c r="E348" t="s">
        <v>159</v>
      </c>
      <c r="F348" t="s">
        <v>352</v>
      </c>
      <c r="G348" s="2">
        <v>1981</v>
      </c>
      <c r="H348" s="2" t="s">
        <v>131</v>
      </c>
      <c r="I348" s="2" t="str">
        <f t="shared" si="66"/>
        <v>&gt;1980</v>
      </c>
      <c r="J348" s="14">
        <v>60</v>
      </c>
      <c r="K348" s="2">
        <f t="shared" si="64"/>
        <v>60</v>
      </c>
      <c r="L348" s="14">
        <f>150+60*2</f>
        <v>270</v>
      </c>
      <c r="M348" s="14">
        <f>150+60</f>
        <v>210</v>
      </c>
      <c r="N348" s="2">
        <v>5</v>
      </c>
      <c r="O348" s="2">
        <v>0</v>
      </c>
      <c r="P348" s="2">
        <v>4</v>
      </c>
      <c r="Q348" s="2">
        <v>1</v>
      </c>
      <c r="R348" s="2">
        <v>16.899999999999999</v>
      </c>
      <c r="S348" s="2">
        <v>17</v>
      </c>
      <c r="T348" s="2">
        <v>12.1</v>
      </c>
      <c r="U348" s="15">
        <v>74.36</v>
      </c>
      <c r="V348" s="2">
        <v>950</v>
      </c>
      <c r="W348" s="2">
        <v>4148.7</v>
      </c>
      <c r="X348" s="2">
        <v>0</v>
      </c>
      <c r="Y348" s="2">
        <v>3690.1</v>
      </c>
      <c r="Z348" s="2" t="s">
        <v>214</v>
      </c>
      <c r="AA348">
        <v>4</v>
      </c>
      <c r="AB348" s="2">
        <v>0</v>
      </c>
      <c r="AC348"/>
      <c r="AD348" s="3" t="s">
        <v>58</v>
      </c>
      <c r="AE348" s="3" t="s">
        <v>92</v>
      </c>
      <c r="AF348" s="3" t="s">
        <v>50</v>
      </c>
      <c r="AG348" s="3" t="s">
        <v>74</v>
      </c>
      <c r="AH348" s="3" t="s">
        <v>75</v>
      </c>
      <c r="AI348" s="2">
        <v>1</v>
      </c>
      <c r="AJ348" s="2">
        <v>0</v>
      </c>
      <c r="AK348" s="2">
        <v>0</v>
      </c>
      <c r="AL348" s="2">
        <v>1</v>
      </c>
      <c r="AM348" s="2">
        <v>0</v>
      </c>
      <c r="AN348" s="2">
        <v>0</v>
      </c>
      <c r="AO348" s="2" t="s">
        <v>61</v>
      </c>
      <c r="AP348" s="2">
        <v>1743</v>
      </c>
      <c r="AQ348" s="2">
        <v>642</v>
      </c>
      <c r="AR348" s="4">
        <f t="shared" si="69"/>
        <v>0.26918238993710691</v>
      </c>
      <c r="AS348" s="18">
        <f t="shared" si="72"/>
        <v>590.41599999999994</v>
      </c>
      <c r="AT348">
        <f t="shared" si="71"/>
        <v>0.919651090342679</v>
      </c>
      <c r="AU348">
        <f t="shared" si="73"/>
        <v>476.7</v>
      </c>
      <c r="AV348" s="9">
        <f t="shared" si="65"/>
        <v>0.74252336448598133</v>
      </c>
      <c r="AW348" t="s">
        <v>245</v>
      </c>
    </row>
    <row r="349" spans="1:49" x14ac:dyDescent="0.3">
      <c r="A349" s="23">
        <v>291</v>
      </c>
      <c r="B349" t="s">
        <v>42</v>
      </c>
      <c r="C349" s="1">
        <v>12422</v>
      </c>
      <c r="D349" t="s">
        <v>141</v>
      </c>
      <c r="E349" t="s">
        <v>223</v>
      </c>
      <c r="F349" t="s">
        <v>223</v>
      </c>
      <c r="G349" s="2">
        <v>1986</v>
      </c>
      <c r="H349" s="2" t="s">
        <v>131</v>
      </c>
      <c r="I349" s="2" t="str">
        <f t="shared" si="66"/>
        <v>&gt;1980</v>
      </c>
      <c r="J349" s="2">
        <v>60</v>
      </c>
      <c r="K349" s="2">
        <f>MROUND(J349,10)</f>
        <v>60</v>
      </c>
      <c r="L349" s="2">
        <v>270</v>
      </c>
      <c r="M349" s="2">
        <v>210</v>
      </c>
      <c r="N349" s="2">
        <v>5</v>
      </c>
      <c r="O349" s="2">
        <v>0</v>
      </c>
      <c r="P349" s="2">
        <v>4</v>
      </c>
      <c r="Q349" s="2">
        <v>1</v>
      </c>
      <c r="R349" s="2">
        <v>16.3</v>
      </c>
      <c r="S349" s="2">
        <v>16.5</v>
      </c>
      <c r="T349" s="2">
        <v>15.5</v>
      </c>
      <c r="U349" s="2">
        <v>75.2</v>
      </c>
      <c r="V349" s="1">
        <v>933</v>
      </c>
      <c r="W349" s="2">
        <v>4170.8999999999996</v>
      </c>
      <c r="X349" s="2">
        <v>827.9</v>
      </c>
      <c r="Y349" s="1">
        <v>3577</v>
      </c>
      <c r="Z349" s="2" t="s">
        <v>214</v>
      </c>
      <c r="AA349" s="2">
        <v>6</v>
      </c>
      <c r="AB349" s="2">
        <v>2</v>
      </c>
      <c r="AC349" s="2">
        <v>2</v>
      </c>
      <c r="AD349" s="3" t="s">
        <v>91</v>
      </c>
      <c r="AE349" s="3" t="s">
        <v>92</v>
      </c>
      <c r="AF349" s="3" t="s">
        <v>139</v>
      </c>
      <c r="AG349" s="3" t="s">
        <v>74</v>
      </c>
      <c r="AH349" s="3" t="s">
        <v>75</v>
      </c>
      <c r="AI349" s="2">
        <v>1</v>
      </c>
      <c r="AJ349" s="2">
        <v>0</v>
      </c>
      <c r="AK349" s="2">
        <v>0</v>
      </c>
      <c r="AL349" s="2">
        <v>1</v>
      </c>
      <c r="AM349" s="2">
        <v>0</v>
      </c>
      <c r="AN349" s="2">
        <v>0</v>
      </c>
      <c r="AO349" s="2" t="s">
        <v>76</v>
      </c>
      <c r="AP349" s="1">
        <f>459.2+1276.2+352.1</f>
        <v>2087.5</v>
      </c>
      <c r="AQ349" s="1">
        <f>275.6+318.4</f>
        <v>594</v>
      </c>
      <c r="AR349" s="4">
        <f t="shared" si="69"/>
        <v>0.22151780719746411</v>
      </c>
      <c r="AS349" s="18">
        <f t="shared" si="72"/>
        <v>572.32000000000005</v>
      </c>
      <c r="AT349">
        <f t="shared" si="71"/>
        <v>0.96350168350168364</v>
      </c>
      <c r="AU349">
        <f t="shared" si="73"/>
        <v>476.7</v>
      </c>
      <c r="AV349" s="9">
        <f t="shared" si="65"/>
        <v>0.80252525252525253</v>
      </c>
    </row>
    <row r="350" spans="1:49" x14ac:dyDescent="0.3">
      <c r="A350" s="23">
        <v>49</v>
      </c>
      <c r="B350" t="s">
        <v>42</v>
      </c>
      <c r="C350" s="1">
        <v>11222</v>
      </c>
      <c r="D350" t="s">
        <v>85</v>
      </c>
      <c r="E350" t="s">
        <v>276</v>
      </c>
      <c r="F350" t="s">
        <v>308</v>
      </c>
      <c r="G350" s="2">
        <v>1982</v>
      </c>
      <c r="H350" s="2" t="s">
        <v>131</v>
      </c>
      <c r="I350" s="2" t="str">
        <f t="shared" si="66"/>
        <v>&gt;1980</v>
      </c>
      <c r="J350" s="2">
        <v>30</v>
      </c>
      <c r="K350" s="2">
        <f t="shared" si="64"/>
        <v>30</v>
      </c>
      <c r="L350" s="2">
        <v>140</v>
      </c>
      <c r="M350" s="2">
        <v>110</v>
      </c>
      <c r="N350" s="2">
        <v>5</v>
      </c>
      <c r="O350" s="2">
        <v>0</v>
      </c>
      <c r="P350" s="2">
        <v>2</v>
      </c>
      <c r="Q350" s="2">
        <v>1</v>
      </c>
      <c r="R350" s="2">
        <v>16.5</v>
      </c>
      <c r="S350" s="2">
        <v>16.5</v>
      </c>
      <c r="V350" s="1">
        <v>563</v>
      </c>
      <c r="W350" s="2">
        <v>2307.5</v>
      </c>
      <c r="X350" s="2">
        <v>341</v>
      </c>
      <c r="Y350" s="1">
        <v>1925</v>
      </c>
      <c r="Z350" s="11" t="s">
        <v>214</v>
      </c>
      <c r="AA350" s="2">
        <v>6</v>
      </c>
      <c r="AB350" s="2">
        <v>2</v>
      </c>
      <c r="AC350" s="2">
        <v>0</v>
      </c>
      <c r="AD350" s="3" t="s">
        <v>91</v>
      </c>
      <c r="AE350" s="3" t="s">
        <v>64</v>
      </c>
      <c r="AF350" s="3" t="s">
        <v>50</v>
      </c>
      <c r="AG350" s="3" t="s">
        <v>74</v>
      </c>
      <c r="AH350" s="3" t="s">
        <v>75</v>
      </c>
      <c r="AI350" s="2">
        <v>1</v>
      </c>
      <c r="AJ350" s="2">
        <v>0</v>
      </c>
      <c r="AK350" s="2">
        <v>0</v>
      </c>
      <c r="AL350" s="2">
        <v>1</v>
      </c>
      <c r="AM350" s="2">
        <v>0</v>
      </c>
      <c r="AN350" s="2">
        <v>0</v>
      </c>
      <c r="AO350" s="2" t="s">
        <v>61</v>
      </c>
      <c r="AP350" s="1">
        <v>1216</v>
      </c>
      <c r="AQ350" s="1">
        <v>324</v>
      </c>
      <c r="AR350" s="4">
        <f t="shared" si="69"/>
        <v>0.21038961038961038</v>
      </c>
      <c r="AS350" s="18">
        <f t="shared" si="72"/>
        <v>308</v>
      </c>
      <c r="AT350">
        <f t="shared" si="71"/>
        <v>0.95061728395061729</v>
      </c>
      <c r="AU350">
        <f t="shared" si="73"/>
        <v>249.7</v>
      </c>
      <c r="AV350" s="9">
        <f t="shared" si="65"/>
        <v>0.77067901234567893</v>
      </c>
    </row>
    <row r="351" spans="1:49" x14ac:dyDescent="0.3">
      <c r="A351" s="23">
        <v>61</v>
      </c>
      <c r="B351" t="s">
        <v>42</v>
      </c>
      <c r="C351" s="1">
        <v>11222</v>
      </c>
      <c r="D351" t="s">
        <v>77</v>
      </c>
      <c r="E351" t="s">
        <v>78</v>
      </c>
      <c r="F351" t="s">
        <v>79</v>
      </c>
      <c r="G351" s="2">
        <v>1978</v>
      </c>
      <c r="H351" s="2" t="s">
        <v>69</v>
      </c>
      <c r="I351" s="2" t="str">
        <f t="shared" si="66"/>
        <v>1950-1980</v>
      </c>
      <c r="J351" s="2">
        <v>30</v>
      </c>
      <c r="K351" s="2">
        <f t="shared" si="64"/>
        <v>30</v>
      </c>
      <c r="L351" s="2">
        <v>126</v>
      </c>
      <c r="M351" s="2">
        <v>96</v>
      </c>
      <c r="N351" s="2">
        <v>5</v>
      </c>
      <c r="O351" s="2">
        <v>0</v>
      </c>
      <c r="P351" s="2">
        <v>2</v>
      </c>
      <c r="Q351" s="2">
        <v>1</v>
      </c>
      <c r="R351" s="2">
        <v>13</v>
      </c>
      <c r="S351" s="2">
        <v>13</v>
      </c>
      <c r="V351" s="1">
        <v>450</v>
      </c>
      <c r="W351" s="2">
        <v>2118.4</v>
      </c>
      <c r="X351" s="2">
        <v>524</v>
      </c>
      <c r="Y351" s="1">
        <v>1754</v>
      </c>
      <c r="Z351" s="11" t="s">
        <v>214</v>
      </c>
      <c r="AA351" s="2">
        <v>4</v>
      </c>
      <c r="AB351" s="2">
        <v>0</v>
      </c>
      <c r="AC351" s="2">
        <v>0</v>
      </c>
      <c r="AD351" s="3" t="s">
        <v>91</v>
      </c>
      <c r="AE351" s="3" t="s">
        <v>92</v>
      </c>
      <c r="AF351" s="3" t="s">
        <v>50</v>
      </c>
      <c r="AG351" s="3" t="s">
        <v>74</v>
      </c>
      <c r="AH351" s="3" t="s">
        <v>75</v>
      </c>
      <c r="AI351" s="2">
        <v>1</v>
      </c>
      <c r="AJ351" s="2">
        <v>0</v>
      </c>
      <c r="AK351" s="2">
        <v>0</v>
      </c>
      <c r="AL351" s="2">
        <v>1</v>
      </c>
      <c r="AM351" s="2">
        <v>0</v>
      </c>
      <c r="AN351" s="2">
        <v>0</v>
      </c>
      <c r="AO351" s="2" t="s">
        <v>76</v>
      </c>
      <c r="AP351" s="16">
        <v>1036</v>
      </c>
      <c r="AQ351" s="16">
        <v>299</v>
      </c>
      <c r="AR351" s="4">
        <f t="shared" si="69"/>
        <v>0.22397003745318353</v>
      </c>
      <c r="AS351" s="18">
        <f t="shared" si="72"/>
        <v>280.64</v>
      </c>
      <c r="AT351">
        <f t="shared" si="71"/>
        <v>0.93859531772575244</v>
      </c>
      <c r="AU351">
        <f t="shared" si="73"/>
        <v>217.92000000000002</v>
      </c>
      <c r="AV351" s="9">
        <f t="shared" si="65"/>
        <v>0.72882943143812717</v>
      </c>
    </row>
    <row r="352" spans="1:49" x14ac:dyDescent="0.3">
      <c r="A352" s="23">
        <v>207</v>
      </c>
      <c r="B352" t="s">
        <v>42</v>
      </c>
      <c r="C352" s="1">
        <v>11222</v>
      </c>
      <c r="D352" t="s">
        <v>85</v>
      </c>
      <c r="E352" t="s">
        <v>86</v>
      </c>
      <c r="F352" t="s">
        <v>86</v>
      </c>
      <c r="G352" s="2">
        <v>1984</v>
      </c>
      <c r="H352" s="2" t="s">
        <v>131</v>
      </c>
      <c r="I352" s="2" t="str">
        <f t="shared" si="66"/>
        <v>&gt;1980</v>
      </c>
      <c r="J352" s="2">
        <v>30</v>
      </c>
      <c r="K352" s="2">
        <f t="shared" si="64"/>
        <v>30</v>
      </c>
      <c r="L352" s="2">
        <v>130</v>
      </c>
      <c r="M352" s="2">
        <v>100</v>
      </c>
      <c r="N352" s="2">
        <v>5</v>
      </c>
      <c r="O352" s="2">
        <v>0</v>
      </c>
      <c r="P352" s="2">
        <v>2</v>
      </c>
      <c r="Q352" s="2">
        <v>1</v>
      </c>
      <c r="R352" s="2">
        <v>16</v>
      </c>
      <c r="S352" s="2">
        <v>16</v>
      </c>
      <c r="T352" s="2">
        <v>12</v>
      </c>
      <c r="U352" s="2">
        <v>40</v>
      </c>
      <c r="V352" s="1">
        <v>434</v>
      </c>
      <c r="W352" s="2">
        <v>1929.7</v>
      </c>
      <c r="X352" s="2">
        <v>93.6</v>
      </c>
      <c r="Y352" s="1">
        <v>1739.5</v>
      </c>
      <c r="Z352" s="11" t="s">
        <v>214</v>
      </c>
      <c r="AA352" s="2">
        <v>4</v>
      </c>
      <c r="AB352" s="2">
        <v>0</v>
      </c>
      <c r="AC352" s="2">
        <v>0</v>
      </c>
      <c r="AD352" s="3" t="s">
        <v>58</v>
      </c>
      <c r="AE352" s="3" t="s">
        <v>49</v>
      </c>
      <c r="AF352" s="3" t="s">
        <v>59</v>
      </c>
      <c r="AG352" s="3" t="s">
        <v>139</v>
      </c>
      <c r="AH352" s="3" t="s">
        <v>75</v>
      </c>
      <c r="AI352" s="2">
        <v>1</v>
      </c>
      <c r="AJ352" s="2">
        <v>0</v>
      </c>
      <c r="AK352" s="2">
        <v>0</v>
      </c>
      <c r="AL352" s="2">
        <v>0</v>
      </c>
      <c r="AM352" s="2">
        <v>1</v>
      </c>
      <c r="AN352" s="2">
        <v>0</v>
      </c>
      <c r="AO352" s="2" t="s">
        <v>61</v>
      </c>
      <c r="AP352" s="1">
        <v>1121.9000000000001</v>
      </c>
      <c r="AQ352" s="1">
        <v>298</v>
      </c>
      <c r="AR352" s="4">
        <f t="shared" si="69"/>
        <v>0.20987393478413971</v>
      </c>
      <c r="AS352" s="18">
        <f t="shared" si="72"/>
        <v>278.32</v>
      </c>
      <c r="AT352">
        <f t="shared" si="71"/>
        <v>0.93395973154362411</v>
      </c>
      <c r="AU352">
        <f t="shared" si="73"/>
        <v>227</v>
      </c>
      <c r="AV352" s="9">
        <f t="shared" si="65"/>
        <v>0.76174496644295298</v>
      </c>
    </row>
    <row r="353" spans="1:49" x14ac:dyDescent="0.3">
      <c r="A353" s="24" t="s">
        <v>301</v>
      </c>
      <c r="B353" t="s">
        <v>42</v>
      </c>
      <c r="C353" s="2">
        <v>11222</v>
      </c>
      <c r="D353" t="s">
        <v>141</v>
      </c>
      <c r="E353" t="s">
        <v>142</v>
      </c>
      <c r="F353" t="s">
        <v>283</v>
      </c>
      <c r="G353" s="2">
        <v>1986</v>
      </c>
      <c r="H353" s="2" t="s">
        <v>131</v>
      </c>
      <c r="I353" s="2" t="str">
        <f t="shared" si="66"/>
        <v>&gt;1980</v>
      </c>
      <c r="J353" s="14">
        <v>30</v>
      </c>
      <c r="K353" s="2">
        <f t="shared" si="64"/>
        <v>30</v>
      </c>
      <c r="L353" s="14">
        <f>80+30*2</f>
        <v>140</v>
      </c>
      <c r="M353" s="14">
        <f>80+30</f>
        <v>110</v>
      </c>
      <c r="N353" s="2">
        <v>5</v>
      </c>
      <c r="O353" s="2">
        <v>0</v>
      </c>
      <c r="P353" s="2">
        <v>2</v>
      </c>
      <c r="Q353" s="2">
        <v>1</v>
      </c>
      <c r="R353" s="2">
        <v>18.600000000000001</v>
      </c>
      <c r="S353" s="2">
        <v>18.5</v>
      </c>
      <c r="T353" s="2">
        <v>17.399999999999999</v>
      </c>
      <c r="U353" s="2">
        <v>39.6</v>
      </c>
      <c r="V353" s="2">
        <v>498</v>
      </c>
      <c r="W353" s="2">
        <v>2180.6999999999998</v>
      </c>
      <c r="X353" s="2">
        <v>379.5</v>
      </c>
      <c r="Y353" s="2">
        <v>1897.3</v>
      </c>
      <c r="Z353" s="2" t="s">
        <v>214</v>
      </c>
      <c r="AA353">
        <v>6</v>
      </c>
      <c r="AB353" s="2">
        <v>2</v>
      </c>
      <c r="AC353"/>
      <c r="AD353" s="3" t="s">
        <v>91</v>
      </c>
      <c r="AE353" s="3" t="s">
        <v>92</v>
      </c>
      <c r="AF353" s="3" t="s">
        <v>139</v>
      </c>
      <c r="AG353" s="3" t="s">
        <v>302</v>
      </c>
      <c r="AH353" s="3" t="s">
        <v>75</v>
      </c>
      <c r="AI353" s="2">
        <v>0</v>
      </c>
      <c r="AJ353" s="2">
        <v>1</v>
      </c>
      <c r="AK353" s="2">
        <v>0</v>
      </c>
      <c r="AL353" s="2">
        <v>1</v>
      </c>
      <c r="AM353" s="2">
        <v>0</v>
      </c>
      <c r="AN353" s="2">
        <v>0</v>
      </c>
      <c r="AO353" s="2" t="s">
        <v>76</v>
      </c>
      <c r="AP353" s="2">
        <v>1124.8</v>
      </c>
      <c r="AQ353" s="2">
        <v>291</v>
      </c>
      <c r="AR353" s="4">
        <f t="shared" si="69"/>
        <v>0.2055375052973584</v>
      </c>
      <c r="AS353" s="18">
        <f t="shared" si="72"/>
        <v>303.56799999999998</v>
      </c>
      <c r="AT353">
        <f t="shared" si="71"/>
        <v>1.043189003436426</v>
      </c>
      <c r="AU353">
        <f t="shared" si="73"/>
        <v>249.7</v>
      </c>
      <c r="AV353" s="9">
        <f t="shared" si="65"/>
        <v>0.8580756013745704</v>
      </c>
      <c r="AW353" t="s">
        <v>260</v>
      </c>
    </row>
    <row r="354" spans="1:49" x14ac:dyDescent="0.3">
      <c r="A354" s="23">
        <v>1</v>
      </c>
      <c r="B354" t="s">
        <v>42</v>
      </c>
      <c r="C354" s="1">
        <v>11222</v>
      </c>
      <c r="D354" t="s">
        <v>132</v>
      </c>
      <c r="E354" t="s">
        <v>133</v>
      </c>
      <c r="F354" t="s">
        <v>166</v>
      </c>
      <c r="G354" s="2">
        <v>1987</v>
      </c>
      <c r="H354" s="2" t="s">
        <v>131</v>
      </c>
      <c r="I354" s="2" t="str">
        <f t="shared" si="66"/>
        <v>&gt;1980</v>
      </c>
      <c r="J354" s="2">
        <v>45</v>
      </c>
      <c r="K354" s="2">
        <f t="shared" si="64"/>
        <v>50</v>
      </c>
      <c r="L354" s="2">
        <v>200</v>
      </c>
      <c r="M354" s="2">
        <v>155</v>
      </c>
      <c r="N354" s="2">
        <v>5</v>
      </c>
      <c r="O354" s="2">
        <v>0</v>
      </c>
      <c r="P354" s="2">
        <v>3</v>
      </c>
      <c r="Q354" s="2">
        <v>1</v>
      </c>
      <c r="R354" s="2">
        <v>15.7</v>
      </c>
      <c r="S354" s="2">
        <v>15.5</v>
      </c>
      <c r="V354" s="1">
        <v>660</v>
      </c>
      <c r="W354" s="2">
        <v>3101.7</v>
      </c>
      <c r="X354" s="2">
        <v>626</v>
      </c>
      <c r="Y354" s="1">
        <v>2686</v>
      </c>
      <c r="Z354" s="11" t="s">
        <v>214</v>
      </c>
      <c r="AA354" s="2">
        <v>4</v>
      </c>
      <c r="AB354" s="2">
        <v>0</v>
      </c>
      <c r="AC354" s="2">
        <v>0</v>
      </c>
      <c r="AD354" s="3" t="s">
        <v>91</v>
      </c>
      <c r="AE354" s="3" t="s">
        <v>92</v>
      </c>
      <c r="AF354" s="3" t="s">
        <v>50</v>
      </c>
      <c r="AG354" s="3" t="s">
        <v>74</v>
      </c>
      <c r="AH354" s="3" t="s">
        <v>75</v>
      </c>
      <c r="AI354" s="2">
        <v>1</v>
      </c>
      <c r="AJ354" s="2">
        <v>0</v>
      </c>
      <c r="AK354" s="2">
        <v>0</v>
      </c>
      <c r="AL354" s="2">
        <v>1</v>
      </c>
      <c r="AM354" s="2">
        <v>0</v>
      </c>
      <c r="AN354" s="2">
        <v>0</v>
      </c>
      <c r="AO354" s="2" t="s">
        <v>84</v>
      </c>
      <c r="AP354" s="1">
        <f>1608</f>
        <v>1608</v>
      </c>
      <c r="AQ354" s="1">
        <f>208.5+196.1</f>
        <v>404.6</v>
      </c>
      <c r="AR354" s="4">
        <f t="shared" si="69"/>
        <v>0.2010334890191792</v>
      </c>
      <c r="AS354" s="18">
        <f t="shared" si="72"/>
        <v>429.76</v>
      </c>
      <c r="AT354">
        <f t="shared" si="71"/>
        <v>1.0621848739495798</v>
      </c>
      <c r="AU354">
        <f t="shared" si="73"/>
        <v>351.85</v>
      </c>
      <c r="AV354" s="9">
        <f t="shared" si="65"/>
        <v>0.86962432031636183</v>
      </c>
    </row>
    <row r="355" spans="1:49" x14ac:dyDescent="0.3">
      <c r="A355" s="23">
        <v>24</v>
      </c>
      <c r="B355" t="s">
        <v>42</v>
      </c>
      <c r="C355" s="1">
        <v>11222</v>
      </c>
      <c r="D355" t="s">
        <v>54</v>
      </c>
      <c r="E355" t="s">
        <v>55</v>
      </c>
      <c r="F355" t="s">
        <v>56</v>
      </c>
      <c r="G355" s="2">
        <v>1980</v>
      </c>
      <c r="H355" s="2" t="s">
        <v>69</v>
      </c>
      <c r="I355" s="2" t="str">
        <f t="shared" si="66"/>
        <v>1950-1980</v>
      </c>
      <c r="J355" s="2">
        <v>24</v>
      </c>
      <c r="K355" s="2">
        <f t="shared" si="64"/>
        <v>20</v>
      </c>
      <c r="L355" s="2">
        <v>106</v>
      </c>
      <c r="M355" s="2">
        <v>82</v>
      </c>
      <c r="N355" s="2">
        <v>3</v>
      </c>
      <c r="O355" s="2">
        <v>0</v>
      </c>
      <c r="P355" s="2">
        <v>3</v>
      </c>
      <c r="Q355" s="2">
        <v>1</v>
      </c>
      <c r="R355" s="2">
        <v>12</v>
      </c>
      <c r="S355" s="2">
        <v>12</v>
      </c>
      <c r="T355" s="2">
        <v>11.6</v>
      </c>
      <c r="U355" s="2">
        <v>47.6</v>
      </c>
      <c r="V355" s="1">
        <v>566</v>
      </c>
      <c r="W355" s="2">
        <v>1683</v>
      </c>
      <c r="X355" s="2">
        <v>61.6</v>
      </c>
      <c r="Y355" s="1">
        <v>1285</v>
      </c>
      <c r="Z355" s="11" t="s">
        <v>214</v>
      </c>
      <c r="AA355" s="2">
        <v>4</v>
      </c>
      <c r="AB355" s="2">
        <v>0</v>
      </c>
      <c r="AC355" s="2">
        <v>2</v>
      </c>
      <c r="AD355" s="3" t="s">
        <v>91</v>
      </c>
      <c r="AE355" s="3" t="s">
        <v>115</v>
      </c>
      <c r="AF355" s="3" t="s">
        <v>50</v>
      </c>
      <c r="AG355" s="3" t="s">
        <v>51</v>
      </c>
      <c r="AH355" s="3" t="s">
        <v>75</v>
      </c>
      <c r="AI355" s="2">
        <v>0</v>
      </c>
      <c r="AJ355" s="2">
        <v>1</v>
      </c>
      <c r="AK355" s="2">
        <v>0</v>
      </c>
      <c r="AL355" s="2">
        <v>0</v>
      </c>
      <c r="AM355" s="2">
        <v>0</v>
      </c>
      <c r="AN355" s="2">
        <v>0</v>
      </c>
      <c r="AO355" s="2" t="s">
        <v>76</v>
      </c>
      <c r="AP355" s="1">
        <v>906</v>
      </c>
      <c r="AQ355" s="1">
        <f>121+101</f>
        <v>222</v>
      </c>
      <c r="AR355" s="4">
        <f t="shared" si="69"/>
        <v>0.19680851063829788</v>
      </c>
      <c r="AS355" s="18">
        <f t="shared" si="72"/>
        <v>205.6</v>
      </c>
      <c r="AT355">
        <f t="shared" si="71"/>
        <v>0.9261261261261261</v>
      </c>
      <c r="AU355">
        <f t="shared" si="73"/>
        <v>186.14000000000001</v>
      </c>
      <c r="AV355" s="9">
        <f t="shared" si="65"/>
        <v>0.83846846846846856</v>
      </c>
    </row>
    <row r="356" spans="1:49" x14ac:dyDescent="0.3">
      <c r="A356" s="23">
        <v>71</v>
      </c>
      <c r="B356" t="s">
        <v>42</v>
      </c>
      <c r="C356" s="1">
        <v>11222</v>
      </c>
      <c r="D356" t="s">
        <v>85</v>
      </c>
      <c r="E356" t="s">
        <v>118</v>
      </c>
      <c r="F356" t="s">
        <v>286</v>
      </c>
      <c r="G356" s="2">
        <v>1978</v>
      </c>
      <c r="H356" s="2" t="s">
        <v>69</v>
      </c>
      <c r="I356" s="2" t="str">
        <f t="shared" si="66"/>
        <v>1950-1980</v>
      </c>
      <c r="J356" s="2">
        <v>36</v>
      </c>
      <c r="K356" s="2">
        <f t="shared" si="64"/>
        <v>40</v>
      </c>
      <c r="L356" s="2">
        <v>160</v>
      </c>
      <c r="M356" s="2">
        <v>124</v>
      </c>
      <c r="N356" s="2">
        <v>4</v>
      </c>
      <c r="O356" s="2">
        <v>0</v>
      </c>
      <c r="P356" s="2">
        <v>3</v>
      </c>
      <c r="Q356" s="2">
        <v>1</v>
      </c>
      <c r="R356" s="2">
        <v>13.3</v>
      </c>
      <c r="S356" s="2">
        <v>13.5</v>
      </c>
      <c r="T356" s="2">
        <v>11.9</v>
      </c>
      <c r="U356" s="2">
        <v>55.9</v>
      </c>
      <c r="V356" s="1">
        <v>659</v>
      </c>
      <c r="W356" s="2">
        <v>2654.1</v>
      </c>
      <c r="X356" s="2">
        <v>690.5</v>
      </c>
      <c r="Y356" s="1">
        <v>2156</v>
      </c>
      <c r="Z356" s="11" t="s">
        <v>214</v>
      </c>
      <c r="AA356" s="2">
        <v>4</v>
      </c>
      <c r="AB356" s="2">
        <v>0</v>
      </c>
      <c r="AC356" s="2">
        <v>0</v>
      </c>
      <c r="AD356" s="3" t="s">
        <v>91</v>
      </c>
      <c r="AE356" s="3" t="s">
        <v>92</v>
      </c>
      <c r="AF356" s="3" t="s">
        <v>50</v>
      </c>
      <c r="AG356" s="3" t="s">
        <v>74</v>
      </c>
      <c r="AH356" s="3" t="s">
        <v>75</v>
      </c>
      <c r="AI356" s="2">
        <v>1</v>
      </c>
      <c r="AJ356" s="2">
        <v>0</v>
      </c>
      <c r="AK356" s="2">
        <v>0</v>
      </c>
      <c r="AL356" s="2">
        <v>1</v>
      </c>
      <c r="AM356" s="2">
        <v>0</v>
      </c>
      <c r="AN356" s="2">
        <v>0</v>
      </c>
      <c r="AO356" s="2" t="s">
        <v>84</v>
      </c>
      <c r="AP356" s="1">
        <v>1120</v>
      </c>
      <c r="AQ356" s="1">
        <v>391</v>
      </c>
      <c r="AR356" s="4">
        <f t="shared" si="69"/>
        <v>0.25876902713434813</v>
      </c>
      <c r="AS356" s="18">
        <f t="shared" si="72"/>
        <v>344.96</v>
      </c>
      <c r="AT356">
        <f t="shared" si="71"/>
        <v>0.88225063938618919</v>
      </c>
      <c r="AU356">
        <f t="shared" si="73"/>
        <v>281.48</v>
      </c>
      <c r="AV356" s="9">
        <f t="shared" si="65"/>
        <v>0.71989769820971872</v>
      </c>
    </row>
    <row r="357" spans="1:49" x14ac:dyDescent="0.3">
      <c r="A357" s="23">
        <v>72</v>
      </c>
      <c r="B357" t="s">
        <v>42</v>
      </c>
      <c r="C357" s="1">
        <v>11222</v>
      </c>
      <c r="D357" t="s">
        <v>85</v>
      </c>
      <c r="E357" t="s">
        <v>118</v>
      </c>
      <c r="F357" t="s">
        <v>286</v>
      </c>
      <c r="G357" s="2">
        <v>1981</v>
      </c>
      <c r="H357" s="2" t="s">
        <v>131</v>
      </c>
      <c r="I357" s="2" t="str">
        <f t="shared" si="66"/>
        <v>&gt;1980</v>
      </c>
      <c r="J357" s="2">
        <v>36</v>
      </c>
      <c r="K357" s="2">
        <f t="shared" si="64"/>
        <v>40</v>
      </c>
      <c r="L357" s="2">
        <v>124</v>
      </c>
      <c r="M357" s="2">
        <v>88</v>
      </c>
      <c r="N357" s="2">
        <v>4</v>
      </c>
      <c r="O357" s="2">
        <v>0</v>
      </c>
      <c r="P357" s="2">
        <v>3</v>
      </c>
      <c r="Q357" s="2">
        <v>1</v>
      </c>
      <c r="R357" s="2">
        <v>13.3</v>
      </c>
      <c r="S357" s="2">
        <v>13.5</v>
      </c>
      <c r="T357" s="2">
        <v>11.9</v>
      </c>
      <c r="U357" s="2">
        <v>55.9</v>
      </c>
      <c r="V357" s="1">
        <v>659</v>
      </c>
      <c r="W357" s="2">
        <v>2654.1</v>
      </c>
      <c r="X357" s="2">
        <v>690.5</v>
      </c>
      <c r="Y357" s="1">
        <v>2156</v>
      </c>
      <c r="Z357" s="11" t="s">
        <v>214</v>
      </c>
      <c r="AA357" s="2">
        <v>4</v>
      </c>
      <c r="AB357" s="2">
        <v>0</v>
      </c>
      <c r="AC357" s="2">
        <v>0</v>
      </c>
      <c r="AD357" s="3" t="s">
        <v>91</v>
      </c>
      <c r="AE357" s="3" t="s">
        <v>92</v>
      </c>
      <c r="AF357" s="3" t="s">
        <v>50</v>
      </c>
      <c r="AG357" s="3" t="s">
        <v>74</v>
      </c>
      <c r="AH357" s="3" t="s">
        <v>75</v>
      </c>
      <c r="AI357" s="2">
        <v>0</v>
      </c>
      <c r="AJ357" s="2">
        <v>0</v>
      </c>
      <c r="AK357" s="2">
        <v>1</v>
      </c>
      <c r="AL357" s="2">
        <v>1</v>
      </c>
      <c r="AM357" s="2">
        <v>0</v>
      </c>
      <c r="AN357" s="2">
        <v>0</v>
      </c>
      <c r="AO357" s="2" t="s">
        <v>84</v>
      </c>
      <c r="AP357" s="1">
        <v>1120</v>
      </c>
      <c r="AQ357" s="1">
        <v>391</v>
      </c>
      <c r="AR357" s="4">
        <f t="shared" si="69"/>
        <v>0.25876902713434813</v>
      </c>
      <c r="AS357" s="18">
        <f t="shared" si="72"/>
        <v>344.96</v>
      </c>
      <c r="AT357">
        <f t="shared" si="71"/>
        <v>0.88225063938618919</v>
      </c>
      <c r="AU357">
        <f t="shared" si="73"/>
        <v>199.76</v>
      </c>
      <c r="AV357" s="9">
        <f t="shared" si="65"/>
        <v>0.51089514066496167</v>
      </c>
    </row>
    <row r="358" spans="1:49" x14ac:dyDescent="0.3">
      <c r="A358" s="23">
        <v>73</v>
      </c>
      <c r="B358" t="s">
        <v>42</v>
      </c>
      <c r="C358" s="1">
        <v>11222</v>
      </c>
      <c r="D358" t="s">
        <v>85</v>
      </c>
      <c r="E358" t="s">
        <v>118</v>
      </c>
      <c r="F358" t="s">
        <v>286</v>
      </c>
      <c r="G358" s="2">
        <v>1985</v>
      </c>
      <c r="H358" s="2" t="s">
        <v>131</v>
      </c>
      <c r="I358" s="2" t="str">
        <f t="shared" si="66"/>
        <v>&gt;1980</v>
      </c>
      <c r="J358" s="2">
        <v>36</v>
      </c>
      <c r="K358" s="2">
        <f t="shared" si="64"/>
        <v>40</v>
      </c>
      <c r="L358" s="2">
        <v>160</v>
      </c>
      <c r="M358" s="2">
        <v>124</v>
      </c>
      <c r="N358" s="2">
        <v>4</v>
      </c>
      <c r="O358" s="2">
        <v>0</v>
      </c>
      <c r="P358" s="2">
        <v>3</v>
      </c>
      <c r="Q358" s="2">
        <v>1</v>
      </c>
      <c r="R358" s="2">
        <v>13.3</v>
      </c>
      <c r="S358" s="2">
        <v>13.5</v>
      </c>
      <c r="T358" s="2">
        <v>11.9</v>
      </c>
      <c r="U358" s="2">
        <v>55.9</v>
      </c>
      <c r="V358" s="1">
        <v>652</v>
      </c>
      <c r="W358" s="2">
        <v>2683.8</v>
      </c>
      <c r="X358" s="2">
        <v>709</v>
      </c>
      <c r="Y358" s="1">
        <v>2167</v>
      </c>
      <c r="Z358" s="11" t="s">
        <v>214</v>
      </c>
      <c r="AA358" s="2">
        <v>4</v>
      </c>
      <c r="AB358" s="2">
        <v>0</v>
      </c>
      <c r="AC358" s="2">
        <v>2</v>
      </c>
      <c r="AD358" s="3" t="s">
        <v>91</v>
      </c>
      <c r="AE358" s="3" t="s">
        <v>92</v>
      </c>
      <c r="AF358" s="3" t="s">
        <v>50</v>
      </c>
      <c r="AG358" s="3" t="s">
        <v>74</v>
      </c>
      <c r="AH358" s="3" t="s">
        <v>75</v>
      </c>
      <c r="AI358" s="2">
        <v>0</v>
      </c>
      <c r="AJ358" s="2">
        <v>0</v>
      </c>
      <c r="AK358" s="2">
        <v>1</v>
      </c>
      <c r="AL358" s="2">
        <v>1</v>
      </c>
      <c r="AM358" s="2">
        <v>0</v>
      </c>
      <c r="AN358" s="2">
        <v>0</v>
      </c>
      <c r="AO358" s="2" t="s">
        <v>84</v>
      </c>
      <c r="AP358" s="1">
        <v>946</v>
      </c>
      <c r="AQ358" s="1">
        <v>391</v>
      </c>
      <c r="AR358" s="4">
        <f t="shared" si="69"/>
        <v>0.29244577412116679</v>
      </c>
      <c r="AS358" s="18">
        <f t="shared" si="72"/>
        <v>346.72</v>
      </c>
      <c r="AT358">
        <f t="shared" si="71"/>
        <v>0.8867519181585678</v>
      </c>
      <c r="AU358">
        <f t="shared" si="73"/>
        <v>281.48</v>
      </c>
      <c r="AV358" s="9">
        <f t="shared" si="65"/>
        <v>0.71989769820971872</v>
      </c>
    </row>
    <row r="359" spans="1:49" x14ac:dyDescent="0.3">
      <c r="A359" s="23">
        <v>81</v>
      </c>
      <c r="B359" t="s">
        <v>42</v>
      </c>
      <c r="C359" s="1">
        <v>11222</v>
      </c>
      <c r="D359" t="s">
        <v>141</v>
      </c>
      <c r="E359" t="s">
        <v>223</v>
      </c>
      <c r="F359" t="s">
        <v>223</v>
      </c>
      <c r="G359" s="2">
        <v>1983</v>
      </c>
      <c r="H359" s="2" t="s">
        <v>131</v>
      </c>
      <c r="I359" s="2" t="str">
        <f t="shared" si="66"/>
        <v>&gt;1980</v>
      </c>
      <c r="J359" s="2">
        <v>45</v>
      </c>
      <c r="K359" s="2">
        <f t="shared" si="64"/>
        <v>50</v>
      </c>
      <c r="L359" s="2">
        <v>200</v>
      </c>
      <c r="M359" s="2">
        <v>155</v>
      </c>
      <c r="N359" s="2">
        <v>5</v>
      </c>
      <c r="O359" s="2">
        <v>0</v>
      </c>
      <c r="P359" s="2">
        <v>3</v>
      </c>
      <c r="Q359" s="2">
        <v>1</v>
      </c>
      <c r="R359" s="2">
        <v>17</v>
      </c>
      <c r="S359" s="2">
        <v>17</v>
      </c>
      <c r="V359" s="1">
        <v>660</v>
      </c>
      <c r="W359" s="2">
        <v>3063.6</v>
      </c>
      <c r="X359" s="2">
        <v>596.1</v>
      </c>
      <c r="Y359" s="1">
        <v>2685</v>
      </c>
      <c r="Z359" s="11" t="s">
        <v>214</v>
      </c>
      <c r="AA359" s="2">
        <v>4</v>
      </c>
      <c r="AB359" s="2">
        <v>0</v>
      </c>
      <c r="AC359" s="2">
        <v>0</v>
      </c>
      <c r="AD359" s="3" t="s">
        <v>91</v>
      </c>
      <c r="AE359" s="3" t="s">
        <v>92</v>
      </c>
      <c r="AF359" s="3" t="s">
        <v>50</v>
      </c>
      <c r="AG359" s="3" t="s">
        <v>74</v>
      </c>
      <c r="AH359" s="3" t="s">
        <v>100</v>
      </c>
      <c r="AI359" s="2">
        <v>1</v>
      </c>
      <c r="AJ359" s="2">
        <v>0</v>
      </c>
      <c r="AK359" s="2">
        <v>0</v>
      </c>
      <c r="AL359" s="2">
        <v>1</v>
      </c>
      <c r="AM359" s="2">
        <v>0</v>
      </c>
      <c r="AN359" s="2">
        <v>0</v>
      </c>
      <c r="AO359" s="2" t="s">
        <v>76</v>
      </c>
      <c r="AP359" s="1">
        <f>383+263</f>
        <v>646</v>
      </c>
      <c r="AQ359" s="1">
        <f>78.6+428</f>
        <v>506.6</v>
      </c>
      <c r="AR359" s="4">
        <f t="shared" si="69"/>
        <v>0.43952802359882009</v>
      </c>
      <c r="AS359" s="18">
        <f t="shared" si="72"/>
        <v>429.6</v>
      </c>
      <c r="AT359">
        <f t="shared" si="71"/>
        <v>0.84800631662060799</v>
      </c>
      <c r="AU359">
        <f t="shared" si="73"/>
        <v>351.85</v>
      </c>
      <c r="AV359" s="9">
        <f t="shared" si="65"/>
        <v>0.69453217528622191</v>
      </c>
    </row>
    <row r="360" spans="1:49" x14ac:dyDescent="0.3">
      <c r="A360" s="23">
        <v>83</v>
      </c>
      <c r="B360" t="s">
        <v>42</v>
      </c>
      <c r="C360" s="1">
        <v>11222</v>
      </c>
      <c r="D360" t="s">
        <v>106</v>
      </c>
      <c r="E360" t="s">
        <v>107</v>
      </c>
      <c r="F360" t="s">
        <v>217</v>
      </c>
      <c r="G360" s="2">
        <v>1978</v>
      </c>
      <c r="H360" s="2" t="s">
        <v>69</v>
      </c>
      <c r="I360" s="2" t="str">
        <f t="shared" si="66"/>
        <v>1950-1980</v>
      </c>
      <c r="J360" s="2">
        <v>18</v>
      </c>
      <c r="K360" s="2">
        <f t="shared" si="64"/>
        <v>20</v>
      </c>
      <c r="L360" s="2">
        <v>87</v>
      </c>
      <c r="M360" s="2">
        <v>69</v>
      </c>
      <c r="N360" s="2">
        <v>3</v>
      </c>
      <c r="O360" s="2">
        <v>0</v>
      </c>
      <c r="P360" s="2">
        <v>3</v>
      </c>
      <c r="Q360" s="2">
        <v>1</v>
      </c>
      <c r="R360" s="2">
        <v>11</v>
      </c>
      <c r="S360" s="2">
        <v>11</v>
      </c>
      <c r="V360" s="1">
        <v>511</v>
      </c>
      <c r="W360" s="2">
        <v>1482</v>
      </c>
      <c r="X360" s="2">
        <v>445.7</v>
      </c>
      <c r="Y360" s="1">
        <v>1043.7</v>
      </c>
      <c r="Z360" s="11" t="s">
        <v>214</v>
      </c>
      <c r="AA360" s="2">
        <v>4</v>
      </c>
      <c r="AB360" s="2">
        <v>2</v>
      </c>
      <c r="AC360" s="2">
        <v>0</v>
      </c>
      <c r="AD360" s="3" t="s">
        <v>126</v>
      </c>
      <c r="AE360" s="3" t="s">
        <v>115</v>
      </c>
      <c r="AF360" s="3" t="s">
        <v>50</v>
      </c>
      <c r="AG360" s="3" t="s">
        <v>74</v>
      </c>
      <c r="AH360" s="3" t="s">
        <v>81</v>
      </c>
      <c r="AI360" s="2">
        <v>1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 t="s">
        <v>84</v>
      </c>
      <c r="AP360" s="1">
        <f>586.7+151.2</f>
        <v>737.90000000000009</v>
      </c>
      <c r="AQ360" s="1">
        <f>78+125.3</f>
        <v>203.3</v>
      </c>
      <c r="AR360" s="4">
        <f t="shared" si="69"/>
        <v>0.21600084997875052</v>
      </c>
      <c r="AS360" s="18">
        <f t="shared" si="72"/>
        <v>166.99200000000002</v>
      </c>
      <c r="AT360">
        <f t="shared" si="71"/>
        <v>0.82140678799803246</v>
      </c>
      <c r="AU360">
        <f t="shared" si="73"/>
        <v>156.63</v>
      </c>
      <c r="AV360" s="9">
        <f t="shared" si="65"/>
        <v>0.77043777668470237</v>
      </c>
    </row>
    <row r="361" spans="1:49" x14ac:dyDescent="0.3">
      <c r="A361" s="23">
        <v>111</v>
      </c>
      <c r="B361" t="s">
        <v>42</v>
      </c>
      <c r="C361" s="1">
        <v>12319</v>
      </c>
      <c r="D361" t="s">
        <v>54</v>
      </c>
      <c r="E361" t="s">
        <v>110</v>
      </c>
      <c r="F361" t="s">
        <v>110</v>
      </c>
      <c r="G361" s="2">
        <v>1985</v>
      </c>
      <c r="H361" s="2" t="s">
        <v>131</v>
      </c>
      <c r="I361" s="2" t="str">
        <f t="shared" si="66"/>
        <v>&gt;1980</v>
      </c>
      <c r="J361" s="2">
        <v>30</v>
      </c>
      <c r="K361" s="2">
        <f>MROUND(J361,10)</f>
        <v>30</v>
      </c>
      <c r="L361" s="2">
        <v>120</v>
      </c>
      <c r="M361" s="2">
        <v>90</v>
      </c>
      <c r="N361" s="2">
        <v>5</v>
      </c>
      <c r="O361" s="2">
        <v>0</v>
      </c>
      <c r="P361" s="2">
        <v>3</v>
      </c>
      <c r="Q361" s="2">
        <v>1</v>
      </c>
      <c r="R361" s="2">
        <v>16</v>
      </c>
      <c r="S361" s="2">
        <v>16</v>
      </c>
      <c r="T361" s="2">
        <v>12.7</v>
      </c>
      <c r="U361" s="2">
        <v>34</v>
      </c>
      <c r="V361" s="1">
        <v>497</v>
      </c>
      <c r="W361" s="2">
        <v>1915.8</v>
      </c>
      <c r="X361" s="2">
        <v>377.8</v>
      </c>
      <c r="Y361" s="1">
        <v>1630</v>
      </c>
      <c r="Z361" s="11" t="s">
        <v>214</v>
      </c>
      <c r="AA361" s="2">
        <v>4</v>
      </c>
      <c r="AB361" s="2">
        <v>0</v>
      </c>
      <c r="AC361" s="2">
        <v>2</v>
      </c>
      <c r="AD361" s="3" t="s">
        <v>91</v>
      </c>
      <c r="AE361" s="3" t="s">
        <v>92</v>
      </c>
      <c r="AF361" s="3" t="s">
        <v>50</v>
      </c>
      <c r="AG361" s="3" t="s">
        <v>74</v>
      </c>
      <c r="AH361" s="3" t="s">
        <v>75</v>
      </c>
      <c r="AI361" s="2">
        <v>1</v>
      </c>
      <c r="AJ361" s="2">
        <v>0</v>
      </c>
      <c r="AK361" s="2">
        <v>0</v>
      </c>
      <c r="AL361" s="2">
        <v>1</v>
      </c>
      <c r="AM361" s="2">
        <v>0</v>
      </c>
      <c r="AN361" s="2">
        <v>0</v>
      </c>
      <c r="AO361" s="2" t="s">
        <v>123</v>
      </c>
      <c r="AP361" s="1">
        <f>797</f>
        <v>797</v>
      </c>
      <c r="AQ361" s="1">
        <f>79.9+196.9</f>
        <v>276.8</v>
      </c>
      <c r="AR361" s="4">
        <f t="shared" si="69"/>
        <v>0.25777612218290186</v>
      </c>
      <c r="AS361" s="18">
        <f t="shared" si="72"/>
        <v>260.8</v>
      </c>
      <c r="AT361">
        <f t="shared" si="71"/>
        <v>0.94219653179190754</v>
      </c>
      <c r="AU361">
        <f t="shared" si="73"/>
        <v>204.3</v>
      </c>
      <c r="AV361" s="9">
        <f t="shared" si="65"/>
        <v>0.73807803468208089</v>
      </c>
    </row>
    <row r="362" spans="1:49" x14ac:dyDescent="0.3">
      <c r="A362" s="23">
        <v>112</v>
      </c>
      <c r="B362" t="s">
        <v>42</v>
      </c>
      <c r="C362" s="1">
        <v>11222</v>
      </c>
      <c r="D362" t="s">
        <v>211</v>
      </c>
      <c r="E362" t="s">
        <v>212</v>
      </c>
      <c r="F362" t="s">
        <v>213</v>
      </c>
      <c r="G362" s="2">
        <v>1974</v>
      </c>
      <c r="H362" s="2" t="s">
        <v>69</v>
      </c>
      <c r="I362" s="2" t="str">
        <f t="shared" si="66"/>
        <v>1950-1980</v>
      </c>
      <c r="J362" s="2">
        <v>18</v>
      </c>
      <c r="K362" s="2">
        <f t="shared" si="64"/>
        <v>20</v>
      </c>
      <c r="L362" s="2">
        <v>87</v>
      </c>
      <c r="M362" s="2">
        <v>69</v>
      </c>
      <c r="N362" s="2">
        <v>3</v>
      </c>
      <c r="O362" s="2">
        <v>0</v>
      </c>
      <c r="P362" s="2">
        <v>3</v>
      </c>
      <c r="Q362" s="2">
        <v>1</v>
      </c>
      <c r="R362" s="2">
        <v>9.6</v>
      </c>
      <c r="S362" s="2">
        <v>9.5</v>
      </c>
      <c r="V362" s="1">
        <v>444</v>
      </c>
      <c r="W362" s="2">
        <v>1256.4000000000001</v>
      </c>
      <c r="X362" s="2">
        <v>355.5</v>
      </c>
      <c r="Y362" s="1">
        <v>1023</v>
      </c>
      <c r="Z362" s="2" t="s">
        <v>214</v>
      </c>
      <c r="AA362" s="2">
        <v>4</v>
      </c>
      <c r="AB362" s="2">
        <v>0</v>
      </c>
      <c r="AD362" s="3" t="s">
        <v>91</v>
      </c>
      <c r="AE362" s="3" t="s">
        <v>92</v>
      </c>
      <c r="AF362" s="3" t="s">
        <v>50</v>
      </c>
      <c r="AG362" s="3" t="s">
        <v>74</v>
      </c>
      <c r="AH362" s="3" t="s">
        <v>75</v>
      </c>
      <c r="AI362" s="2">
        <v>1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 t="s">
        <v>76</v>
      </c>
      <c r="AP362" s="1">
        <f>533+132</f>
        <v>665</v>
      </c>
      <c r="AQ362" s="1">
        <f>117+140</f>
        <v>257</v>
      </c>
      <c r="AR362" s="4">
        <f t="shared" si="69"/>
        <v>0.27874186550976138</v>
      </c>
      <c r="AS362" s="18">
        <f t="shared" si="72"/>
        <v>163.68</v>
      </c>
      <c r="AT362">
        <f t="shared" si="71"/>
        <v>0.63688715953307395</v>
      </c>
      <c r="AU362">
        <f t="shared" si="73"/>
        <v>156.63</v>
      </c>
      <c r="AV362" s="9">
        <f t="shared" si="65"/>
        <v>0.60945525291828795</v>
      </c>
    </row>
    <row r="363" spans="1:49" x14ac:dyDescent="0.3">
      <c r="A363" s="23">
        <v>116</v>
      </c>
      <c r="B363" t="s">
        <v>42</v>
      </c>
      <c r="C363" s="1">
        <v>11222</v>
      </c>
      <c r="D363" t="s">
        <v>85</v>
      </c>
      <c r="E363" t="s">
        <v>86</v>
      </c>
      <c r="F363" t="s">
        <v>86</v>
      </c>
      <c r="G363" s="2">
        <v>1983</v>
      </c>
      <c r="H363" s="2" t="s">
        <v>131</v>
      </c>
      <c r="I363" s="2" t="str">
        <f t="shared" si="66"/>
        <v>&gt;1980</v>
      </c>
      <c r="J363" s="2">
        <v>45</v>
      </c>
      <c r="K363" s="2">
        <f t="shared" si="64"/>
        <v>50</v>
      </c>
      <c r="L363" s="2">
        <v>200</v>
      </c>
      <c r="M363" s="2">
        <v>155</v>
      </c>
      <c r="N363" s="2">
        <v>5</v>
      </c>
      <c r="O363" s="2">
        <v>0</v>
      </c>
      <c r="P363" s="2">
        <v>3</v>
      </c>
      <c r="Q363" s="2">
        <v>1</v>
      </c>
      <c r="R363" s="2">
        <v>15.6</v>
      </c>
      <c r="S363" s="2">
        <v>15.5</v>
      </c>
      <c r="V363" s="1">
        <v>653</v>
      </c>
      <c r="W363" s="2">
        <v>3231.6</v>
      </c>
      <c r="X363" s="2">
        <v>772.1</v>
      </c>
      <c r="Y363" s="1">
        <v>2459.5</v>
      </c>
      <c r="Z363" s="11" t="s">
        <v>214</v>
      </c>
      <c r="AA363" s="2">
        <v>4</v>
      </c>
      <c r="AB363" s="2">
        <v>0</v>
      </c>
      <c r="AC363" s="2">
        <v>0</v>
      </c>
      <c r="AD363" s="3" t="s">
        <v>91</v>
      </c>
      <c r="AE363" s="3" t="s">
        <v>92</v>
      </c>
      <c r="AF363" s="3" t="s">
        <v>50</v>
      </c>
      <c r="AG363" s="3" t="s">
        <v>74</v>
      </c>
      <c r="AH363" s="3" t="s">
        <v>75</v>
      </c>
      <c r="AI363" s="2">
        <v>1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 t="s">
        <v>76</v>
      </c>
      <c r="AP363" s="1">
        <v>1663.7</v>
      </c>
      <c r="AQ363" s="1">
        <v>449.3</v>
      </c>
      <c r="AR363" s="4">
        <f t="shared" si="69"/>
        <v>0.21263606247042122</v>
      </c>
      <c r="AS363" s="18">
        <f t="shared" si="72"/>
        <v>393.52</v>
      </c>
      <c r="AT363">
        <f t="shared" si="71"/>
        <v>0.87585132428221668</v>
      </c>
      <c r="AU363">
        <f t="shared" si="73"/>
        <v>351.85</v>
      </c>
      <c r="AV363" s="9">
        <f t="shared" si="65"/>
        <v>0.78310705541954151</v>
      </c>
    </row>
    <row r="364" spans="1:49" x14ac:dyDescent="0.3">
      <c r="A364" s="23">
        <v>171</v>
      </c>
      <c r="B364" t="s">
        <v>42</v>
      </c>
      <c r="C364" s="1">
        <v>11222</v>
      </c>
      <c r="D364" t="s">
        <v>85</v>
      </c>
      <c r="E364" t="s">
        <v>86</v>
      </c>
      <c r="F364" t="s">
        <v>86</v>
      </c>
      <c r="G364" s="2">
        <v>1984</v>
      </c>
      <c r="H364" s="2" t="s">
        <v>131</v>
      </c>
      <c r="I364" s="2" t="str">
        <f t="shared" si="66"/>
        <v>&gt;1980</v>
      </c>
      <c r="J364" s="2">
        <v>45</v>
      </c>
      <c r="K364" s="2">
        <f t="shared" si="64"/>
        <v>50</v>
      </c>
      <c r="L364" s="2">
        <v>200</v>
      </c>
      <c r="M364" s="2">
        <v>155</v>
      </c>
      <c r="N364" s="2">
        <v>5</v>
      </c>
      <c r="O364" s="2">
        <v>0</v>
      </c>
      <c r="P364" s="2">
        <v>3</v>
      </c>
      <c r="Q364" s="2">
        <v>1</v>
      </c>
      <c r="R364" s="2">
        <v>16.100000000000001</v>
      </c>
      <c r="S364" s="2">
        <v>16</v>
      </c>
      <c r="T364" s="2">
        <v>12.4</v>
      </c>
      <c r="U364" s="2">
        <v>55</v>
      </c>
      <c r="V364" s="1">
        <v>651</v>
      </c>
      <c r="W364" s="2">
        <v>3312.9</v>
      </c>
      <c r="X364" s="2">
        <v>216.9</v>
      </c>
      <c r="Y364" s="1">
        <v>2710.1</v>
      </c>
      <c r="Z364" s="11" t="s">
        <v>214</v>
      </c>
      <c r="AA364" s="2">
        <v>4</v>
      </c>
      <c r="AB364" s="2">
        <v>0</v>
      </c>
      <c r="AC364" s="2">
        <v>0</v>
      </c>
      <c r="AD364" s="3" t="s">
        <v>91</v>
      </c>
      <c r="AE364" s="3" t="s">
        <v>92</v>
      </c>
      <c r="AF364" s="3" t="s">
        <v>50</v>
      </c>
      <c r="AG364" s="3" t="s">
        <v>74</v>
      </c>
      <c r="AH364" s="3" t="s">
        <v>75</v>
      </c>
      <c r="AI364" s="2">
        <v>1</v>
      </c>
      <c r="AJ364" s="2">
        <v>0</v>
      </c>
      <c r="AK364" s="2">
        <v>0</v>
      </c>
      <c r="AL364" s="2">
        <v>1</v>
      </c>
      <c r="AM364" s="2">
        <v>0</v>
      </c>
      <c r="AN364" s="2">
        <v>0</v>
      </c>
      <c r="AO364" s="2" t="s">
        <v>88</v>
      </c>
      <c r="AP364" s="1">
        <f>1135+194</f>
        <v>1329</v>
      </c>
      <c r="AQ364" s="1">
        <f>247+228</f>
        <v>475</v>
      </c>
      <c r="AR364" s="4">
        <f t="shared" si="69"/>
        <v>0.26330376940133038</v>
      </c>
      <c r="AS364" s="18">
        <f t="shared" si="72"/>
        <v>433.61599999999999</v>
      </c>
      <c r="AT364">
        <f t="shared" si="71"/>
        <v>0.9128757894736842</v>
      </c>
      <c r="AU364">
        <f t="shared" si="73"/>
        <v>351.85</v>
      </c>
      <c r="AV364" s="9">
        <f t="shared" si="65"/>
        <v>0.74073684210526325</v>
      </c>
    </row>
    <row r="365" spans="1:49" x14ac:dyDescent="0.3">
      <c r="A365" s="23">
        <v>184</v>
      </c>
      <c r="B365" t="s">
        <v>42</v>
      </c>
      <c r="C365" s="1">
        <v>11222</v>
      </c>
      <c r="D365" t="s">
        <v>141</v>
      </c>
      <c r="E365" t="s">
        <v>223</v>
      </c>
      <c r="F365" t="s">
        <v>223</v>
      </c>
      <c r="G365" s="2">
        <v>1980</v>
      </c>
      <c r="H365" s="2" t="s">
        <v>69</v>
      </c>
      <c r="I365" s="2" t="str">
        <f t="shared" si="66"/>
        <v>1950-1980</v>
      </c>
      <c r="J365" s="2">
        <v>45</v>
      </c>
      <c r="K365" s="2">
        <f t="shared" si="64"/>
        <v>50</v>
      </c>
      <c r="L365" s="2">
        <v>200</v>
      </c>
      <c r="M365" s="2">
        <v>155</v>
      </c>
      <c r="N365" s="2">
        <v>5</v>
      </c>
      <c r="O365" s="2">
        <v>0</v>
      </c>
      <c r="P365" s="2">
        <v>3</v>
      </c>
      <c r="Q365" s="2">
        <v>1</v>
      </c>
      <c r="R365" s="2">
        <v>15.6</v>
      </c>
      <c r="S365" s="2">
        <v>15.5</v>
      </c>
      <c r="V365" s="1">
        <v>640</v>
      </c>
      <c r="W365" s="2">
        <v>3057.5</v>
      </c>
      <c r="X365" s="2">
        <v>591.1</v>
      </c>
      <c r="Y365" s="1">
        <v>2693</v>
      </c>
      <c r="Z365" s="11" t="s">
        <v>214</v>
      </c>
      <c r="AA365" s="2">
        <v>4</v>
      </c>
      <c r="AB365" s="2">
        <v>0</v>
      </c>
      <c r="AC365" s="2">
        <v>0</v>
      </c>
      <c r="AD365" s="3" t="s">
        <v>91</v>
      </c>
      <c r="AE365" s="3" t="s">
        <v>325</v>
      </c>
      <c r="AF365" s="3" t="s">
        <v>202</v>
      </c>
      <c r="AG365" s="3" t="s">
        <v>326</v>
      </c>
      <c r="AH365" s="3" t="s">
        <v>75</v>
      </c>
      <c r="AI365" s="2">
        <v>1</v>
      </c>
      <c r="AJ365" s="2">
        <v>0</v>
      </c>
      <c r="AK365" s="2">
        <v>0</v>
      </c>
      <c r="AL365" s="2">
        <v>1</v>
      </c>
      <c r="AM365" s="2">
        <v>0</v>
      </c>
      <c r="AN365" s="2">
        <v>0</v>
      </c>
      <c r="AO365" s="2" t="s">
        <v>123</v>
      </c>
      <c r="AP365" s="1">
        <f>308+1082</f>
        <v>1390</v>
      </c>
      <c r="AQ365" s="1">
        <f>227+256</f>
        <v>483</v>
      </c>
      <c r="AR365" s="4">
        <f t="shared" si="69"/>
        <v>0.25787506673785371</v>
      </c>
      <c r="AS365" s="18">
        <f t="shared" si="72"/>
        <v>430.88</v>
      </c>
      <c r="AT365">
        <f t="shared" si="71"/>
        <v>0.89209109730848857</v>
      </c>
      <c r="AU365">
        <f t="shared" si="73"/>
        <v>351.85</v>
      </c>
      <c r="AV365" s="9">
        <f t="shared" si="65"/>
        <v>0.72846790890269153</v>
      </c>
    </row>
    <row r="366" spans="1:49" x14ac:dyDescent="0.3">
      <c r="A366" s="23">
        <v>234</v>
      </c>
      <c r="B366" t="s">
        <v>42</v>
      </c>
      <c r="C366" s="1">
        <v>11222</v>
      </c>
      <c r="D366" t="s">
        <v>141</v>
      </c>
      <c r="E366" t="s">
        <v>223</v>
      </c>
      <c r="F366" t="s">
        <v>223</v>
      </c>
      <c r="G366" s="2">
        <v>1987</v>
      </c>
      <c r="H366" s="2" t="s">
        <v>131</v>
      </c>
      <c r="I366" s="2" t="str">
        <f t="shared" si="66"/>
        <v>&gt;1980</v>
      </c>
      <c r="J366" s="2">
        <v>45</v>
      </c>
      <c r="K366" s="2">
        <f t="shared" si="64"/>
        <v>50</v>
      </c>
      <c r="L366" s="2">
        <v>200</v>
      </c>
      <c r="M366" s="2">
        <v>155</v>
      </c>
      <c r="N366" s="2">
        <v>5</v>
      </c>
      <c r="O366" s="2">
        <v>0</v>
      </c>
      <c r="P366" s="2">
        <v>3</v>
      </c>
      <c r="Q366" s="2">
        <v>1</v>
      </c>
      <c r="R366" s="2">
        <v>16</v>
      </c>
      <c r="S366" s="2">
        <v>16</v>
      </c>
      <c r="V366" s="1">
        <v>702</v>
      </c>
      <c r="W366" s="2">
        <v>3076.4</v>
      </c>
      <c r="X366" s="2">
        <v>473.3</v>
      </c>
      <c r="Y366" s="1">
        <v>2611.9</v>
      </c>
      <c r="Z366" s="11" t="s">
        <v>214</v>
      </c>
      <c r="AA366" s="2">
        <v>4</v>
      </c>
      <c r="AB366" s="2">
        <v>0</v>
      </c>
      <c r="AC366" s="2">
        <v>0</v>
      </c>
      <c r="AD366" s="3" t="s">
        <v>91</v>
      </c>
      <c r="AE366" s="3" t="s">
        <v>92</v>
      </c>
      <c r="AF366" s="3" t="s">
        <v>139</v>
      </c>
      <c r="AG366" s="3" t="s">
        <v>74</v>
      </c>
      <c r="AH366" s="3" t="s">
        <v>75</v>
      </c>
      <c r="AI366" s="2">
        <v>1</v>
      </c>
      <c r="AJ366" s="2">
        <v>0</v>
      </c>
      <c r="AK366" s="2">
        <v>0</v>
      </c>
      <c r="AL366" s="2">
        <v>1</v>
      </c>
      <c r="AM366" s="2">
        <v>0</v>
      </c>
      <c r="AN366" s="2">
        <v>0</v>
      </c>
      <c r="AO366" s="2" t="s">
        <v>76</v>
      </c>
      <c r="AP366" s="1">
        <f>630.3+992.82+247.1</f>
        <v>1870.2199999999998</v>
      </c>
      <c r="AQ366" s="1">
        <f>137.5+81+155.2+74.4</f>
        <v>448.1</v>
      </c>
      <c r="AR366" s="4">
        <f t="shared" si="69"/>
        <v>0.19328651782325135</v>
      </c>
      <c r="AS366" s="18">
        <f t="shared" si="72"/>
        <v>417.904</v>
      </c>
      <c r="AT366">
        <f t="shared" si="71"/>
        <v>0.93261325596964961</v>
      </c>
      <c r="AU366">
        <f t="shared" si="73"/>
        <v>351.85</v>
      </c>
      <c r="AV366" s="9">
        <f t="shared" si="65"/>
        <v>0.78520419549207765</v>
      </c>
    </row>
    <row r="367" spans="1:49" x14ac:dyDescent="0.3">
      <c r="A367" s="23">
        <v>252</v>
      </c>
      <c r="B367" t="s">
        <v>42</v>
      </c>
      <c r="C367" s="1">
        <v>11222</v>
      </c>
      <c r="D367" t="s">
        <v>141</v>
      </c>
      <c r="E367" t="s">
        <v>223</v>
      </c>
      <c r="F367" t="s">
        <v>223</v>
      </c>
      <c r="G367" s="2">
        <v>1980</v>
      </c>
      <c r="H367" s="2" t="s">
        <v>69</v>
      </c>
      <c r="I367" s="2" t="str">
        <f t="shared" si="66"/>
        <v>1950-1980</v>
      </c>
      <c r="J367" s="2">
        <v>45</v>
      </c>
      <c r="K367" s="2">
        <f t="shared" si="64"/>
        <v>50</v>
      </c>
      <c r="L367" s="2">
        <v>200</v>
      </c>
      <c r="M367" s="2">
        <v>155</v>
      </c>
      <c r="N367" s="2">
        <v>5</v>
      </c>
      <c r="O367" s="2">
        <v>0</v>
      </c>
      <c r="P367" s="2">
        <v>3</v>
      </c>
      <c r="Q367" s="2">
        <v>1</v>
      </c>
      <c r="R367" s="2">
        <v>16</v>
      </c>
      <c r="S367" s="2">
        <v>16</v>
      </c>
      <c r="T367" s="2">
        <v>12.4</v>
      </c>
      <c r="U367" s="2">
        <v>55.4</v>
      </c>
      <c r="V367" s="1">
        <v>661</v>
      </c>
      <c r="W367" s="2">
        <v>3060</v>
      </c>
      <c r="X367" s="2">
        <v>594</v>
      </c>
      <c r="Y367" s="1">
        <v>2764.8</v>
      </c>
      <c r="Z367" s="11" t="s">
        <v>214</v>
      </c>
      <c r="AA367" s="2">
        <v>4</v>
      </c>
      <c r="AB367" s="2">
        <v>0</v>
      </c>
      <c r="AC367" s="2">
        <v>0</v>
      </c>
      <c r="AD367" s="3" t="s">
        <v>91</v>
      </c>
      <c r="AE367" s="3" t="s">
        <v>92</v>
      </c>
      <c r="AF367" s="3" t="s">
        <v>150</v>
      </c>
      <c r="AG367" s="3" t="s">
        <v>74</v>
      </c>
      <c r="AH367" s="3" t="s">
        <v>75</v>
      </c>
      <c r="AI367" s="2">
        <v>1</v>
      </c>
      <c r="AJ367" s="2">
        <v>0</v>
      </c>
      <c r="AK367" s="2">
        <v>0</v>
      </c>
      <c r="AL367" s="2">
        <v>1</v>
      </c>
      <c r="AM367" s="2">
        <v>0</v>
      </c>
      <c r="AN367" s="2">
        <v>0</v>
      </c>
      <c r="AO367" s="2" t="s">
        <v>123</v>
      </c>
      <c r="AP367" s="1">
        <f>315.9+1044.1+155.6</f>
        <v>1515.6</v>
      </c>
      <c r="AQ367" s="1">
        <f>207.8+284.5</f>
        <v>492.3</v>
      </c>
      <c r="AR367" s="4">
        <f t="shared" si="69"/>
        <v>0.2451815329448678</v>
      </c>
      <c r="AS367" s="18">
        <f t="shared" si="72"/>
        <v>442.36800000000005</v>
      </c>
      <c r="AT367">
        <f t="shared" si="71"/>
        <v>0.89857404021937848</v>
      </c>
      <c r="AU367">
        <f t="shared" si="73"/>
        <v>351.85</v>
      </c>
      <c r="AV367" s="9">
        <f t="shared" si="65"/>
        <v>0.71470647978874668</v>
      </c>
    </row>
    <row r="368" spans="1:49" x14ac:dyDescent="0.3">
      <c r="A368" s="23">
        <v>313</v>
      </c>
      <c r="B368" t="s">
        <v>42</v>
      </c>
      <c r="C368" s="1">
        <v>11222</v>
      </c>
      <c r="D368" t="s">
        <v>85</v>
      </c>
      <c r="E368" t="s">
        <v>86</v>
      </c>
      <c r="F368" t="s">
        <v>86</v>
      </c>
      <c r="G368" s="2">
        <v>1985</v>
      </c>
      <c r="H368" s="2" t="s">
        <v>131</v>
      </c>
      <c r="I368" s="2" t="str">
        <f t="shared" si="66"/>
        <v>&gt;1980</v>
      </c>
      <c r="J368" s="2">
        <v>45</v>
      </c>
      <c r="K368" s="2">
        <f t="shared" si="64"/>
        <v>50</v>
      </c>
      <c r="L368" s="2">
        <v>155</v>
      </c>
      <c r="M368" s="2">
        <v>110</v>
      </c>
      <c r="N368" s="2">
        <v>5</v>
      </c>
      <c r="O368" s="2">
        <v>0</v>
      </c>
      <c r="P368" s="2">
        <v>3</v>
      </c>
      <c r="Q368" s="2">
        <v>1</v>
      </c>
      <c r="R368" s="2">
        <v>16</v>
      </c>
      <c r="S368" s="2">
        <v>16</v>
      </c>
      <c r="T368" s="2">
        <v>11.5</v>
      </c>
      <c r="U368" s="2">
        <v>55</v>
      </c>
      <c r="V368" s="1">
        <v>662.3</v>
      </c>
      <c r="W368" s="2">
        <v>3204.3</v>
      </c>
      <c r="X368" s="2">
        <v>739.7</v>
      </c>
      <c r="Y368" s="1">
        <v>3193.3</v>
      </c>
      <c r="Z368" s="11" t="s">
        <v>214</v>
      </c>
      <c r="AA368" s="2">
        <v>4</v>
      </c>
      <c r="AB368" s="2">
        <v>0</v>
      </c>
      <c r="AC368" s="2">
        <v>0</v>
      </c>
      <c r="AD368" s="3" t="s">
        <v>91</v>
      </c>
      <c r="AE368" s="3" t="s">
        <v>65</v>
      </c>
      <c r="AF368" s="3" t="s">
        <v>65</v>
      </c>
      <c r="AG368" s="3" t="s">
        <v>74</v>
      </c>
      <c r="AH368" s="3" t="s">
        <v>75</v>
      </c>
      <c r="AI368" s="2">
        <v>1</v>
      </c>
      <c r="AJ368" s="2">
        <v>0</v>
      </c>
      <c r="AK368" s="2">
        <v>0</v>
      </c>
      <c r="AL368" s="2">
        <v>1</v>
      </c>
      <c r="AM368" s="2">
        <v>0</v>
      </c>
      <c r="AN368" s="2">
        <v>0</v>
      </c>
      <c r="AO368" s="2" t="s">
        <v>84</v>
      </c>
      <c r="AR368" s="4"/>
      <c r="AS368" s="18" t="str">
        <f t="shared" si="72"/>
        <v/>
      </c>
      <c r="AT368" t="str">
        <f t="shared" si="71"/>
        <v/>
      </c>
      <c r="AU368" t="str">
        <f>IF(AQ368&lt;&gt;"",2.3*M368,"")</f>
        <v/>
      </c>
      <c r="AV368" s="9" t="str">
        <f t="shared" si="65"/>
        <v/>
      </c>
    </row>
    <row r="369" spans="1:49" x14ac:dyDescent="0.3">
      <c r="A369" s="23">
        <v>356</v>
      </c>
      <c r="B369" t="s">
        <v>42</v>
      </c>
      <c r="C369" s="1">
        <v>11222</v>
      </c>
      <c r="D369" t="s">
        <v>85</v>
      </c>
      <c r="E369" t="s">
        <v>312</v>
      </c>
      <c r="F369" t="s">
        <v>313</v>
      </c>
      <c r="G369" s="2">
        <v>1983</v>
      </c>
      <c r="H369" s="2" t="s">
        <v>131</v>
      </c>
      <c r="I369" s="2" t="str">
        <f t="shared" si="66"/>
        <v>&gt;1980</v>
      </c>
      <c r="J369" s="2">
        <v>36</v>
      </c>
      <c r="K369" s="2">
        <f t="shared" si="64"/>
        <v>40</v>
      </c>
      <c r="L369" s="2">
        <v>160</v>
      </c>
      <c r="M369" s="2">
        <v>124</v>
      </c>
      <c r="N369" s="2">
        <v>4</v>
      </c>
      <c r="O369" s="2">
        <v>0</v>
      </c>
      <c r="P369" s="2">
        <v>3</v>
      </c>
      <c r="Q369" s="2">
        <v>1</v>
      </c>
      <c r="R369" s="2">
        <v>13.4</v>
      </c>
      <c r="S369" s="2">
        <v>13.5</v>
      </c>
      <c r="V369" s="1">
        <v>636</v>
      </c>
      <c r="W369" s="2">
        <v>2205.9</v>
      </c>
      <c r="X369" s="2">
        <v>192.6</v>
      </c>
      <c r="Y369" s="1">
        <v>2205.9</v>
      </c>
      <c r="Z369" s="11" t="s">
        <v>214</v>
      </c>
      <c r="AA369" s="2">
        <v>4</v>
      </c>
      <c r="AB369" s="2">
        <v>0</v>
      </c>
      <c r="AC369" s="2">
        <v>2</v>
      </c>
      <c r="AD369" s="3" t="s">
        <v>91</v>
      </c>
      <c r="AE369" s="3" t="s">
        <v>92</v>
      </c>
      <c r="AF369" s="3" t="s">
        <v>50</v>
      </c>
      <c r="AG369" s="3" t="s">
        <v>74</v>
      </c>
      <c r="AH369" s="3" t="s">
        <v>75</v>
      </c>
      <c r="AI369" s="2">
        <v>1</v>
      </c>
      <c r="AJ369" s="2">
        <v>0</v>
      </c>
      <c r="AK369" s="2">
        <v>0</v>
      </c>
      <c r="AL369" s="2">
        <v>1</v>
      </c>
      <c r="AM369" s="2">
        <v>0</v>
      </c>
      <c r="AN369" s="2">
        <v>0</v>
      </c>
      <c r="AO369" s="2" t="s">
        <v>84</v>
      </c>
      <c r="AP369" s="1">
        <v>1282</v>
      </c>
      <c r="AQ369" s="1">
        <v>348.5</v>
      </c>
      <c r="AR369" s="4">
        <f t="shared" ref="AR369:AR408" si="74">AQ369/(AP369+AQ369)</f>
        <v>0.21373811714198099</v>
      </c>
      <c r="AS369" s="18">
        <f t="shared" si="72"/>
        <v>352.94400000000002</v>
      </c>
      <c r="AT369">
        <f t="shared" si="71"/>
        <v>1.012751793400287</v>
      </c>
      <c r="AU369">
        <f t="shared" ref="AU369:AU389" si="75">IF(AQ369&lt;&gt;"",2.27*M369,"")</f>
        <v>281.48</v>
      </c>
      <c r="AV369" s="9">
        <f t="shared" si="65"/>
        <v>0.80769010043041611</v>
      </c>
    </row>
    <row r="370" spans="1:49" x14ac:dyDescent="0.3">
      <c r="A370" s="24" t="s">
        <v>267</v>
      </c>
      <c r="B370" t="s">
        <v>42</v>
      </c>
      <c r="C370" s="2">
        <v>11222</v>
      </c>
      <c r="D370" t="s">
        <v>106</v>
      </c>
      <c r="E370" t="s">
        <v>107</v>
      </c>
      <c r="F370" t="s">
        <v>108</v>
      </c>
      <c r="G370" s="2">
        <v>1976</v>
      </c>
      <c r="H370" s="2" t="s">
        <v>69</v>
      </c>
      <c r="I370" s="2" t="str">
        <f t="shared" si="66"/>
        <v>1950-1980</v>
      </c>
      <c r="J370" s="14">
        <v>24</v>
      </c>
      <c r="K370" s="2">
        <f t="shared" si="64"/>
        <v>20</v>
      </c>
      <c r="L370" s="14">
        <f>68+24*2</f>
        <v>116</v>
      </c>
      <c r="M370" s="14">
        <f>68+24</f>
        <v>92</v>
      </c>
      <c r="N370" s="2">
        <v>4</v>
      </c>
      <c r="O370" s="2">
        <v>0</v>
      </c>
      <c r="P370" s="2">
        <v>3</v>
      </c>
      <c r="Q370" s="2">
        <v>1</v>
      </c>
      <c r="R370" s="2">
        <v>13.1</v>
      </c>
      <c r="S370" s="2">
        <v>13</v>
      </c>
      <c r="T370" s="15">
        <v>9.65</v>
      </c>
      <c r="U370" s="15">
        <v>47.6</v>
      </c>
      <c r="V370" s="2">
        <v>472</v>
      </c>
      <c r="W370" s="2">
        <v>1883.8</v>
      </c>
      <c r="X370" s="2">
        <v>0</v>
      </c>
      <c r="Y370" s="2">
        <v>1605</v>
      </c>
      <c r="Z370" s="2" t="s">
        <v>214</v>
      </c>
      <c r="AA370">
        <v>4</v>
      </c>
      <c r="AB370" s="2">
        <v>0</v>
      </c>
      <c r="AC370"/>
      <c r="AD370" s="3" t="s">
        <v>268</v>
      </c>
      <c r="AE370" s="3" t="s">
        <v>269</v>
      </c>
      <c r="AF370" s="3" t="s">
        <v>50</v>
      </c>
      <c r="AG370" s="3" t="s">
        <v>74</v>
      </c>
      <c r="AH370" s="3" t="s">
        <v>75</v>
      </c>
      <c r="AI370" s="2">
        <v>1</v>
      </c>
      <c r="AJ370" s="2">
        <v>0</v>
      </c>
      <c r="AK370" s="2">
        <v>0</v>
      </c>
      <c r="AL370" s="2">
        <v>0</v>
      </c>
      <c r="AM370" s="2">
        <v>0</v>
      </c>
      <c r="AN370" s="2">
        <v>1</v>
      </c>
      <c r="AO370" s="2" t="s">
        <v>76</v>
      </c>
      <c r="AP370" s="2">
        <v>927.7</v>
      </c>
      <c r="AQ370" s="2">
        <v>290.8</v>
      </c>
      <c r="AR370" s="4">
        <f t="shared" si="74"/>
        <v>0.23865408288879772</v>
      </c>
      <c r="AS370" s="18">
        <f t="shared" si="72"/>
        <v>256.8</v>
      </c>
      <c r="AT370">
        <f t="shared" si="71"/>
        <v>0.88308115543328747</v>
      </c>
      <c r="AU370">
        <f t="shared" si="75"/>
        <v>208.84</v>
      </c>
      <c r="AV370" s="9">
        <f t="shared" si="65"/>
        <v>0.71815680880330124</v>
      </c>
      <c r="AW370" t="s">
        <v>194</v>
      </c>
    </row>
    <row r="371" spans="1:49" x14ac:dyDescent="0.3">
      <c r="A371" s="24" t="s">
        <v>329</v>
      </c>
      <c r="B371" t="s">
        <v>42</v>
      </c>
      <c r="C371" s="2">
        <v>11222</v>
      </c>
      <c r="D371" t="s">
        <v>211</v>
      </c>
      <c r="E371" t="s">
        <v>212</v>
      </c>
      <c r="F371" t="s">
        <v>213</v>
      </c>
      <c r="G371" s="2" t="s">
        <v>330</v>
      </c>
      <c r="H371" s="2" t="s">
        <v>131</v>
      </c>
      <c r="I371" s="2" t="str">
        <f t="shared" si="66"/>
        <v>&gt;1980</v>
      </c>
      <c r="J371" s="14">
        <v>45</v>
      </c>
      <c r="K371" s="2">
        <f t="shared" si="64"/>
        <v>50</v>
      </c>
      <c r="L371" s="14">
        <f>110+45*2</f>
        <v>200</v>
      </c>
      <c r="M371" s="14">
        <f>110+45</f>
        <v>155</v>
      </c>
      <c r="N371" s="2">
        <v>5</v>
      </c>
      <c r="O371" s="2">
        <v>0</v>
      </c>
      <c r="P371" s="2">
        <v>3</v>
      </c>
      <c r="Q371" s="2">
        <v>1</v>
      </c>
      <c r="R371" s="2">
        <v>16.5</v>
      </c>
      <c r="S371" s="2">
        <v>16.5</v>
      </c>
      <c r="T371" s="2">
        <v>12.4</v>
      </c>
      <c r="U371" s="2">
        <v>55.3</v>
      </c>
      <c r="V371" s="2">
        <v>716</v>
      </c>
      <c r="W371" s="2">
        <v>3110.9</v>
      </c>
      <c r="X371" s="2">
        <v>547.4</v>
      </c>
      <c r="Y371" s="2">
        <v>2736.9</v>
      </c>
      <c r="Z371" s="2" t="s">
        <v>214</v>
      </c>
      <c r="AA371">
        <v>4</v>
      </c>
      <c r="AB371" s="2">
        <v>0</v>
      </c>
      <c r="AC371"/>
      <c r="AD371" s="3" t="s">
        <v>204</v>
      </c>
      <c r="AE371" s="3" t="s">
        <v>331</v>
      </c>
      <c r="AF371" s="3" t="s">
        <v>332</v>
      </c>
      <c r="AG371" s="3" t="s">
        <v>74</v>
      </c>
      <c r="AH371" s="3" t="s">
        <v>75</v>
      </c>
      <c r="AI371" s="2">
        <v>1</v>
      </c>
      <c r="AJ371" s="2">
        <v>0</v>
      </c>
      <c r="AK371" s="2">
        <v>0</v>
      </c>
      <c r="AL371" s="2">
        <v>1</v>
      </c>
      <c r="AM371" s="2">
        <v>0</v>
      </c>
      <c r="AN371" s="2">
        <v>0</v>
      </c>
      <c r="AO371" s="2" t="s">
        <v>53</v>
      </c>
      <c r="AP371" s="2">
        <v>1550.7</v>
      </c>
      <c r="AQ371" s="2">
        <v>457.4</v>
      </c>
      <c r="AR371" s="4">
        <f t="shared" si="74"/>
        <v>0.22777750112046213</v>
      </c>
      <c r="AS371" s="18">
        <f t="shared" si="72"/>
        <v>437.904</v>
      </c>
      <c r="AT371">
        <f t="shared" si="71"/>
        <v>0.95737647573240059</v>
      </c>
      <c r="AU371">
        <f t="shared" si="75"/>
        <v>351.85</v>
      </c>
      <c r="AV371" s="9">
        <f t="shared" si="65"/>
        <v>0.76923917796239627</v>
      </c>
      <c r="AW371" t="s">
        <v>245</v>
      </c>
    </row>
    <row r="372" spans="1:49" x14ac:dyDescent="0.3">
      <c r="A372" s="23">
        <v>23</v>
      </c>
      <c r="B372" t="s">
        <v>42</v>
      </c>
      <c r="C372" s="1">
        <v>11222</v>
      </c>
      <c r="D372" t="s">
        <v>54</v>
      </c>
      <c r="E372" t="s">
        <v>110</v>
      </c>
      <c r="F372" t="s">
        <v>110</v>
      </c>
      <c r="G372" s="2">
        <v>1978</v>
      </c>
      <c r="H372" s="2" t="s">
        <v>69</v>
      </c>
      <c r="I372" s="2" t="str">
        <f t="shared" si="66"/>
        <v>1950-1980</v>
      </c>
      <c r="J372" s="2">
        <v>60</v>
      </c>
      <c r="K372" s="2">
        <f t="shared" si="64"/>
        <v>60</v>
      </c>
      <c r="L372" s="2">
        <v>270</v>
      </c>
      <c r="M372" s="2">
        <v>210</v>
      </c>
      <c r="N372" s="2">
        <v>5</v>
      </c>
      <c r="O372" s="2">
        <v>0</v>
      </c>
      <c r="P372" s="2">
        <v>4</v>
      </c>
      <c r="Q372" s="2">
        <v>1</v>
      </c>
      <c r="R372" s="2">
        <v>15.9</v>
      </c>
      <c r="S372" s="2">
        <v>16</v>
      </c>
      <c r="T372" s="2">
        <v>12.8</v>
      </c>
      <c r="U372" s="2">
        <v>76.900000000000006</v>
      </c>
      <c r="V372" s="1">
        <v>1031</v>
      </c>
      <c r="W372" s="2">
        <v>4404.1000000000004</v>
      </c>
      <c r="X372" s="2">
        <v>880.1</v>
      </c>
      <c r="Y372" s="1">
        <v>3300.1</v>
      </c>
      <c r="Z372" s="11" t="s">
        <v>214</v>
      </c>
      <c r="AA372" s="2">
        <v>4</v>
      </c>
      <c r="AB372" s="2">
        <v>0</v>
      </c>
      <c r="AC372" s="2">
        <v>0</v>
      </c>
      <c r="AD372" s="3" t="s">
        <v>219</v>
      </c>
      <c r="AE372" s="3" t="s">
        <v>115</v>
      </c>
      <c r="AF372" s="3" t="s">
        <v>83</v>
      </c>
      <c r="AG372" s="3" t="s">
        <v>74</v>
      </c>
      <c r="AH372" s="3" t="s">
        <v>75</v>
      </c>
      <c r="AI372" s="2">
        <v>1</v>
      </c>
      <c r="AJ372" s="2">
        <v>0</v>
      </c>
      <c r="AK372" s="2">
        <v>0</v>
      </c>
      <c r="AL372" s="2">
        <v>1</v>
      </c>
      <c r="AM372" s="2">
        <v>0</v>
      </c>
      <c r="AN372" s="2">
        <v>0</v>
      </c>
      <c r="AO372" s="2" t="s">
        <v>76</v>
      </c>
      <c r="AP372" s="1">
        <f>1415.3</f>
        <v>1415.3</v>
      </c>
      <c r="AQ372" s="1">
        <f>283.7+238.6</f>
        <v>522.29999999999995</v>
      </c>
      <c r="AR372" s="4">
        <f t="shared" si="74"/>
        <v>0.26956028075970273</v>
      </c>
      <c r="AS372" s="18">
        <f t="shared" si="72"/>
        <v>528.01599999999996</v>
      </c>
      <c r="AT372">
        <f t="shared" si="71"/>
        <v>1.0109439019720468</v>
      </c>
      <c r="AU372">
        <f t="shared" si="75"/>
        <v>476.7</v>
      </c>
      <c r="AV372" s="9">
        <f t="shared" si="65"/>
        <v>0.91269385410683523</v>
      </c>
    </row>
    <row r="373" spans="1:49" x14ac:dyDescent="0.3">
      <c r="A373" s="23">
        <v>39</v>
      </c>
      <c r="B373" t="s">
        <v>42</v>
      </c>
      <c r="C373" s="1">
        <v>11222</v>
      </c>
      <c r="D373" t="s">
        <v>141</v>
      </c>
      <c r="E373" t="s">
        <v>142</v>
      </c>
      <c r="F373" t="s">
        <v>284</v>
      </c>
      <c r="G373" s="2">
        <v>1980</v>
      </c>
      <c r="H373" s="2" t="s">
        <v>69</v>
      </c>
      <c r="I373" s="2" t="str">
        <f t="shared" si="66"/>
        <v>1950-1980</v>
      </c>
      <c r="J373" s="2">
        <v>24</v>
      </c>
      <c r="K373" s="2">
        <f t="shared" si="64"/>
        <v>20</v>
      </c>
      <c r="L373" s="2">
        <v>116</v>
      </c>
      <c r="M373" s="2">
        <v>92</v>
      </c>
      <c r="N373" s="2">
        <v>3</v>
      </c>
      <c r="O373" s="2">
        <v>0</v>
      </c>
      <c r="P373" s="2">
        <v>4</v>
      </c>
      <c r="Q373" s="2">
        <v>1</v>
      </c>
      <c r="R373" s="2">
        <v>11.7</v>
      </c>
      <c r="S373" s="2">
        <v>11.5</v>
      </c>
      <c r="T373" s="2">
        <v>11.7</v>
      </c>
      <c r="U373" s="2">
        <v>72</v>
      </c>
      <c r="V373" s="1">
        <v>941</v>
      </c>
      <c r="W373" s="2">
        <v>2170</v>
      </c>
      <c r="X373" s="2">
        <v>581.6</v>
      </c>
      <c r="Y373" s="1">
        <v>1749</v>
      </c>
      <c r="Z373" s="11" t="s">
        <v>214</v>
      </c>
      <c r="AA373" s="2">
        <v>4</v>
      </c>
      <c r="AB373" s="2">
        <v>0</v>
      </c>
      <c r="AC373" s="2">
        <v>0</v>
      </c>
      <c r="AD373" s="3" t="s">
        <v>204</v>
      </c>
      <c r="AE373" s="3" t="s">
        <v>115</v>
      </c>
      <c r="AF373" s="3" t="s">
        <v>83</v>
      </c>
      <c r="AG373" s="3" t="s">
        <v>67</v>
      </c>
      <c r="AH373" s="3" t="s">
        <v>81</v>
      </c>
      <c r="AI373" s="2">
        <v>1</v>
      </c>
      <c r="AJ373" s="2">
        <v>0</v>
      </c>
      <c r="AK373" s="2">
        <v>0</v>
      </c>
      <c r="AL373" s="2">
        <v>1</v>
      </c>
      <c r="AM373" s="2">
        <v>0</v>
      </c>
      <c r="AN373" s="2">
        <v>1</v>
      </c>
      <c r="AO373" s="2" t="s">
        <v>123</v>
      </c>
      <c r="AP373" s="16">
        <v>1169</v>
      </c>
      <c r="AQ373" s="16">
        <v>351</v>
      </c>
      <c r="AR373" s="4">
        <f t="shared" si="74"/>
        <v>0.23092105263157894</v>
      </c>
      <c r="AS373" s="18">
        <f t="shared" si="72"/>
        <v>279.83999999999997</v>
      </c>
      <c r="AT373">
        <f t="shared" si="71"/>
        <v>0.79726495726495716</v>
      </c>
      <c r="AU373">
        <f t="shared" si="75"/>
        <v>208.84</v>
      </c>
      <c r="AV373" s="9">
        <f t="shared" si="65"/>
        <v>0.59498575498575501</v>
      </c>
    </row>
    <row r="374" spans="1:49" x14ac:dyDescent="0.3">
      <c r="A374" s="23">
        <v>68</v>
      </c>
      <c r="B374" t="s">
        <v>42</v>
      </c>
      <c r="C374" s="1">
        <v>11222</v>
      </c>
      <c r="D374" t="s">
        <v>141</v>
      </c>
      <c r="E374" t="s">
        <v>223</v>
      </c>
      <c r="F374" t="s">
        <v>223</v>
      </c>
      <c r="G374" s="2">
        <v>1981</v>
      </c>
      <c r="H374" s="2" t="s">
        <v>131</v>
      </c>
      <c r="I374" s="2" t="str">
        <f t="shared" si="66"/>
        <v>&gt;1980</v>
      </c>
      <c r="J374" s="2">
        <v>60</v>
      </c>
      <c r="K374" s="2">
        <f t="shared" si="64"/>
        <v>60</v>
      </c>
      <c r="L374" s="2">
        <v>270</v>
      </c>
      <c r="M374" s="2">
        <v>210</v>
      </c>
      <c r="N374" s="2">
        <v>5</v>
      </c>
      <c r="O374" s="2">
        <v>0</v>
      </c>
      <c r="P374" s="2">
        <v>4</v>
      </c>
      <c r="Q374" s="2">
        <v>1</v>
      </c>
      <c r="R374" s="2">
        <v>16.100000000000001</v>
      </c>
      <c r="S374" s="2">
        <v>16</v>
      </c>
      <c r="T374" s="2">
        <v>15.3</v>
      </c>
      <c r="U374" s="2">
        <v>74.8</v>
      </c>
      <c r="V374" s="1">
        <v>966.8</v>
      </c>
      <c r="W374" s="2">
        <v>4334.3999999999996</v>
      </c>
      <c r="X374" s="2">
        <v>798.9</v>
      </c>
      <c r="Y374" s="1">
        <v>3606</v>
      </c>
      <c r="Z374" s="2" t="s">
        <v>214</v>
      </c>
      <c r="AA374" s="2">
        <v>4</v>
      </c>
      <c r="AB374" s="2">
        <v>0</v>
      </c>
      <c r="AC374" s="2">
        <v>0</v>
      </c>
      <c r="AD374" s="3" t="s">
        <v>91</v>
      </c>
      <c r="AE374" s="3" t="s">
        <v>92</v>
      </c>
      <c r="AF374" s="3" t="s">
        <v>83</v>
      </c>
      <c r="AG374" s="3" t="s">
        <v>74</v>
      </c>
      <c r="AH374" s="3" t="s">
        <v>75</v>
      </c>
      <c r="AI374" s="2">
        <v>1</v>
      </c>
      <c r="AJ374" s="2">
        <v>0</v>
      </c>
      <c r="AK374" s="2">
        <v>0</v>
      </c>
      <c r="AL374" s="2">
        <v>1</v>
      </c>
      <c r="AM374" s="2">
        <v>0</v>
      </c>
      <c r="AN374" s="2">
        <v>0</v>
      </c>
      <c r="AO374" s="2" t="s">
        <v>123</v>
      </c>
      <c r="AP374" s="1">
        <f>263+683</f>
        <v>946</v>
      </c>
      <c r="AQ374" s="1">
        <f>306.8+133</f>
        <v>439.8</v>
      </c>
      <c r="AR374" s="4">
        <f t="shared" si="74"/>
        <v>0.31736181267138119</v>
      </c>
      <c r="AS374" s="18">
        <f t="shared" si="72"/>
        <v>576.96</v>
      </c>
      <c r="AT374">
        <f t="shared" si="71"/>
        <v>1.3118690313778991</v>
      </c>
      <c r="AU374">
        <f t="shared" si="75"/>
        <v>476.7</v>
      </c>
      <c r="AV374" s="9">
        <f t="shared" si="65"/>
        <v>1.0839017735334242</v>
      </c>
    </row>
    <row r="375" spans="1:49" x14ac:dyDescent="0.3">
      <c r="A375" s="23">
        <v>78</v>
      </c>
      <c r="B375" t="s">
        <v>42</v>
      </c>
      <c r="C375" s="1">
        <v>11222</v>
      </c>
      <c r="D375" t="s">
        <v>141</v>
      </c>
      <c r="E375" t="s">
        <v>223</v>
      </c>
      <c r="F375" t="s">
        <v>223</v>
      </c>
      <c r="G375" s="2">
        <v>1982</v>
      </c>
      <c r="H375" s="2" t="s">
        <v>131</v>
      </c>
      <c r="I375" s="2" t="str">
        <f t="shared" si="66"/>
        <v>&gt;1980</v>
      </c>
      <c r="J375" s="2">
        <v>60</v>
      </c>
      <c r="K375" s="2">
        <f t="shared" si="64"/>
        <v>60</v>
      </c>
      <c r="L375" s="2">
        <v>270</v>
      </c>
      <c r="M375" s="2">
        <v>210</v>
      </c>
      <c r="N375" s="2">
        <v>5</v>
      </c>
      <c r="O375" s="2">
        <v>0</v>
      </c>
      <c r="P375" s="2">
        <v>4</v>
      </c>
      <c r="Q375" s="2">
        <v>1</v>
      </c>
      <c r="R375" s="2">
        <v>18</v>
      </c>
      <c r="S375" s="2">
        <v>18</v>
      </c>
      <c r="V375" s="1">
        <v>926</v>
      </c>
      <c r="W375" s="2">
        <v>4211.7</v>
      </c>
      <c r="X375" s="2">
        <v>846.8</v>
      </c>
      <c r="Y375" s="1">
        <v>3364.7</v>
      </c>
      <c r="Z375" s="11" t="s">
        <v>214</v>
      </c>
      <c r="AA375" s="2">
        <v>4</v>
      </c>
      <c r="AB375" s="2">
        <v>0</v>
      </c>
      <c r="AC375" s="2">
        <v>2</v>
      </c>
      <c r="AD375" s="3" t="s">
        <v>91</v>
      </c>
      <c r="AE375" s="3" t="s">
        <v>92</v>
      </c>
      <c r="AF375" s="3" t="s">
        <v>83</v>
      </c>
      <c r="AG375" s="3" t="s">
        <v>74</v>
      </c>
      <c r="AH375" s="3" t="s">
        <v>75</v>
      </c>
      <c r="AI375" s="2">
        <v>1</v>
      </c>
      <c r="AJ375" s="2">
        <v>0</v>
      </c>
      <c r="AK375" s="2">
        <v>0</v>
      </c>
      <c r="AL375" s="2">
        <v>1</v>
      </c>
      <c r="AM375" s="2">
        <v>0</v>
      </c>
      <c r="AN375" s="2">
        <v>0</v>
      </c>
      <c r="AO375" s="2" t="s">
        <v>84</v>
      </c>
      <c r="AP375" s="1">
        <f>263+559+314+310</f>
        <v>1446</v>
      </c>
      <c r="AQ375" s="1">
        <f>78+571</f>
        <v>649</v>
      </c>
      <c r="AR375" s="4">
        <f t="shared" si="74"/>
        <v>0.30978520286396183</v>
      </c>
      <c r="AS375" s="18">
        <f t="shared" si="72"/>
        <v>538.35199999999998</v>
      </c>
      <c r="AT375">
        <f t="shared" si="71"/>
        <v>0.82951001540832048</v>
      </c>
      <c r="AU375">
        <f t="shared" si="75"/>
        <v>476.7</v>
      </c>
      <c r="AV375" s="9">
        <f t="shared" si="65"/>
        <v>0.73451463790446836</v>
      </c>
    </row>
    <row r="376" spans="1:49" x14ac:dyDescent="0.3">
      <c r="A376" s="23">
        <v>89</v>
      </c>
      <c r="B376" t="s">
        <v>42</v>
      </c>
      <c r="C376" s="1">
        <v>11222</v>
      </c>
      <c r="D376" t="s">
        <v>85</v>
      </c>
      <c r="E376" t="s">
        <v>276</v>
      </c>
      <c r="F376" t="s">
        <v>348</v>
      </c>
      <c r="G376" s="2">
        <v>1975</v>
      </c>
      <c r="H376" s="2" t="s">
        <v>69</v>
      </c>
      <c r="I376" s="2" t="str">
        <f t="shared" si="66"/>
        <v>1950-1980</v>
      </c>
      <c r="J376" s="2">
        <v>60</v>
      </c>
      <c r="K376" s="2">
        <f t="shared" si="64"/>
        <v>60</v>
      </c>
      <c r="L376" s="2">
        <v>270</v>
      </c>
      <c r="M376" s="2">
        <v>210</v>
      </c>
      <c r="N376" s="2">
        <v>5</v>
      </c>
      <c r="O376" s="2">
        <v>0</v>
      </c>
      <c r="P376" s="2">
        <v>4</v>
      </c>
      <c r="Q376" s="2">
        <v>0</v>
      </c>
      <c r="R376" s="2">
        <v>16.100000000000001</v>
      </c>
      <c r="S376" s="2">
        <v>16</v>
      </c>
      <c r="T376" s="2">
        <v>12.3</v>
      </c>
      <c r="U376" s="2">
        <v>74.7</v>
      </c>
      <c r="V376" s="1">
        <v>861</v>
      </c>
      <c r="W376" s="2">
        <v>4243.3</v>
      </c>
      <c r="X376" s="2">
        <v>892.8</v>
      </c>
      <c r="Y376" s="1">
        <v>3547</v>
      </c>
      <c r="Z376" s="11" t="s">
        <v>214</v>
      </c>
      <c r="AA376" s="2">
        <v>4</v>
      </c>
      <c r="AB376" s="2">
        <v>0</v>
      </c>
      <c r="AC376" s="2">
        <v>2</v>
      </c>
      <c r="AD376" s="3" t="s">
        <v>91</v>
      </c>
      <c r="AE376" s="3" t="s">
        <v>92</v>
      </c>
      <c r="AF376" s="3" t="s">
        <v>50</v>
      </c>
      <c r="AG376" s="3" t="s">
        <v>74</v>
      </c>
      <c r="AH376" s="3" t="s">
        <v>75</v>
      </c>
      <c r="AI376" s="2">
        <v>1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 t="s">
        <v>84</v>
      </c>
      <c r="AP376" s="16">
        <v>1815</v>
      </c>
      <c r="AQ376" s="16">
        <v>594</v>
      </c>
      <c r="AR376" s="4">
        <f t="shared" si="74"/>
        <v>0.24657534246575341</v>
      </c>
      <c r="AS376" s="18">
        <f t="shared" si="72"/>
        <v>567.52</v>
      </c>
      <c r="AT376">
        <f t="shared" si="71"/>
        <v>0.95542087542087539</v>
      </c>
      <c r="AU376">
        <f t="shared" si="75"/>
        <v>476.7</v>
      </c>
      <c r="AV376" s="9">
        <f t="shared" si="65"/>
        <v>0.80252525252525253</v>
      </c>
    </row>
    <row r="377" spans="1:49" x14ac:dyDescent="0.3">
      <c r="A377" s="23">
        <v>103</v>
      </c>
      <c r="B377" t="s">
        <v>42</v>
      </c>
      <c r="C377" s="1">
        <v>11222</v>
      </c>
      <c r="D377" t="s">
        <v>54</v>
      </c>
      <c r="E377" t="s">
        <v>110</v>
      </c>
      <c r="F377" t="s">
        <v>110</v>
      </c>
      <c r="G377" s="2">
        <v>1980</v>
      </c>
      <c r="H377" s="2" t="s">
        <v>69</v>
      </c>
      <c r="I377" s="2" t="str">
        <f t="shared" si="66"/>
        <v>1950-1980</v>
      </c>
      <c r="J377" s="2">
        <v>60</v>
      </c>
      <c r="K377" s="2">
        <f t="shared" si="64"/>
        <v>60</v>
      </c>
      <c r="L377" s="2">
        <v>270</v>
      </c>
      <c r="M377" s="2">
        <v>210</v>
      </c>
      <c r="N377" s="2">
        <v>5</v>
      </c>
      <c r="O377" s="2">
        <v>0</v>
      </c>
      <c r="P377" s="2">
        <v>4</v>
      </c>
      <c r="Q377" s="2">
        <v>1</v>
      </c>
      <c r="R377" s="2">
        <v>15</v>
      </c>
      <c r="S377" s="2">
        <v>15</v>
      </c>
      <c r="T377" s="2">
        <v>12.8</v>
      </c>
      <c r="U377" s="2">
        <v>76</v>
      </c>
      <c r="V377" s="1">
        <v>1026.8</v>
      </c>
      <c r="W377" s="2">
        <v>4428.8999999999996</v>
      </c>
      <c r="X377" s="2">
        <v>1099.4000000000001</v>
      </c>
      <c r="Y377" s="1">
        <v>3329.5</v>
      </c>
      <c r="Z377" s="11" t="s">
        <v>214</v>
      </c>
      <c r="AA377" s="2">
        <v>4</v>
      </c>
      <c r="AB377" s="2">
        <v>0</v>
      </c>
      <c r="AC377" s="2">
        <v>2</v>
      </c>
      <c r="AD377" s="3" t="s">
        <v>91</v>
      </c>
      <c r="AE377" s="3" t="s">
        <v>115</v>
      </c>
      <c r="AF377" s="3" t="s">
        <v>83</v>
      </c>
      <c r="AG377" s="3" t="s">
        <v>74</v>
      </c>
      <c r="AH377" s="3" t="s">
        <v>75</v>
      </c>
      <c r="AI377" s="2">
        <v>1</v>
      </c>
      <c r="AJ377" s="2">
        <v>0</v>
      </c>
      <c r="AK377" s="2">
        <v>0</v>
      </c>
      <c r="AL377" s="2">
        <v>1</v>
      </c>
      <c r="AM377" s="2">
        <v>0</v>
      </c>
      <c r="AN377" s="2">
        <v>0</v>
      </c>
      <c r="AO377" s="2" t="s">
        <v>76</v>
      </c>
      <c r="AP377" s="1">
        <f>1613</f>
        <v>1613</v>
      </c>
      <c r="AQ377" s="1">
        <f>355+287</f>
        <v>642</v>
      </c>
      <c r="AR377" s="4">
        <f t="shared" si="74"/>
        <v>0.28470066518847009</v>
      </c>
      <c r="AS377" s="18">
        <f t="shared" si="72"/>
        <v>532.72</v>
      </c>
      <c r="AT377">
        <f t="shared" si="71"/>
        <v>0.82978193146417445</v>
      </c>
      <c r="AU377">
        <f t="shared" si="75"/>
        <v>476.7</v>
      </c>
      <c r="AV377" s="9">
        <f t="shared" si="65"/>
        <v>0.74252336448598133</v>
      </c>
    </row>
    <row r="378" spans="1:49" x14ac:dyDescent="0.3">
      <c r="A378" s="23">
        <v>181</v>
      </c>
      <c r="B378" t="s">
        <v>42</v>
      </c>
      <c r="C378" s="1">
        <v>11222</v>
      </c>
      <c r="D378" t="s">
        <v>54</v>
      </c>
      <c r="E378" t="s">
        <v>110</v>
      </c>
      <c r="F378" t="s">
        <v>110</v>
      </c>
      <c r="G378" s="2">
        <v>1988</v>
      </c>
      <c r="H378" s="2" t="s">
        <v>131</v>
      </c>
      <c r="I378" s="2" t="str">
        <f t="shared" si="66"/>
        <v>&gt;1980</v>
      </c>
      <c r="J378" s="2">
        <v>50</v>
      </c>
      <c r="K378" s="2">
        <f t="shared" si="64"/>
        <v>50</v>
      </c>
      <c r="L378" s="2">
        <v>230</v>
      </c>
      <c r="M378" s="2">
        <v>180</v>
      </c>
      <c r="N378" s="2">
        <v>5</v>
      </c>
      <c r="O378" s="2">
        <v>0</v>
      </c>
      <c r="P378" s="2">
        <v>4</v>
      </c>
      <c r="Q378" s="2">
        <v>1</v>
      </c>
      <c r="R378" s="2">
        <v>16.5</v>
      </c>
      <c r="S378" s="2">
        <v>16.5</v>
      </c>
      <c r="T378" s="2">
        <v>13.1</v>
      </c>
      <c r="U378" s="2">
        <v>60.9</v>
      </c>
      <c r="V378" s="1">
        <v>763</v>
      </c>
      <c r="W378" s="2">
        <v>3712.2</v>
      </c>
      <c r="X378" s="2">
        <v>823.8</v>
      </c>
      <c r="Y378" s="1">
        <v>3048.1</v>
      </c>
      <c r="Z378" s="11" t="s">
        <v>214</v>
      </c>
      <c r="AA378" s="2">
        <v>4</v>
      </c>
      <c r="AB378" s="2">
        <v>0</v>
      </c>
      <c r="AD378" s="3" t="s">
        <v>91</v>
      </c>
      <c r="AE378" s="3" t="s">
        <v>92</v>
      </c>
      <c r="AF378" s="3" t="s">
        <v>50</v>
      </c>
      <c r="AG378" s="3" t="s">
        <v>74</v>
      </c>
      <c r="AH378" s="3" t="s">
        <v>75</v>
      </c>
      <c r="AI378" s="2">
        <v>1</v>
      </c>
      <c r="AJ378" s="2">
        <v>0</v>
      </c>
      <c r="AK378" s="2">
        <v>0</v>
      </c>
      <c r="AL378" s="2">
        <v>1</v>
      </c>
      <c r="AM378" s="2">
        <v>0</v>
      </c>
      <c r="AN378" s="2">
        <v>1</v>
      </c>
      <c r="AO378" s="2" t="s">
        <v>123</v>
      </c>
      <c r="AP378" s="16">
        <v>1621.4</v>
      </c>
      <c r="AQ378" s="16">
        <f>345.4+58.8</f>
        <v>404.2</v>
      </c>
      <c r="AR378" s="4">
        <f t="shared" si="74"/>
        <v>0.19954581358609794</v>
      </c>
      <c r="AS378" s="18">
        <f t="shared" si="72"/>
        <v>487.69599999999997</v>
      </c>
      <c r="AT378">
        <f t="shared" si="71"/>
        <v>1.2065710044532409</v>
      </c>
      <c r="AU378">
        <f t="shared" si="75"/>
        <v>408.6</v>
      </c>
      <c r="AV378" s="9">
        <f t="shared" si="65"/>
        <v>1.0108857001484415</v>
      </c>
    </row>
    <row r="379" spans="1:49" x14ac:dyDescent="0.3">
      <c r="A379" s="23">
        <v>183</v>
      </c>
      <c r="B379" t="s">
        <v>42</v>
      </c>
      <c r="C379" s="1">
        <v>11222</v>
      </c>
      <c r="D379" t="s">
        <v>85</v>
      </c>
      <c r="E379" t="s">
        <v>86</v>
      </c>
      <c r="F379" t="s">
        <v>201</v>
      </c>
      <c r="G379" s="2">
        <v>1984</v>
      </c>
      <c r="H379" s="2" t="s">
        <v>131</v>
      </c>
      <c r="I379" s="2" t="str">
        <f t="shared" si="66"/>
        <v>&gt;1980</v>
      </c>
      <c r="J379" s="2">
        <v>36</v>
      </c>
      <c r="K379" s="2">
        <f t="shared" si="64"/>
        <v>40</v>
      </c>
      <c r="L379" s="2">
        <v>161</v>
      </c>
      <c r="M379" s="2">
        <v>125</v>
      </c>
      <c r="N379" s="2">
        <v>3</v>
      </c>
      <c r="O379" s="2">
        <v>0</v>
      </c>
      <c r="P379" s="2">
        <v>4</v>
      </c>
      <c r="Q379" s="2">
        <v>1</v>
      </c>
      <c r="R379" s="2">
        <v>11.5</v>
      </c>
      <c r="S379" s="2">
        <v>11.5</v>
      </c>
      <c r="T379" s="2">
        <v>15.7</v>
      </c>
      <c r="U379" s="2">
        <v>75.599999999999994</v>
      </c>
      <c r="V379" s="1">
        <v>917</v>
      </c>
      <c r="W379" s="2">
        <v>2922.9</v>
      </c>
      <c r="X379" s="2">
        <v>915.3</v>
      </c>
      <c r="Y379" s="1">
        <v>2192</v>
      </c>
      <c r="Z379" s="2" t="s">
        <v>214</v>
      </c>
      <c r="AA379" s="2">
        <v>6</v>
      </c>
      <c r="AB379" s="2">
        <v>2</v>
      </c>
      <c r="AD379" s="3" t="s">
        <v>91</v>
      </c>
      <c r="AE379" s="3" t="s">
        <v>92</v>
      </c>
      <c r="AF379" s="3" t="s">
        <v>50</v>
      </c>
      <c r="AG379" s="3" t="s">
        <v>74</v>
      </c>
      <c r="AH379" s="3" t="s">
        <v>81</v>
      </c>
      <c r="AI379" s="2">
        <v>1</v>
      </c>
      <c r="AJ379" s="2">
        <v>0</v>
      </c>
      <c r="AK379" s="2">
        <v>0</v>
      </c>
      <c r="AL379" s="2">
        <v>1</v>
      </c>
      <c r="AM379" s="2">
        <v>0</v>
      </c>
      <c r="AN379" s="2">
        <v>0</v>
      </c>
      <c r="AO379" s="2" t="s">
        <v>84</v>
      </c>
      <c r="AP379" s="1">
        <f>1082.5+214.7</f>
        <v>1297.2</v>
      </c>
      <c r="AQ379" s="1">
        <f>247.66+235.96</f>
        <v>483.62</v>
      </c>
      <c r="AR379" s="4">
        <f t="shared" si="74"/>
        <v>0.27157152323087114</v>
      </c>
      <c r="AS379" s="18">
        <f t="shared" si="72"/>
        <v>350.72</v>
      </c>
      <c r="AT379">
        <f t="shared" si="71"/>
        <v>0.72519746908729998</v>
      </c>
      <c r="AU379">
        <f t="shared" si="75"/>
        <v>283.75</v>
      </c>
      <c r="AV379" s="9">
        <f t="shared" si="65"/>
        <v>0.58672097928125388</v>
      </c>
    </row>
    <row r="380" spans="1:49" x14ac:dyDescent="0.3">
      <c r="A380" s="23">
        <v>190</v>
      </c>
      <c r="B380" t="s">
        <v>42</v>
      </c>
      <c r="C380" s="1">
        <v>11222</v>
      </c>
      <c r="D380" t="s">
        <v>54</v>
      </c>
      <c r="E380" t="s">
        <v>110</v>
      </c>
      <c r="F380" t="s">
        <v>110</v>
      </c>
      <c r="G380" s="2">
        <v>1977</v>
      </c>
      <c r="H380" s="2" t="s">
        <v>69</v>
      </c>
      <c r="I380" s="2" t="str">
        <f t="shared" si="66"/>
        <v>1950-1980</v>
      </c>
      <c r="J380" s="2">
        <v>60</v>
      </c>
      <c r="K380" s="2">
        <f t="shared" si="64"/>
        <v>60</v>
      </c>
      <c r="L380" s="2">
        <v>270</v>
      </c>
      <c r="M380" s="2">
        <v>210</v>
      </c>
      <c r="N380" s="2">
        <v>5</v>
      </c>
      <c r="O380" s="2">
        <v>0</v>
      </c>
      <c r="P380" s="2">
        <v>4</v>
      </c>
      <c r="Q380" s="2">
        <v>1</v>
      </c>
      <c r="R380" s="2">
        <v>16.2</v>
      </c>
      <c r="S380" s="2">
        <v>16</v>
      </c>
      <c r="T380" s="2">
        <v>12.8</v>
      </c>
      <c r="U380" s="2">
        <v>76.099999999999994</v>
      </c>
      <c r="V380" s="1">
        <v>1001.6</v>
      </c>
      <c r="W380" s="2">
        <v>4397.8</v>
      </c>
      <c r="X380" s="2">
        <v>1099.5999999999999</v>
      </c>
      <c r="Y380" s="1">
        <v>3632.9</v>
      </c>
      <c r="Z380" s="11" t="s">
        <v>214</v>
      </c>
      <c r="AA380" s="2">
        <v>4</v>
      </c>
      <c r="AB380" s="2">
        <v>0</v>
      </c>
      <c r="AC380" s="2">
        <v>0</v>
      </c>
      <c r="AD380" s="3" t="s">
        <v>91</v>
      </c>
      <c r="AE380" s="3" t="s">
        <v>92</v>
      </c>
      <c r="AF380" s="3" t="s">
        <v>273</v>
      </c>
      <c r="AG380" s="3" t="s">
        <v>74</v>
      </c>
      <c r="AH380" s="3" t="s">
        <v>75</v>
      </c>
      <c r="AI380" s="2">
        <v>1</v>
      </c>
      <c r="AJ380" s="2">
        <v>0</v>
      </c>
      <c r="AK380" s="2">
        <v>0</v>
      </c>
      <c r="AL380" s="2">
        <v>1</v>
      </c>
      <c r="AM380" s="2">
        <v>0</v>
      </c>
      <c r="AN380" s="2">
        <v>0</v>
      </c>
      <c r="AO380" s="2" t="s">
        <v>76</v>
      </c>
      <c r="AP380" s="1">
        <f>1952.6</f>
        <v>1952.6</v>
      </c>
      <c r="AQ380" s="1">
        <f>320.4+365.2</f>
        <v>685.59999999999991</v>
      </c>
      <c r="AR380" s="4">
        <f t="shared" si="74"/>
        <v>0.25987415662193919</v>
      </c>
      <c r="AS380" s="18">
        <f t="shared" si="72"/>
        <v>581.26400000000001</v>
      </c>
      <c r="AT380">
        <f t="shared" si="71"/>
        <v>0.84781796966161038</v>
      </c>
      <c r="AU380">
        <f t="shared" si="75"/>
        <v>476.7</v>
      </c>
      <c r="AV380" s="9">
        <f t="shared" si="65"/>
        <v>0.69530338389731627</v>
      </c>
    </row>
    <row r="381" spans="1:49" x14ac:dyDescent="0.3">
      <c r="A381" s="23">
        <v>195</v>
      </c>
      <c r="B381" t="s">
        <v>42</v>
      </c>
      <c r="C381" s="1">
        <v>11222</v>
      </c>
      <c r="D381" t="s">
        <v>54</v>
      </c>
      <c r="E381" t="s">
        <v>110</v>
      </c>
      <c r="F381" t="s">
        <v>110</v>
      </c>
      <c r="G381" s="2">
        <v>1977</v>
      </c>
      <c r="H381" s="2" t="s">
        <v>69</v>
      </c>
      <c r="I381" s="2" t="str">
        <f t="shared" si="66"/>
        <v>1950-1980</v>
      </c>
      <c r="J381" s="2">
        <v>60</v>
      </c>
      <c r="K381" s="2">
        <f t="shared" si="64"/>
        <v>60</v>
      </c>
      <c r="L381" s="2">
        <v>271</v>
      </c>
      <c r="M381" s="2">
        <v>211</v>
      </c>
      <c r="N381" s="2">
        <v>5</v>
      </c>
      <c r="O381" s="2">
        <v>0</v>
      </c>
      <c r="P381" s="2">
        <v>4</v>
      </c>
      <c r="Q381" s="2">
        <v>1</v>
      </c>
      <c r="R381" s="2">
        <v>15.6</v>
      </c>
      <c r="S381" s="2">
        <v>15.5</v>
      </c>
      <c r="T381" s="2">
        <v>12.8</v>
      </c>
      <c r="U381" s="2">
        <v>75.900000000000006</v>
      </c>
      <c r="V381" s="1">
        <v>949.6</v>
      </c>
      <c r="W381" s="2">
        <v>4408.6000000000004</v>
      </c>
      <c r="X381" s="2">
        <v>1106.5</v>
      </c>
      <c r="Y381" s="1">
        <v>3302.1</v>
      </c>
      <c r="Z381" s="11" t="s">
        <v>214</v>
      </c>
      <c r="AA381" s="8">
        <v>4</v>
      </c>
      <c r="AB381" s="8">
        <v>0</v>
      </c>
      <c r="AC381" s="8">
        <v>2</v>
      </c>
      <c r="AD381" s="3" t="s">
        <v>91</v>
      </c>
      <c r="AE381" s="3" t="s">
        <v>115</v>
      </c>
      <c r="AF381" s="3" t="s">
        <v>83</v>
      </c>
      <c r="AG381" s="3" t="s">
        <v>74</v>
      </c>
      <c r="AH381" s="3" t="s">
        <v>75</v>
      </c>
      <c r="AI381" s="2">
        <v>1</v>
      </c>
      <c r="AJ381" s="2">
        <v>0</v>
      </c>
      <c r="AK381" s="2">
        <v>0</v>
      </c>
      <c r="AL381" s="2">
        <v>1</v>
      </c>
      <c r="AM381" s="2">
        <v>0</v>
      </c>
      <c r="AN381" s="2">
        <v>0</v>
      </c>
      <c r="AO381" s="2" t="s">
        <v>123</v>
      </c>
      <c r="AP381" s="16">
        <v>1989</v>
      </c>
      <c r="AQ381" s="16">
        <v>697</v>
      </c>
      <c r="AR381" s="4">
        <f t="shared" si="74"/>
        <v>0.25949367088607594</v>
      </c>
      <c r="AS381" s="18">
        <f t="shared" si="72"/>
        <v>528.33600000000001</v>
      </c>
      <c r="AT381">
        <f t="shared" si="71"/>
        <v>0.75801434720229555</v>
      </c>
      <c r="AU381">
        <f t="shared" si="75"/>
        <v>478.97</v>
      </c>
      <c r="AV381" s="9">
        <f t="shared" si="65"/>
        <v>0.6871879483500718</v>
      </c>
    </row>
    <row r="382" spans="1:49" ht="14.7" customHeight="1" x14ac:dyDescent="0.3">
      <c r="A382" s="23">
        <v>225</v>
      </c>
      <c r="B382" t="s">
        <v>42</v>
      </c>
      <c r="C382" s="1">
        <v>11222</v>
      </c>
      <c r="D382" t="s">
        <v>141</v>
      </c>
      <c r="E382" t="s">
        <v>223</v>
      </c>
      <c r="F382" t="s">
        <v>223</v>
      </c>
      <c r="G382" s="2">
        <v>1978</v>
      </c>
      <c r="H382" s="2" t="s">
        <v>69</v>
      </c>
      <c r="I382" s="2" t="str">
        <f t="shared" si="66"/>
        <v>1950-1980</v>
      </c>
      <c r="J382" s="2">
        <v>60</v>
      </c>
      <c r="K382" s="2">
        <f t="shared" si="64"/>
        <v>60</v>
      </c>
      <c r="L382" s="2">
        <v>270</v>
      </c>
      <c r="M382" s="2">
        <v>210</v>
      </c>
      <c r="N382" s="2">
        <v>5</v>
      </c>
      <c r="O382" s="2">
        <v>0</v>
      </c>
      <c r="P382" s="2">
        <v>4</v>
      </c>
      <c r="Q382" s="2">
        <v>1</v>
      </c>
      <c r="R382" s="2">
        <v>16</v>
      </c>
      <c r="S382" s="2">
        <v>16</v>
      </c>
      <c r="T382" s="2">
        <v>12.4</v>
      </c>
      <c r="U382" s="2">
        <v>74.7</v>
      </c>
      <c r="V382" s="1">
        <v>882</v>
      </c>
      <c r="W382" s="2">
        <v>4416.5</v>
      </c>
      <c r="X382" s="2">
        <v>822.8</v>
      </c>
      <c r="Y382" s="1">
        <v>3724</v>
      </c>
      <c r="Z382" s="11" t="s">
        <v>214</v>
      </c>
      <c r="AA382" s="2">
        <v>4</v>
      </c>
      <c r="AB382" s="2">
        <v>0</v>
      </c>
      <c r="AC382" s="2">
        <v>0</v>
      </c>
      <c r="AD382" s="3" t="s">
        <v>91</v>
      </c>
      <c r="AE382" s="3" t="s">
        <v>92</v>
      </c>
      <c r="AF382" s="3" t="s">
        <v>139</v>
      </c>
      <c r="AG382" s="3" t="s">
        <v>74</v>
      </c>
      <c r="AH382" s="3" t="s">
        <v>75</v>
      </c>
      <c r="AI382" s="2">
        <v>1</v>
      </c>
      <c r="AJ382" s="2">
        <v>0</v>
      </c>
      <c r="AK382" s="2">
        <v>0</v>
      </c>
      <c r="AL382" s="2">
        <v>1</v>
      </c>
      <c r="AM382" s="2">
        <v>0</v>
      </c>
      <c r="AN382" s="2">
        <v>0</v>
      </c>
      <c r="AP382" s="1">
        <f>315+1348.6+320</f>
        <v>1983.6</v>
      </c>
      <c r="AQ382" s="1">
        <f>320+296.2</f>
        <v>616.20000000000005</v>
      </c>
      <c r="AR382" s="4">
        <f t="shared" si="74"/>
        <v>0.23701823217170551</v>
      </c>
      <c r="AS382" s="18">
        <f t="shared" si="72"/>
        <v>595.84</v>
      </c>
      <c r="AT382">
        <f t="shared" si="71"/>
        <v>0.96695877961700749</v>
      </c>
      <c r="AU382">
        <f t="shared" si="75"/>
        <v>476.7</v>
      </c>
      <c r="AV382" s="9">
        <f t="shared" si="65"/>
        <v>0.77361246348588109</v>
      </c>
    </row>
    <row r="383" spans="1:49" ht="14.7" customHeight="1" x14ac:dyDescent="0.3">
      <c r="A383" s="23">
        <v>227</v>
      </c>
      <c r="B383" t="s">
        <v>42</v>
      </c>
      <c r="C383" s="1">
        <v>11222</v>
      </c>
      <c r="D383" t="s">
        <v>141</v>
      </c>
      <c r="E383" t="s">
        <v>223</v>
      </c>
      <c r="F383" t="s">
        <v>223</v>
      </c>
      <c r="G383" s="2">
        <v>1980</v>
      </c>
      <c r="H383" s="2" t="s">
        <v>69</v>
      </c>
      <c r="I383" s="2" t="str">
        <f t="shared" si="66"/>
        <v>1950-1980</v>
      </c>
      <c r="J383" s="2">
        <v>60</v>
      </c>
      <c r="K383" s="2">
        <f t="shared" si="64"/>
        <v>60</v>
      </c>
      <c r="L383" s="2">
        <v>270</v>
      </c>
      <c r="M383" s="2">
        <v>210</v>
      </c>
      <c r="N383" s="2">
        <v>5</v>
      </c>
      <c r="O383" s="2">
        <v>0</v>
      </c>
      <c r="P383" s="2">
        <v>4</v>
      </c>
      <c r="Q383" s="2">
        <v>1</v>
      </c>
      <c r="R383" s="2">
        <v>16</v>
      </c>
      <c r="S383" s="2">
        <v>16</v>
      </c>
      <c r="T383" s="2">
        <v>12.4</v>
      </c>
      <c r="U383" s="2">
        <v>74.7</v>
      </c>
      <c r="V383" s="1">
        <v>868</v>
      </c>
      <c r="W383" s="2">
        <v>4204.8</v>
      </c>
      <c r="X383" s="2">
        <v>837.2</v>
      </c>
      <c r="Y383" s="1">
        <v>3724</v>
      </c>
      <c r="Z383" s="11" t="s">
        <v>214</v>
      </c>
      <c r="AA383" s="2">
        <v>4</v>
      </c>
      <c r="AB383" s="2">
        <v>0</v>
      </c>
      <c r="AC383" s="2">
        <v>2</v>
      </c>
      <c r="AD383" s="3" t="s">
        <v>204</v>
      </c>
      <c r="AE383" s="3" t="s">
        <v>331</v>
      </c>
      <c r="AF383" s="3" t="s">
        <v>150</v>
      </c>
      <c r="AG383" s="3" t="s">
        <v>74</v>
      </c>
      <c r="AH383" s="3" t="s">
        <v>75</v>
      </c>
      <c r="AI383" s="2">
        <v>1</v>
      </c>
      <c r="AJ383" s="2">
        <v>0</v>
      </c>
      <c r="AK383" s="2">
        <v>0</v>
      </c>
      <c r="AL383" s="2">
        <v>1</v>
      </c>
      <c r="AM383" s="2">
        <v>0</v>
      </c>
      <c r="AN383" s="2">
        <v>0</v>
      </c>
      <c r="AO383" s="2" t="s">
        <v>76</v>
      </c>
      <c r="AP383" s="1">
        <f>315.9+1348.6+320.5</f>
        <v>1985</v>
      </c>
      <c r="AQ383" s="1">
        <f>296.2+320</f>
        <v>616.20000000000005</v>
      </c>
      <c r="AR383" s="4">
        <f t="shared" si="74"/>
        <v>0.2368906658465324</v>
      </c>
      <c r="AS383" s="18">
        <f t="shared" si="72"/>
        <v>595.84</v>
      </c>
      <c r="AT383">
        <f t="shared" si="71"/>
        <v>0.96695877961700749</v>
      </c>
      <c r="AU383">
        <f t="shared" si="75"/>
        <v>476.7</v>
      </c>
      <c r="AV383" s="9">
        <f t="shared" si="65"/>
        <v>0.77361246348588109</v>
      </c>
    </row>
    <row r="384" spans="1:49" x14ac:dyDescent="0.3">
      <c r="A384" s="23">
        <v>229</v>
      </c>
      <c r="B384" t="s">
        <v>42</v>
      </c>
      <c r="C384" s="1">
        <v>11222</v>
      </c>
      <c r="D384" t="s">
        <v>54</v>
      </c>
      <c r="E384" t="s">
        <v>110</v>
      </c>
      <c r="F384" t="s">
        <v>110</v>
      </c>
      <c r="G384" s="2">
        <v>1981</v>
      </c>
      <c r="H384" s="2" t="s">
        <v>131</v>
      </c>
      <c r="I384" s="2" t="str">
        <f t="shared" si="66"/>
        <v>&gt;1980</v>
      </c>
      <c r="J384" s="2">
        <v>60</v>
      </c>
      <c r="K384" s="2">
        <f t="shared" si="64"/>
        <v>60</v>
      </c>
      <c r="L384" s="2">
        <v>270</v>
      </c>
      <c r="M384" s="2">
        <v>210</v>
      </c>
      <c r="N384" s="2">
        <v>5</v>
      </c>
      <c r="O384" s="2">
        <v>0</v>
      </c>
      <c r="P384" s="2">
        <v>4</v>
      </c>
      <c r="Q384" s="2">
        <v>1</v>
      </c>
      <c r="R384" s="2">
        <v>15.9</v>
      </c>
      <c r="S384" s="2">
        <v>16</v>
      </c>
      <c r="T384" s="2">
        <v>12.8</v>
      </c>
      <c r="U384" s="2">
        <v>75.599999999999994</v>
      </c>
      <c r="V384" s="1">
        <v>1013</v>
      </c>
      <c r="W384" s="2">
        <v>4411.3</v>
      </c>
      <c r="X384" s="2">
        <v>934</v>
      </c>
      <c r="Y384" s="1">
        <v>3298</v>
      </c>
      <c r="Z384" s="11" t="s">
        <v>214</v>
      </c>
      <c r="AA384" s="2">
        <v>4</v>
      </c>
      <c r="AB384" s="2">
        <v>0</v>
      </c>
      <c r="AC384" s="2">
        <v>2</v>
      </c>
      <c r="AD384" s="3" t="s">
        <v>219</v>
      </c>
      <c r="AE384" s="3" t="s">
        <v>92</v>
      </c>
      <c r="AF384" s="3" t="s">
        <v>202</v>
      </c>
      <c r="AG384" s="3" t="s">
        <v>74</v>
      </c>
      <c r="AH384" s="3" t="s">
        <v>75</v>
      </c>
      <c r="AI384" s="2">
        <v>1</v>
      </c>
      <c r="AJ384" s="2">
        <v>0</v>
      </c>
      <c r="AK384" s="2">
        <v>0</v>
      </c>
      <c r="AL384" s="2">
        <v>1</v>
      </c>
      <c r="AM384" s="2">
        <v>0</v>
      </c>
      <c r="AN384" s="2">
        <v>0</v>
      </c>
      <c r="AO384" s="2" t="s">
        <v>123</v>
      </c>
      <c r="AP384" s="16">
        <v>2034</v>
      </c>
      <c r="AQ384" s="16">
        <v>625</v>
      </c>
      <c r="AR384" s="4">
        <f t="shared" si="74"/>
        <v>0.23505077096652877</v>
      </c>
      <c r="AS384" s="18">
        <f t="shared" si="72"/>
        <v>527.67999999999995</v>
      </c>
      <c r="AT384">
        <f t="shared" si="71"/>
        <v>0.84428799999999993</v>
      </c>
      <c r="AU384">
        <f t="shared" si="75"/>
        <v>476.7</v>
      </c>
      <c r="AV384" s="9">
        <f t="shared" si="65"/>
        <v>0.76271999999999995</v>
      </c>
    </row>
    <row r="385" spans="1:49" x14ac:dyDescent="0.3">
      <c r="A385" s="23">
        <v>249</v>
      </c>
      <c r="B385" t="s">
        <v>42</v>
      </c>
      <c r="C385" s="1">
        <v>11222</v>
      </c>
      <c r="D385" t="s">
        <v>54</v>
      </c>
      <c r="E385" t="s">
        <v>110</v>
      </c>
      <c r="F385" t="s">
        <v>110</v>
      </c>
      <c r="G385" s="2">
        <v>1982</v>
      </c>
      <c r="H385" s="2" t="s">
        <v>131</v>
      </c>
      <c r="I385" s="2" t="str">
        <f t="shared" si="66"/>
        <v>&gt;1980</v>
      </c>
      <c r="J385" s="2">
        <v>60</v>
      </c>
      <c r="K385" s="2">
        <f t="shared" si="64"/>
        <v>60</v>
      </c>
      <c r="L385" s="2">
        <v>270</v>
      </c>
      <c r="M385" s="2">
        <v>210</v>
      </c>
      <c r="N385" s="2">
        <v>5</v>
      </c>
      <c r="O385" s="2">
        <v>0</v>
      </c>
      <c r="P385" s="2">
        <v>4</v>
      </c>
      <c r="Q385" s="2">
        <v>1</v>
      </c>
      <c r="R385" s="2">
        <v>16.600000000000001</v>
      </c>
      <c r="S385" s="2">
        <v>16.5</v>
      </c>
      <c r="T385" s="2">
        <v>12.9</v>
      </c>
      <c r="U385" s="2">
        <v>76.099999999999994</v>
      </c>
      <c r="V385" s="1">
        <v>919</v>
      </c>
      <c r="W385" s="2">
        <v>4388.8999999999996</v>
      </c>
      <c r="X385" s="2">
        <v>882.1</v>
      </c>
      <c r="Y385" s="1">
        <v>3595.7</v>
      </c>
      <c r="Z385" s="11" t="s">
        <v>214</v>
      </c>
      <c r="AA385" s="2">
        <v>4</v>
      </c>
      <c r="AB385" s="2">
        <v>0</v>
      </c>
      <c r="AC385" s="2">
        <v>2</v>
      </c>
      <c r="AD385" s="3" t="s">
        <v>91</v>
      </c>
      <c r="AE385" s="3" t="s">
        <v>92</v>
      </c>
      <c r="AF385" s="3" t="s">
        <v>50</v>
      </c>
      <c r="AG385" s="3" t="s">
        <v>74</v>
      </c>
      <c r="AH385" s="3" t="s">
        <v>75</v>
      </c>
      <c r="AI385" s="2">
        <v>1</v>
      </c>
      <c r="AJ385" s="2">
        <v>0</v>
      </c>
      <c r="AK385" s="2">
        <v>0</v>
      </c>
      <c r="AL385" s="2">
        <v>1</v>
      </c>
      <c r="AM385" s="2">
        <v>0</v>
      </c>
      <c r="AN385" s="2">
        <v>0</v>
      </c>
      <c r="AO385" s="2" t="s">
        <v>123</v>
      </c>
      <c r="AP385" s="1">
        <f>1918</f>
        <v>1918</v>
      </c>
      <c r="AQ385" s="1">
        <f>328.1+368.1</f>
        <v>696.2</v>
      </c>
      <c r="AR385" s="4">
        <f t="shared" si="74"/>
        <v>0.26631474255986537</v>
      </c>
      <c r="AS385" s="18">
        <f t="shared" si="72"/>
        <v>575.31200000000001</v>
      </c>
      <c r="AT385">
        <f t="shared" si="71"/>
        <v>0.82636024130996832</v>
      </c>
      <c r="AU385">
        <f t="shared" si="75"/>
        <v>476.7</v>
      </c>
      <c r="AV385" s="9">
        <f t="shared" si="65"/>
        <v>0.68471703533467387</v>
      </c>
    </row>
    <row r="386" spans="1:49" x14ac:dyDescent="0.3">
      <c r="A386" s="23">
        <v>259</v>
      </c>
      <c r="B386" t="s">
        <v>42</v>
      </c>
      <c r="C386" s="1">
        <v>11222</v>
      </c>
      <c r="D386" t="s">
        <v>54</v>
      </c>
      <c r="E386" t="s">
        <v>335</v>
      </c>
      <c r="F386" t="s">
        <v>336</v>
      </c>
      <c r="G386" s="2">
        <v>1981</v>
      </c>
      <c r="H386" s="2" t="s">
        <v>131</v>
      </c>
      <c r="I386" s="2" t="str">
        <f t="shared" si="66"/>
        <v>&gt;1980</v>
      </c>
      <c r="J386" s="2">
        <v>60</v>
      </c>
      <c r="K386" s="2">
        <f t="shared" ref="K386:K418" si="76">MROUND(J386,10)</f>
        <v>60</v>
      </c>
      <c r="L386" s="2">
        <v>270</v>
      </c>
      <c r="M386" s="2">
        <v>210</v>
      </c>
      <c r="N386" s="2">
        <v>5</v>
      </c>
      <c r="O386" s="2">
        <v>0</v>
      </c>
      <c r="P386" s="2">
        <v>4</v>
      </c>
      <c r="Q386" s="2">
        <v>1</v>
      </c>
      <c r="R386" s="2">
        <v>16.2</v>
      </c>
      <c r="S386" s="2">
        <v>16</v>
      </c>
      <c r="T386" s="2">
        <v>13</v>
      </c>
      <c r="U386" s="2">
        <v>76.099999999999994</v>
      </c>
      <c r="V386" s="1">
        <v>1015.2</v>
      </c>
      <c r="W386" s="2">
        <v>4433.2</v>
      </c>
      <c r="X386" s="2">
        <v>1118.4000000000001</v>
      </c>
      <c r="Y386" s="1">
        <v>3774</v>
      </c>
      <c r="Z386" s="11" t="s">
        <v>214</v>
      </c>
      <c r="AA386" s="2">
        <v>4</v>
      </c>
      <c r="AB386" s="2">
        <v>0</v>
      </c>
      <c r="AC386" s="2">
        <v>2</v>
      </c>
      <c r="AD386" s="3" t="s">
        <v>219</v>
      </c>
      <c r="AE386" s="3" t="s">
        <v>92</v>
      </c>
      <c r="AF386" s="3" t="s">
        <v>83</v>
      </c>
      <c r="AG386" s="3" t="s">
        <v>74</v>
      </c>
      <c r="AH386" s="3" t="s">
        <v>75</v>
      </c>
      <c r="AI386" s="2">
        <v>1</v>
      </c>
      <c r="AJ386" s="2">
        <v>0</v>
      </c>
      <c r="AK386" s="2">
        <v>0</v>
      </c>
      <c r="AL386" s="2">
        <v>1</v>
      </c>
      <c r="AM386" s="2">
        <v>0</v>
      </c>
      <c r="AN386" s="2">
        <v>0</v>
      </c>
      <c r="AO386" s="2" t="s">
        <v>123</v>
      </c>
      <c r="AP386" s="1">
        <f>457.7+780</f>
        <v>1237.7</v>
      </c>
      <c r="AQ386" s="1">
        <f>361.6+315.9</f>
        <v>677.5</v>
      </c>
      <c r="AR386" s="4">
        <f t="shared" si="74"/>
        <v>0.35374895572263992</v>
      </c>
      <c r="AS386" s="18">
        <f t="shared" si="72"/>
        <v>603.84</v>
      </c>
      <c r="AT386">
        <f t="shared" si="71"/>
        <v>0.89127675276752771</v>
      </c>
      <c r="AU386">
        <f t="shared" si="75"/>
        <v>476.7</v>
      </c>
      <c r="AV386" s="9">
        <f t="shared" ref="AV386:AV418" si="77">IF(AQ386&lt;&gt;"",AU386/AQ386,"")</f>
        <v>0.70361623616236157</v>
      </c>
    </row>
    <row r="387" spans="1:49" x14ac:dyDescent="0.3">
      <c r="A387" s="23">
        <v>287</v>
      </c>
      <c r="B387" t="s">
        <v>42</v>
      </c>
      <c r="C387" s="1">
        <v>11222</v>
      </c>
      <c r="D387" t="s">
        <v>54</v>
      </c>
      <c r="E387" t="s">
        <v>110</v>
      </c>
      <c r="F387" t="s">
        <v>110</v>
      </c>
      <c r="G387" s="2">
        <v>1984</v>
      </c>
      <c r="H387" s="2" t="s">
        <v>131</v>
      </c>
      <c r="I387" s="2" t="str">
        <f t="shared" ref="I387:I418" si="78">IF(G387&lt;1951,"&lt;1950",IF(G387&lt;1981,"1950-1980","&gt;1980"))</f>
        <v>&gt;1980</v>
      </c>
      <c r="J387" s="2">
        <v>60</v>
      </c>
      <c r="K387" s="2">
        <f t="shared" si="76"/>
        <v>60</v>
      </c>
      <c r="L387" s="2">
        <v>270</v>
      </c>
      <c r="M387" s="2">
        <v>210</v>
      </c>
      <c r="N387" s="2">
        <v>5</v>
      </c>
      <c r="O387" s="2">
        <v>0</v>
      </c>
      <c r="P387" s="2">
        <v>4</v>
      </c>
      <c r="Q387" s="2">
        <v>1</v>
      </c>
      <c r="R387" s="2">
        <v>16</v>
      </c>
      <c r="S387" s="2">
        <v>16</v>
      </c>
      <c r="T387" s="2">
        <v>13.2</v>
      </c>
      <c r="U387" s="2">
        <v>76.099999999999994</v>
      </c>
      <c r="V387" s="1">
        <v>1030</v>
      </c>
      <c r="W387" s="2">
        <v>4387</v>
      </c>
      <c r="X387" s="2">
        <v>1076.7</v>
      </c>
      <c r="Y387" s="1">
        <v>3769</v>
      </c>
      <c r="Z387" s="2" t="s">
        <v>214</v>
      </c>
      <c r="AA387" s="2">
        <v>4</v>
      </c>
      <c r="AB387" s="2">
        <v>0</v>
      </c>
      <c r="AC387" s="2">
        <v>0</v>
      </c>
      <c r="AD387" s="3" t="s">
        <v>219</v>
      </c>
      <c r="AE387" s="3" t="s">
        <v>115</v>
      </c>
      <c r="AF387" s="3" t="s">
        <v>99</v>
      </c>
      <c r="AG387" s="3" t="s">
        <v>74</v>
      </c>
      <c r="AH387" s="3" t="s">
        <v>75</v>
      </c>
      <c r="AI387" s="2">
        <v>1</v>
      </c>
      <c r="AJ387" s="2">
        <v>0</v>
      </c>
      <c r="AK387" s="2">
        <v>0</v>
      </c>
      <c r="AL387" s="2">
        <v>1</v>
      </c>
      <c r="AM387" s="2">
        <v>0</v>
      </c>
      <c r="AN387" s="2">
        <v>0</v>
      </c>
      <c r="AO387" s="2" t="s">
        <v>123</v>
      </c>
      <c r="AP387" s="1">
        <f>692.4+804.4</f>
        <v>1496.8</v>
      </c>
      <c r="AQ387" s="1">
        <f>294.7+263.7</f>
        <v>558.4</v>
      </c>
      <c r="AR387" s="4">
        <f t="shared" si="74"/>
        <v>0.27170105099260417</v>
      </c>
      <c r="AS387" s="18">
        <f t="shared" si="72"/>
        <v>603.04</v>
      </c>
      <c r="AT387">
        <f t="shared" si="71"/>
        <v>1.079942693409742</v>
      </c>
      <c r="AU387">
        <f t="shared" si="75"/>
        <v>476.7</v>
      </c>
      <c r="AV387" s="9">
        <f t="shared" si="77"/>
        <v>0.853689111747851</v>
      </c>
    </row>
    <row r="388" spans="1:49" x14ac:dyDescent="0.3">
      <c r="A388" s="23">
        <v>289</v>
      </c>
      <c r="B388" t="s">
        <v>42</v>
      </c>
      <c r="C388" s="1">
        <v>11222</v>
      </c>
      <c r="D388" t="s">
        <v>54</v>
      </c>
      <c r="E388" t="s">
        <v>110</v>
      </c>
      <c r="F388" t="s">
        <v>110</v>
      </c>
      <c r="G388" s="2">
        <v>1983</v>
      </c>
      <c r="H388" s="2" t="s">
        <v>131</v>
      </c>
      <c r="I388" s="2" t="str">
        <f t="shared" si="78"/>
        <v>&gt;1980</v>
      </c>
      <c r="J388" s="2">
        <v>60</v>
      </c>
      <c r="K388" s="2">
        <f t="shared" si="76"/>
        <v>60</v>
      </c>
      <c r="L388" s="2">
        <v>270</v>
      </c>
      <c r="M388" s="2">
        <v>210</v>
      </c>
      <c r="N388" s="2">
        <v>5</v>
      </c>
      <c r="O388" s="2">
        <v>0</v>
      </c>
      <c r="P388" s="2">
        <v>4</v>
      </c>
      <c r="Q388" s="2">
        <v>1</v>
      </c>
      <c r="R388" s="2">
        <v>16.100000000000001</v>
      </c>
      <c r="S388" s="2">
        <v>16</v>
      </c>
      <c r="T388" s="2">
        <v>13.2</v>
      </c>
      <c r="U388" s="2">
        <v>76.2</v>
      </c>
      <c r="V388" s="1">
        <v>1014</v>
      </c>
      <c r="W388" s="2">
        <v>4416.3</v>
      </c>
      <c r="X388" s="2">
        <v>1101.5999999999999</v>
      </c>
      <c r="Y388" s="1">
        <v>3774</v>
      </c>
      <c r="Z388" s="2" t="s">
        <v>214</v>
      </c>
      <c r="AA388" s="2">
        <v>4</v>
      </c>
      <c r="AB388" s="2">
        <v>0</v>
      </c>
      <c r="AC388" s="2">
        <v>2</v>
      </c>
      <c r="AD388" s="3" t="s">
        <v>219</v>
      </c>
      <c r="AE388" s="3" t="s">
        <v>115</v>
      </c>
      <c r="AF388" s="3" t="s">
        <v>83</v>
      </c>
      <c r="AG388" s="3" t="s">
        <v>74</v>
      </c>
      <c r="AH388" s="3" t="s">
        <v>75</v>
      </c>
      <c r="AI388" s="2">
        <v>1</v>
      </c>
      <c r="AJ388" s="2">
        <v>0</v>
      </c>
      <c r="AK388" s="2">
        <v>0</v>
      </c>
      <c r="AL388" s="2">
        <v>1</v>
      </c>
      <c r="AM388" s="2">
        <v>0</v>
      </c>
      <c r="AN388" s="2">
        <v>0</v>
      </c>
      <c r="AO388" s="2" t="s">
        <v>88</v>
      </c>
      <c r="AP388" s="1">
        <f>692.4+1250</f>
        <v>1942.4</v>
      </c>
      <c r="AQ388" s="1">
        <f>198.2+360</f>
        <v>558.20000000000005</v>
      </c>
      <c r="AR388" s="4">
        <f t="shared" si="74"/>
        <v>0.22322642565784209</v>
      </c>
      <c r="AS388" s="18">
        <f t="shared" si="72"/>
        <v>603.84</v>
      </c>
      <c r="AT388">
        <f t="shared" si="71"/>
        <v>1.0817628090290219</v>
      </c>
      <c r="AU388">
        <f t="shared" si="75"/>
        <v>476.7</v>
      </c>
      <c r="AV388" s="9">
        <f t="shared" si="77"/>
        <v>0.85399498387674655</v>
      </c>
      <c r="AW388" s="13"/>
    </row>
    <row r="389" spans="1:49" ht="14.7" customHeight="1" x14ac:dyDescent="0.3">
      <c r="A389" s="23">
        <v>306</v>
      </c>
      <c r="B389" t="s">
        <v>42</v>
      </c>
      <c r="C389" s="1">
        <v>11222</v>
      </c>
      <c r="D389" t="s">
        <v>54</v>
      </c>
      <c r="E389" t="s">
        <v>89</v>
      </c>
      <c r="F389" t="s">
        <v>176</v>
      </c>
      <c r="G389" s="2">
        <v>1977</v>
      </c>
      <c r="H389" s="2" t="s">
        <v>69</v>
      </c>
      <c r="I389" s="2" t="str">
        <f t="shared" si="78"/>
        <v>1950-1980</v>
      </c>
      <c r="J389" s="2">
        <v>60</v>
      </c>
      <c r="K389" s="2">
        <f t="shared" si="76"/>
        <v>60</v>
      </c>
      <c r="L389" s="2">
        <v>269</v>
      </c>
      <c r="M389" s="2">
        <v>209</v>
      </c>
      <c r="N389" s="2">
        <v>5</v>
      </c>
      <c r="O389" s="2">
        <v>0</v>
      </c>
      <c r="P389" s="2">
        <v>4</v>
      </c>
      <c r="Q389" s="2">
        <v>1</v>
      </c>
      <c r="R389" s="2">
        <v>16.2</v>
      </c>
      <c r="S389" s="2">
        <v>16</v>
      </c>
      <c r="V389" s="1">
        <v>857</v>
      </c>
      <c r="W389" s="2">
        <v>4270.2</v>
      </c>
      <c r="X389" s="2">
        <v>652.70000000000005</v>
      </c>
      <c r="Y389" s="1">
        <v>3728</v>
      </c>
      <c r="Z389" s="11" t="s">
        <v>214</v>
      </c>
      <c r="AA389" s="2">
        <v>4</v>
      </c>
      <c r="AB389" s="2">
        <v>0</v>
      </c>
      <c r="AC389" s="2">
        <v>0</v>
      </c>
      <c r="AD389" s="3" t="s">
        <v>91</v>
      </c>
      <c r="AE389" s="3" t="s">
        <v>92</v>
      </c>
      <c r="AF389" s="3" t="s">
        <v>202</v>
      </c>
      <c r="AG389" s="3" t="s">
        <v>74</v>
      </c>
      <c r="AH389" s="3" t="s">
        <v>100</v>
      </c>
      <c r="AI389" s="2">
        <v>1</v>
      </c>
      <c r="AJ389" s="2">
        <v>0</v>
      </c>
      <c r="AK389" s="2">
        <v>0</v>
      </c>
      <c r="AL389" s="2">
        <v>1</v>
      </c>
      <c r="AM389" s="2">
        <v>0</v>
      </c>
      <c r="AN389" s="2">
        <v>0</v>
      </c>
      <c r="AO389" s="2" t="s">
        <v>76</v>
      </c>
      <c r="AP389" s="1">
        <f>854.1+1019</f>
        <v>1873.1</v>
      </c>
      <c r="AQ389" s="1">
        <f>463.1+160</f>
        <v>623.1</v>
      </c>
      <c r="AR389" s="4">
        <f t="shared" si="74"/>
        <v>0.24961942152071151</v>
      </c>
      <c r="AS389" s="18">
        <f t="shared" si="72"/>
        <v>596.48</v>
      </c>
      <c r="AT389">
        <f t="shared" si="71"/>
        <v>0.95727812550152458</v>
      </c>
      <c r="AU389">
        <f t="shared" si="75"/>
        <v>474.43</v>
      </c>
      <c r="AV389" s="9">
        <f t="shared" si="77"/>
        <v>0.76140266409886048</v>
      </c>
      <c r="AW389" s="13"/>
    </row>
    <row r="390" spans="1:49" ht="14.7" customHeight="1" x14ac:dyDescent="0.3">
      <c r="A390" s="23">
        <v>310</v>
      </c>
      <c r="B390" t="s">
        <v>42</v>
      </c>
      <c r="C390" s="1">
        <v>11222</v>
      </c>
      <c r="D390" t="s">
        <v>54</v>
      </c>
      <c r="E390" t="s">
        <v>110</v>
      </c>
      <c r="F390" t="s">
        <v>110</v>
      </c>
      <c r="G390" s="2">
        <v>1981</v>
      </c>
      <c r="H390" s="2" t="s">
        <v>131</v>
      </c>
      <c r="I390" s="2" t="str">
        <f t="shared" si="78"/>
        <v>&gt;1980</v>
      </c>
      <c r="J390" s="2">
        <v>60</v>
      </c>
      <c r="K390" s="2">
        <f t="shared" si="76"/>
        <v>60</v>
      </c>
      <c r="L390" s="2">
        <v>270</v>
      </c>
      <c r="M390" s="2">
        <v>210</v>
      </c>
      <c r="N390" s="2">
        <v>5</v>
      </c>
      <c r="O390" s="2">
        <v>0</v>
      </c>
      <c r="P390" s="2">
        <v>4</v>
      </c>
      <c r="Q390" s="2">
        <v>1</v>
      </c>
      <c r="R390" s="2">
        <v>16.5</v>
      </c>
      <c r="S390" s="2">
        <v>16.5</v>
      </c>
      <c r="T390" s="2">
        <v>12.9</v>
      </c>
      <c r="U390" s="2">
        <v>76.099999999999994</v>
      </c>
      <c r="V390" s="1">
        <v>1009</v>
      </c>
      <c r="W390" s="2">
        <v>4402.7</v>
      </c>
      <c r="X390" s="2">
        <v>1095.4000000000001</v>
      </c>
      <c r="Y390" s="1">
        <v>3602.7</v>
      </c>
      <c r="Z390" s="11" t="s">
        <v>214</v>
      </c>
      <c r="AA390" s="2">
        <v>4</v>
      </c>
      <c r="AB390" s="2">
        <v>0</v>
      </c>
      <c r="AC390" s="2">
        <v>0</v>
      </c>
      <c r="AD390" s="3" t="s">
        <v>91</v>
      </c>
      <c r="AE390" s="3" t="s">
        <v>92</v>
      </c>
      <c r="AF390" s="3" t="s">
        <v>50</v>
      </c>
      <c r="AG390" s="3" t="s">
        <v>74</v>
      </c>
      <c r="AH390" s="3" t="s">
        <v>75</v>
      </c>
      <c r="AI390" s="2">
        <v>1</v>
      </c>
      <c r="AJ390" s="2">
        <v>0</v>
      </c>
      <c r="AK390" s="2">
        <v>0</v>
      </c>
      <c r="AL390" s="2">
        <v>1</v>
      </c>
      <c r="AM390" s="2">
        <v>0</v>
      </c>
      <c r="AN390" s="2">
        <v>0</v>
      </c>
      <c r="AO390" s="2" t="s">
        <v>123</v>
      </c>
      <c r="AP390" s="1">
        <f>1918</f>
        <v>1918</v>
      </c>
      <c r="AQ390" s="1">
        <f>328.1+368.1</f>
        <v>696.2</v>
      </c>
      <c r="AR390" s="4">
        <f t="shared" si="74"/>
        <v>0.26631474255986537</v>
      </c>
      <c r="AS390" s="18">
        <f t="shared" ref="AS390:AS400" si="79">IF(AQ390&lt;&gt;"", Y390/5.8,"")</f>
        <v>621.15517241379314</v>
      </c>
      <c r="AT390">
        <f t="shared" si="71"/>
        <v>0.8922079465868904</v>
      </c>
      <c r="AU390">
        <f t="shared" ref="AU390:AU400" si="80">IF(AQ390&lt;&gt;"",2.5*M390,"")</f>
        <v>525</v>
      </c>
      <c r="AV390" s="9">
        <f t="shared" si="77"/>
        <v>0.75409365124964089</v>
      </c>
      <c r="AW390" s="13"/>
    </row>
    <row r="391" spans="1:49" ht="14.7" customHeight="1" x14ac:dyDescent="0.3">
      <c r="A391" s="23">
        <v>318</v>
      </c>
      <c r="B391" t="s">
        <v>42</v>
      </c>
      <c r="C391" s="1">
        <v>11222</v>
      </c>
      <c r="D391" t="s">
        <v>54</v>
      </c>
      <c r="E391" t="s">
        <v>110</v>
      </c>
      <c r="F391" t="s">
        <v>110</v>
      </c>
      <c r="G391" s="2">
        <v>1992</v>
      </c>
      <c r="H391" s="2" t="s">
        <v>167</v>
      </c>
      <c r="I391" s="2" t="str">
        <f t="shared" si="78"/>
        <v>&gt;1980</v>
      </c>
      <c r="J391" s="2">
        <v>30</v>
      </c>
      <c r="K391" s="2">
        <f t="shared" si="76"/>
        <v>30</v>
      </c>
      <c r="L391" s="2">
        <v>137</v>
      </c>
      <c r="M391" s="2">
        <v>107</v>
      </c>
      <c r="N391" s="2">
        <v>3</v>
      </c>
      <c r="O391" s="2">
        <v>0</v>
      </c>
      <c r="P391" s="2">
        <v>4</v>
      </c>
      <c r="Q391" s="2">
        <v>1</v>
      </c>
      <c r="R391" s="2">
        <v>11.9</v>
      </c>
      <c r="S391" s="2">
        <v>12</v>
      </c>
      <c r="T391" s="2">
        <v>20.399999999999999</v>
      </c>
      <c r="U391" s="2">
        <v>61.1</v>
      </c>
      <c r="V391" s="1">
        <v>852.2</v>
      </c>
      <c r="W391" s="2">
        <v>2508.1</v>
      </c>
      <c r="X391" s="2">
        <v>770.2</v>
      </c>
      <c r="Y391" s="1">
        <v>1912.7</v>
      </c>
      <c r="Z391" s="2" t="s">
        <v>214</v>
      </c>
      <c r="AA391" s="2">
        <v>7</v>
      </c>
      <c r="AB391" s="2">
        <v>3</v>
      </c>
      <c r="AD391" s="3" t="s">
        <v>126</v>
      </c>
      <c r="AE391" s="3" t="s">
        <v>115</v>
      </c>
      <c r="AF391" s="3" t="s">
        <v>202</v>
      </c>
      <c r="AG391" s="3" t="s">
        <v>67</v>
      </c>
      <c r="AH391" s="3" t="s">
        <v>81</v>
      </c>
      <c r="AI391" s="2">
        <v>0</v>
      </c>
      <c r="AJ391" s="2">
        <v>1</v>
      </c>
      <c r="AK391" s="2">
        <v>0</v>
      </c>
      <c r="AL391" s="2">
        <v>0</v>
      </c>
      <c r="AM391" s="2">
        <v>0</v>
      </c>
      <c r="AN391" s="2" t="s">
        <v>152</v>
      </c>
      <c r="AO391" s="2" t="s">
        <v>76</v>
      </c>
      <c r="AP391" s="16">
        <v>956</v>
      </c>
      <c r="AQ391" s="16">
        <v>292</v>
      </c>
      <c r="AR391" s="4">
        <f t="shared" si="74"/>
        <v>0.23397435897435898</v>
      </c>
      <c r="AS391" s="18">
        <f t="shared" si="79"/>
        <v>329.77586206896552</v>
      </c>
      <c r="AT391">
        <f t="shared" si="71"/>
        <v>1.1293693906471423</v>
      </c>
      <c r="AU391">
        <f t="shared" si="80"/>
        <v>267.5</v>
      </c>
      <c r="AV391" s="9">
        <f t="shared" si="77"/>
        <v>0.91609589041095896</v>
      </c>
      <c r="AW391" s="13"/>
    </row>
    <row r="392" spans="1:49" ht="14.7" customHeight="1" x14ac:dyDescent="0.3">
      <c r="A392" s="23">
        <v>319</v>
      </c>
      <c r="B392" t="s">
        <v>42</v>
      </c>
      <c r="C392" s="1">
        <v>11222</v>
      </c>
      <c r="D392" t="s">
        <v>54</v>
      </c>
      <c r="E392" t="s">
        <v>110</v>
      </c>
      <c r="F392" t="s">
        <v>110</v>
      </c>
      <c r="G392" s="2">
        <v>1985</v>
      </c>
      <c r="H392" s="2" t="s">
        <v>131</v>
      </c>
      <c r="I392" s="2" t="str">
        <f t="shared" si="78"/>
        <v>&gt;1980</v>
      </c>
      <c r="J392" s="2">
        <v>60</v>
      </c>
      <c r="K392" s="2">
        <f t="shared" si="76"/>
        <v>60</v>
      </c>
      <c r="L392" s="2">
        <v>270</v>
      </c>
      <c r="M392" s="2">
        <v>210</v>
      </c>
      <c r="N392" s="2">
        <v>5</v>
      </c>
      <c r="O392" s="2">
        <v>0</v>
      </c>
      <c r="P392" s="2">
        <v>4</v>
      </c>
      <c r="Q392" s="2">
        <v>1</v>
      </c>
      <c r="R392" s="2">
        <v>16</v>
      </c>
      <c r="S392" s="2">
        <v>16</v>
      </c>
      <c r="T392" s="2">
        <v>12.4</v>
      </c>
      <c r="U392" s="2">
        <v>75.900000000000006</v>
      </c>
      <c r="V392" s="1">
        <v>1053.7</v>
      </c>
      <c r="W392" s="2">
        <v>4270.8999999999996</v>
      </c>
      <c r="X392" s="2">
        <v>972.6</v>
      </c>
      <c r="Y392" s="1">
        <v>3298.3</v>
      </c>
      <c r="Z392" s="11" t="s">
        <v>214</v>
      </c>
      <c r="AA392" s="2">
        <v>4</v>
      </c>
      <c r="AB392" s="2">
        <v>0</v>
      </c>
      <c r="AC392" s="2">
        <v>0</v>
      </c>
      <c r="AD392" s="3" t="s">
        <v>219</v>
      </c>
      <c r="AE392" s="3" t="s">
        <v>115</v>
      </c>
      <c r="AF392" s="3" t="s">
        <v>139</v>
      </c>
      <c r="AG392" s="3" t="s">
        <v>74</v>
      </c>
      <c r="AH392" s="3" t="s">
        <v>75</v>
      </c>
      <c r="AI392" s="2">
        <v>1</v>
      </c>
      <c r="AJ392" s="2">
        <v>0</v>
      </c>
      <c r="AK392" s="2">
        <v>0</v>
      </c>
      <c r="AL392" s="2">
        <v>1</v>
      </c>
      <c r="AM392" s="2">
        <v>0</v>
      </c>
      <c r="AN392" s="2">
        <v>0</v>
      </c>
      <c r="AO392" s="2" t="s">
        <v>123</v>
      </c>
      <c r="AP392" s="1">
        <f>1942</f>
        <v>1942</v>
      </c>
      <c r="AQ392" s="1">
        <f>259+332</f>
        <v>591</v>
      </c>
      <c r="AR392" s="4">
        <f t="shared" si="74"/>
        <v>0.23332017370706673</v>
      </c>
      <c r="AS392" s="18">
        <f t="shared" si="79"/>
        <v>568.67241379310349</v>
      </c>
      <c r="AT392">
        <f t="shared" si="71"/>
        <v>0.96222066631658798</v>
      </c>
      <c r="AU392">
        <f t="shared" si="80"/>
        <v>525</v>
      </c>
      <c r="AV392" s="9">
        <f t="shared" si="77"/>
        <v>0.8883248730964467</v>
      </c>
      <c r="AW392" s="13"/>
    </row>
    <row r="393" spans="1:49" x14ac:dyDescent="0.3">
      <c r="A393" s="23">
        <v>374</v>
      </c>
      <c r="B393" t="s">
        <v>42</v>
      </c>
      <c r="C393" s="1">
        <v>11222</v>
      </c>
      <c r="D393" t="s">
        <v>124</v>
      </c>
      <c r="E393" t="s">
        <v>125</v>
      </c>
      <c r="F393" t="s">
        <v>125</v>
      </c>
      <c r="G393" s="2">
        <v>1984</v>
      </c>
      <c r="H393" s="2" t="s">
        <v>131</v>
      </c>
      <c r="I393" s="2" t="str">
        <f t="shared" si="78"/>
        <v>&gt;1980</v>
      </c>
      <c r="J393" s="2">
        <v>60</v>
      </c>
      <c r="K393" s="2">
        <f t="shared" si="76"/>
        <v>60</v>
      </c>
      <c r="L393" s="2">
        <v>270</v>
      </c>
      <c r="M393" s="2">
        <v>210</v>
      </c>
      <c r="N393" s="2">
        <v>5</v>
      </c>
      <c r="O393" s="2">
        <v>0</v>
      </c>
      <c r="P393" s="2">
        <v>4</v>
      </c>
      <c r="Q393" s="2">
        <v>1</v>
      </c>
      <c r="R393" s="2">
        <v>16.7</v>
      </c>
      <c r="S393" s="2">
        <v>16.5</v>
      </c>
      <c r="T393" s="2">
        <v>12.2</v>
      </c>
      <c r="U393" s="2">
        <v>74.5</v>
      </c>
      <c r="V393" s="1">
        <v>913</v>
      </c>
      <c r="W393" s="2">
        <v>4188</v>
      </c>
      <c r="X393" s="2">
        <v>833.1</v>
      </c>
      <c r="Y393" s="1">
        <v>3682</v>
      </c>
      <c r="Z393" s="11" t="s">
        <v>214</v>
      </c>
      <c r="AA393" s="2">
        <v>4</v>
      </c>
      <c r="AB393" s="2">
        <v>0</v>
      </c>
      <c r="AC393" s="2">
        <v>0</v>
      </c>
      <c r="AD393" s="3" t="s">
        <v>126</v>
      </c>
      <c r="AE393" s="3" t="s">
        <v>115</v>
      </c>
      <c r="AF393" s="3" t="s">
        <v>50</v>
      </c>
      <c r="AG393" s="3" t="s">
        <v>74</v>
      </c>
      <c r="AH393" s="3" t="s">
        <v>75</v>
      </c>
      <c r="AI393" s="2">
        <v>1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 t="s">
        <v>123</v>
      </c>
      <c r="AP393" s="16">
        <v>1690</v>
      </c>
      <c r="AQ393" s="16">
        <v>605.4</v>
      </c>
      <c r="AR393" s="4">
        <f t="shared" si="74"/>
        <v>0.26374488106648075</v>
      </c>
      <c r="AS393" s="18">
        <f t="shared" si="79"/>
        <v>634.82758620689663</v>
      </c>
      <c r="AT393">
        <f t="shared" si="71"/>
        <v>1.0486085005069321</v>
      </c>
      <c r="AU393">
        <f t="shared" si="80"/>
        <v>525</v>
      </c>
      <c r="AV393" s="9">
        <f t="shared" si="77"/>
        <v>0.86719524281466798</v>
      </c>
      <c r="AW393" s="13"/>
    </row>
    <row r="394" spans="1:49" x14ac:dyDescent="0.3">
      <c r="A394" s="24" t="s">
        <v>342</v>
      </c>
      <c r="B394" t="s">
        <v>42</v>
      </c>
      <c r="C394" s="2">
        <v>11222</v>
      </c>
      <c r="D394" t="s">
        <v>54</v>
      </c>
      <c r="E394" t="s">
        <v>110</v>
      </c>
      <c r="F394" t="s">
        <v>110</v>
      </c>
      <c r="G394" s="2" t="s">
        <v>343</v>
      </c>
      <c r="H394" s="2" t="s">
        <v>131</v>
      </c>
      <c r="I394" s="2" t="str">
        <f t="shared" si="78"/>
        <v>&gt;1980</v>
      </c>
      <c r="J394" s="22">
        <v>60</v>
      </c>
      <c r="K394" s="2">
        <f t="shared" si="76"/>
        <v>60</v>
      </c>
      <c r="L394" s="14">
        <f>120+60*2</f>
        <v>240</v>
      </c>
      <c r="M394" s="14">
        <f>120+60</f>
        <v>180</v>
      </c>
      <c r="N394" s="2">
        <v>5</v>
      </c>
      <c r="O394" s="2">
        <v>0</v>
      </c>
      <c r="P394" s="2">
        <v>4</v>
      </c>
      <c r="Q394" s="2">
        <v>0</v>
      </c>
      <c r="R394" s="15">
        <v>17.2</v>
      </c>
      <c r="S394" s="2">
        <v>17</v>
      </c>
      <c r="T394" s="15">
        <v>11.8</v>
      </c>
      <c r="U394" s="15">
        <v>60.06</v>
      </c>
      <c r="V394" s="2">
        <v>914</v>
      </c>
      <c r="W394" s="2">
        <v>3619.3</v>
      </c>
      <c r="X394" s="2">
        <v>610.29999999999995</v>
      </c>
      <c r="Y394" s="2">
        <v>3009</v>
      </c>
      <c r="Z394" s="2" t="s">
        <v>214</v>
      </c>
      <c r="AA394">
        <v>4</v>
      </c>
      <c r="AB394" s="2">
        <v>0</v>
      </c>
      <c r="AC394"/>
      <c r="AD394" s="3" t="s">
        <v>91</v>
      </c>
      <c r="AE394" s="3" t="s">
        <v>92</v>
      </c>
      <c r="AF394" s="3" t="s">
        <v>50</v>
      </c>
      <c r="AG394" s="3" t="s">
        <v>74</v>
      </c>
      <c r="AH394" s="3" t="s">
        <v>75</v>
      </c>
      <c r="AI394" s="2">
        <v>1</v>
      </c>
      <c r="AJ394" s="2">
        <v>0</v>
      </c>
      <c r="AK394" s="2">
        <v>0</v>
      </c>
      <c r="AL394" s="2">
        <v>1</v>
      </c>
      <c r="AM394" s="2">
        <v>0</v>
      </c>
      <c r="AN394" s="2">
        <v>0</v>
      </c>
      <c r="AO394" s="2" t="s">
        <v>76</v>
      </c>
      <c r="AP394" s="2">
        <v>1579.7</v>
      </c>
      <c r="AQ394" s="2">
        <v>361.2</v>
      </c>
      <c r="AR394" s="4">
        <f t="shared" si="74"/>
        <v>0.18609923231490544</v>
      </c>
      <c r="AS394" s="18">
        <f t="shared" si="79"/>
        <v>518.79310344827593</v>
      </c>
      <c r="AT394">
        <f t="shared" si="71"/>
        <v>1.4363042731126134</v>
      </c>
      <c r="AU394">
        <f t="shared" si="80"/>
        <v>450</v>
      </c>
      <c r="AV394" s="9">
        <f t="shared" si="77"/>
        <v>1.2458471760797343</v>
      </c>
      <c r="AW394" s="13" t="s">
        <v>243</v>
      </c>
    </row>
    <row r="395" spans="1:49" x14ac:dyDescent="0.3">
      <c r="A395" s="23">
        <v>26</v>
      </c>
      <c r="B395" t="s">
        <v>42</v>
      </c>
      <c r="C395" s="1">
        <v>11222</v>
      </c>
      <c r="D395" t="s">
        <v>54</v>
      </c>
      <c r="E395" t="s">
        <v>110</v>
      </c>
      <c r="F395" t="s">
        <v>110</v>
      </c>
      <c r="G395" s="2">
        <v>1992</v>
      </c>
      <c r="H395" s="2" t="s">
        <v>167</v>
      </c>
      <c r="I395" s="2" t="str">
        <f t="shared" si="78"/>
        <v>&gt;1980</v>
      </c>
      <c r="J395" s="19">
        <v>65</v>
      </c>
      <c r="K395" s="2">
        <f t="shared" si="76"/>
        <v>70</v>
      </c>
      <c r="L395" s="2">
        <v>290</v>
      </c>
      <c r="M395" s="2">
        <v>225</v>
      </c>
      <c r="N395" s="2">
        <v>5</v>
      </c>
      <c r="O395" s="2">
        <v>0</v>
      </c>
      <c r="P395" s="2">
        <v>5</v>
      </c>
      <c r="Q395" s="2">
        <v>1</v>
      </c>
      <c r="R395" s="2">
        <v>15.8</v>
      </c>
      <c r="S395" s="2">
        <v>16</v>
      </c>
      <c r="T395" s="2">
        <v>12.5</v>
      </c>
      <c r="U395" s="2">
        <v>75.7</v>
      </c>
      <c r="V395" s="1">
        <v>993.5</v>
      </c>
      <c r="W395" s="2">
        <v>4478.5</v>
      </c>
      <c r="X395" s="2">
        <v>1025.5</v>
      </c>
      <c r="Y395" s="1">
        <v>4186</v>
      </c>
      <c r="Z395" s="11" t="s">
        <v>214</v>
      </c>
      <c r="AA395" s="2">
        <v>4</v>
      </c>
      <c r="AB395" s="2">
        <v>0</v>
      </c>
      <c r="AC395" s="2">
        <v>2</v>
      </c>
      <c r="AD395" s="3" t="s">
        <v>91</v>
      </c>
      <c r="AE395" s="3" t="s">
        <v>92</v>
      </c>
      <c r="AF395" s="3" t="s">
        <v>50</v>
      </c>
      <c r="AG395" s="3" t="s">
        <v>74</v>
      </c>
      <c r="AH395" s="3" t="s">
        <v>75</v>
      </c>
      <c r="AI395" s="2">
        <v>1</v>
      </c>
      <c r="AJ395" s="2">
        <v>0</v>
      </c>
      <c r="AK395" s="2">
        <v>0</v>
      </c>
      <c r="AL395" s="2">
        <v>1</v>
      </c>
      <c r="AM395" s="2">
        <v>0</v>
      </c>
      <c r="AN395" s="2">
        <v>0</v>
      </c>
      <c r="AO395" s="2" t="s">
        <v>123</v>
      </c>
      <c r="AP395" s="1">
        <f>1735</f>
        <v>1735</v>
      </c>
      <c r="AQ395" s="1">
        <f>266+256</f>
        <v>522</v>
      </c>
      <c r="AR395" s="4">
        <f t="shared" si="74"/>
        <v>0.23128046078865752</v>
      </c>
      <c r="AS395" s="18">
        <f t="shared" si="79"/>
        <v>721.72413793103453</v>
      </c>
      <c r="AT395">
        <f t="shared" si="71"/>
        <v>1.3826132910556217</v>
      </c>
      <c r="AU395">
        <f t="shared" si="80"/>
        <v>562.5</v>
      </c>
      <c r="AV395" s="9">
        <f t="shared" si="77"/>
        <v>1.0775862068965518</v>
      </c>
      <c r="AW395" s="13"/>
    </row>
    <row r="396" spans="1:49" x14ac:dyDescent="0.3">
      <c r="A396" s="23">
        <v>278</v>
      </c>
      <c r="B396" t="s">
        <v>42</v>
      </c>
      <c r="C396" s="1">
        <v>11222</v>
      </c>
      <c r="D396" t="s">
        <v>211</v>
      </c>
      <c r="E396" t="s">
        <v>212</v>
      </c>
      <c r="F396" t="s">
        <v>213</v>
      </c>
      <c r="G396" s="2">
        <v>1984</v>
      </c>
      <c r="H396" s="2" t="s">
        <v>131</v>
      </c>
      <c r="I396" s="2" t="str">
        <f t="shared" si="78"/>
        <v>&gt;1980</v>
      </c>
      <c r="J396" s="2">
        <v>75</v>
      </c>
      <c r="K396" s="2">
        <f t="shared" si="76"/>
        <v>80</v>
      </c>
      <c r="L396" s="2">
        <v>340</v>
      </c>
      <c r="M396" s="2">
        <v>265</v>
      </c>
      <c r="N396" s="2">
        <v>5</v>
      </c>
      <c r="O396" s="2">
        <v>0</v>
      </c>
      <c r="P396" s="2">
        <v>5</v>
      </c>
      <c r="Q396" s="2">
        <v>1</v>
      </c>
      <c r="R396" s="2">
        <v>16</v>
      </c>
      <c r="S396" s="2">
        <v>16</v>
      </c>
      <c r="T396" s="2">
        <v>12</v>
      </c>
      <c r="U396" s="2">
        <v>94</v>
      </c>
      <c r="V396" s="1">
        <v>1136</v>
      </c>
      <c r="W396" s="2">
        <v>5271.5</v>
      </c>
      <c r="X396" s="2">
        <v>1045.9000000000001</v>
      </c>
      <c r="Y396" s="1">
        <v>4225.6000000000004</v>
      </c>
      <c r="Z396" s="11" t="s">
        <v>214</v>
      </c>
      <c r="AA396" s="2">
        <v>4</v>
      </c>
      <c r="AB396" s="2">
        <v>0</v>
      </c>
      <c r="AC396" s="2">
        <v>2</v>
      </c>
      <c r="AD396" s="3" t="s">
        <v>91</v>
      </c>
      <c r="AE396" s="3" t="s">
        <v>92</v>
      </c>
      <c r="AF396" s="3" t="s">
        <v>50</v>
      </c>
      <c r="AG396" s="3" t="s">
        <v>74</v>
      </c>
      <c r="AH396" s="3" t="s">
        <v>75</v>
      </c>
      <c r="AI396" s="2">
        <v>1</v>
      </c>
      <c r="AJ396" s="2">
        <v>0</v>
      </c>
      <c r="AK396" s="2">
        <v>0</v>
      </c>
      <c r="AL396" s="2">
        <v>1</v>
      </c>
      <c r="AM396" s="2">
        <v>0</v>
      </c>
      <c r="AN396" s="2">
        <v>0</v>
      </c>
      <c r="AO396" s="2" t="s">
        <v>84</v>
      </c>
      <c r="AP396" s="1">
        <f>2273</f>
        <v>2273</v>
      </c>
      <c r="AQ396" s="1">
        <f>417+376</f>
        <v>793</v>
      </c>
      <c r="AR396" s="4">
        <f t="shared" si="74"/>
        <v>0.25864318330071756</v>
      </c>
      <c r="AS396" s="18">
        <f t="shared" si="79"/>
        <v>728.55172413793116</v>
      </c>
      <c r="AT396">
        <f t="shared" si="71"/>
        <v>0.91872852980823605</v>
      </c>
      <c r="AU396">
        <f t="shared" si="80"/>
        <v>662.5</v>
      </c>
      <c r="AV396" s="9">
        <f t="shared" si="77"/>
        <v>0.83543505674653218</v>
      </c>
      <c r="AW396" s="13"/>
    </row>
    <row r="397" spans="1:49" x14ac:dyDescent="0.3">
      <c r="A397" s="23">
        <v>300</v>
      </c>
      <c r="B397" t="s">
        <v>42</v>
      </c>
      <c r="C397" s="1">
        <v>11222</v>
      </c>
      <c r="D397" t="s">
        <v>211</v>
      </c>
      <c r="E397" t="s">
        <v>212</v>
      </c>
      <c r="F397" t="s">
        <v>213</v>
      </c>
      <c r="G397" s="2">
        <v>1986</v>
      </c>
      <c r="H397" s="2" t="s">
        <v>131</v>
      </c>
      <c r="I397" s="2" t="str">
        <f t="shared" si="78"/>
        <v>&gt;1980</v>
      </c>
      <c r="J397" s="2">
        <v>75</v>
      </c>
      <c r="K397" s="2">
        <f t="shared" si="76"/>
        <v>80</v>
      </c>
      <c r="L397" s="2">
        <v>340</v>
      </c>
      <c r="M397" s="2">
        <v>265</v>
      </c>
      <c r="N397" s="2">
        <v>5</v>
      </c>
      <c r="O397" s="2">
        <v>0</v>
      </c>
      <c r="P397" s="2">
        <v>5</v>
      </c>
      <c r="Q397" s="2">
        <v>1</v>
      </c>
      <c r="R397" s="2">
        <v>16.2</v>
      </c>
      <c r="S397" s="2">
        <v>16</v>
      </c>
      <c r="T397" s="2">
        <v>12.3</v>
      </c>
      <c r="U397" s="2">
        <v>93.9</v>
      </c>
      <c r="V397" s="1">
        <v>1172</v>
      </c>
      <c r="W397" s="2">
        <v>5449.8</v>
      </c>
      <c r="X397" s="2">
        <v>1072.5999999999999</v>
      </c>
      <c r="Y397" s="1">
        <v>4254.8</v>
      </c>
      <c r="Z397" s="11" t="s">
        <v>214</v>
      </c>
      <c r="AA397" s="2">
        <v>4</v>
      </c>
      <c r="AB397" s="2">
        <v>0</v>
      </c>
      <c r="AC397" s="2">
        <v>2</v>
      </c>
      <c r="AD397" s="3" t="s">
        <v>91</v>
      </c>
      <c r="AE397" s="3" t="s">
        <v>92</v>
      </c>
      <c r="AF397" s="3" t="s">
        <v>50</v>
      </c>
      <c r="AG397" s="3" t="s">
        <v>74</v>
      </c>
      <c r="AH397" s="3" t="s">
        <v>75</v>
      </c>
      <c r="AI397" s="2">
        <v>1</v>
      </c>
      <c r="AJ397" s="2">
        <v>0</v>
      </c>
      <c r="AK397" s="2">
        <v>0</v>
      </c>
      <c r="AL397" s="2">
        <v>1</v>
      </c>
      <c r="AM397" s="2">
        <v>0</v>
      </c>
      <c r="AN397" s="2">
        <v>0</v>
      </c>
      <c r="AO397" s="2" t="s">
        <v>76</v>
      </c>
      <c r="AP397" s="1">
        <f>1975.6+450.8</f>
        <v>2426.4</v>
      </c>
      <c r="AQ397" s="1">
        <f>419.5+372.6</f>
        <v>792.1</v>
      </c>
      <c r="AR397" s="4">
        <f t="shared" si="74"/>
        <v>0.24610843560664908</v>
      </c>
      <c r="AS397" s="18">
        <f t="shared" si="79"/>
        <v>733.58620689655174</v>
      </c>
      <c r="AT397">
        <f t="shared" si="71"/>
        <v>0.9261282753396689</v>
      </c>
      <c r="AU397">
        <f t="shared" si="80"/>
        <v>662.5</v>
      </c>
      <c r="AV397" s="9">
        <f t="shared" si="77"/>
        <v>0.83638429491225852</v>
      </c>
      <c r="AW397" s="13"/>
    </row>
    <row r="398" spans="1:49" x14ac:dyDescent="0.3">
      <c r="A398" s="23">
        <v>314</v>
      </c>
      <c r="B398" t="s">
        <v>42</v>
      </c>
      <c r="C398" s="1">
        <v>11222</v>
      </c>
      <c r="D398" t="s">
        <v>54</v>
      </c>
      <c r="E398" t="s">
        <v>195</v>
      </c>
      <c r="F398" t="s">
        <v>196</v>
      </c>
      <c r="G398" s="2">
        <v>1972</v>
      </c>
      <c r="H398" s="2" t="s">
        <v>69</v>
      </c>
      <c r="I398" s="2" t="str">
        <f t="shared" si="78"/>
        <v>1950-1980</v>
      </c>
      <c r="J398" s="2">
        <v>60</v>
      </c>
      <c r="K398" s="2">
        <f t="shared" si="76"/>
        <v>60</v>
      </c>
      <c r="L398" s="2">
        <v>240</v>
      </c>
      <c r="M398" s="2">
        <v>180</v>
      </c>
      <c r="N398" s="2">
        <v>5</v>
      </c>
      <c r="O398" s="2">
        <v>0</v>
      </c>
      <c r="P398" s="2">
        <v>5</v>
      </c>
      <c r="Q398" s="2">
        <v>1</v>
      </c>
      <c r="R398" s="2">
        <v>15.4</v>
      </c>
      <c r="S398" s="2">
        <v>15.5</v>
      </c>
      <c r="T398" s="2">
        <v>11.8</v>
      </c>
      <c r="U398" s="2">
        <v>57.5</v>
      </c>
      <c r="V398" s="1">
        <v>697</v>
      </c>
      <c r="W398" s="2">
        <v>3332</v>
      </c>
      <c r="X398" s="2">
        <v>636.6</v>
      </c>
      <c r="Y398" s="1">
        <v>2969.4</v>
      </c>
      <c r="Z398" s="11" t="s">
        <v>214</v>
      </c>
      <c r="AA398" s="2">
        <v>4</v>
      </c>
      <c r="AB398" s="2">
        <v>0</v>
      </c>
      <c r="AC398" s="2">
        <v>0</v>
      </c>
      <c r="AD398" s="3" t="s">
        <v>58</v>
      </c>
      <c r="AE398" s="3" t="s">
        <v>92</v>
      </c>
      <c r="AF398" s="3" t="s">
        <v>83</v>
      </c>
      <c r="AG398" s="3" t="s">
        <v>74</v>
      </c>
      <c r="AH398" s="3" t="s">
        <v>100</v>
      </c>
      <c r="AI398" s="2">
        <v>1</v>
      </c>
      <c r="AJ398" s="2">
        <v>0</v>
      </c>
      <c r="AK398" s="2">
        <v>0</v>
      </c>
      <c r="AL398" s="2">
        <v>0</v>
      </c>
      <c r="AM398" s="2">
        <v>1</v>
      </c>
      <c r="AN398" s="2">
        <v>1</v>
      </c>
      <c r="AO398" s="2" t="s">
        <v>76</v>
      </c>
      <c r="AP398" s="16">
        <v>1285</v>
      </c>
      <c r="AQ398" s="16">
        <v>391.5</v>
      </c>
      <c r="AR398" s="4">
        <f t="shared" si="74"/>
        <v>0.23352221890844022</v>
      </c>
      <c r="AS398" s="18">
        <f t="shared" si="79"/>
        <v>511.96551724137936</v>
      </c>
      <c r="AT398">
        <f t="shared" si="71"/>
        <v>1.3077024706037788</v>
      </c>
      <c r="AU398">
        <f t="shared" si="80"/>
        <v>450</v>
      </c>
      <c r="AV398" s="9">
        <f t="shared" si="77"/>
        <v>1.1494252873563218</v>
      </c>
      <c r="AW398" s="13"/>
    </row>
    <row r="399" spans="1:49" x14ac:dyDescent="0.3">
      <c r="A399" s="24" t="s">
        <v>359</v>
      </c>
      <c r="B399" t="s">
        <v>42</v>
      </c>
      <c r="C399" s="2">
        <v>11222</v>
      </c>
      <c r="D399" t="s">
        <v>54</v>
      </c>
      <c r="E399" t="s">
        <v>110</v>
      </c>
      <c r="F399" t="s">
        <v>110</v>
      </c>
      <c r="G399" s="2" t="s">
        <v>360</v>
      </c>
      <c r="H399" s="2" t="s">
        <v>131</v>
      </c>
      <c r="I399" s="2" t="str">
        <f t="shared" si="78"/>
        <v>&gt;1980</v>
      </c>
      <c r="J399" s="14">
        <v>75</v>
      </c>
      <c r="K399" s="2">
        <f t="shared" si="76"/>
        <v>80</v>
      </c>
      <c r="L399" s="14">
        <f>150+75*2</f>
        <v>300</v>
      </c>
      <c r="M399" s="14">
        <f>150+75</f>
        <v>225</v>
      </c>
      <c r="N399" s="2">
        <v>5</v>
      </c>
      <c r="O399" s="2">
        <v>0</v>
      </c>
      <c r="P399" s="2">
        <v>5</v>
      </c>
      <c r="Q399" s="2">
        <v>0</v>
      </c>
      <c r="R399" s="15">
        <v>16.96</v>
      </c>
      <c r="S399" s="2">
        <v>17</v>
      </c>
      <c r="T399" s="15">
        <v>11.31</v>
      </c>
      <c r="U399" s="15">
        <v>74.989999999999995</v>
      </c>
      <c r="V399" s="2">
        <v>932</v>
      </c>
      <c r="W399" s="2">
        <v>4414</v>
      </c>
      <c r="X399" s="2">
        <v>610.29999999999995</v>
      </c>
      <c r="Y399" s="2">
        <v>3873</v>
      </c>
      <c r="Z399" s="2" t="s">
        <v>214</v>
      </c>
      <c r="AA399">
        <v>4</v>
      </c>
      <c r="AB399" s="2">
        <v>0</v>
      </c>
      <c r="AC399"/>
      <c r="AD399" s="3" t="s">
        <v>91</v>
      </c>
      <c r="AE399" s="3" t="s">
        <v>92</v>
      </c>
      <c r="AF399" s="3" t="s">
        <v>50</v>
      </c>
      <c r="AG399" s="3" t="s">
        <v>74</v>
      </c>
      <c r="AH399" s="3" t="s">
        <v>75</v>
      </c>
      <c r="AI399" s="2">
        <v>1</v>
      </c>
      <c r="AJ399" s="2">
        <v>0</v>
      </c>
      <c r="AK399" s="2">
        <v>0</v>
      </c>
      <c r="AL399" s="2">
        <v>1</v>
      </c>
      <c r="AM399" s="2">
        <v>0</v>
      </c>
      <c r="AN399" s="2">
        <v>0</v>
      </c>
      <c r="AO399" s="2" t="s">
        <v>76</v>
      </c>
      <c r="AP399" s="2">
        <v>1892.8</v>
      </c>
      <c r="AQ399" s="2">
        <v>426.3</v>
      </c>
      <c r="AR399" s="4">
        <f t="shared" si="74"/>
        <v>0.18382130999094479</v>
      </c>
      <c r="AS399" s="18">
        <f t="shared" si="79"/>
        <v>667.75862068965523</v>
      </c>
      <c r="AT399">
        <f t="shared" si="71"/>
        <v>1.5664053968793226</v>
      </c>
      <c r="AU399">
        <f t="shared" si="80"/>
        <v>562.5</v>
      </c>
      <c r="AV399" s="9">
        <f t="shared" si="77"/>
        <v>1.3194933145672061</v>
      </c>
      <c r="AW399" s="13" t="s">
        <v>243</v>
      </c>
    </row>
    <row r="400" spans="1:49" x14ac:dyDescent="0.3">
      <c r="A400" s="23">
        <v>205</v>
      </c>
      <c r="B400" t="s">
        <v>42</v>
      </c>
      <c r="C400" s="1">
        <v>11222</v>
      </c>
      <c r="D400" t="s">
        <v>211</v>
      </c>
      <c r="E400" t="s">
        <v>212</v>
      </c>
      <c r="F400" t="s">
        <v>213</v>
      </c>
      <c r="G400" s="2">
        <v>1976</v>
      </c>
      <c r="H400" s="2" t="s">
        <v>69</v>
      </c>
      <c r="I400" s="2" t="str">
        <f t="shared" si="78"/>
        <v>1950-1980</v>
      </c>
      <c r="J400" s="2">
        <v>90</v>
      </c>
      <c r="K400" s="2">
        <f t="shared" si="76"/>
        <v>90</v>
      </c>
      <c r="L400" s="2">
        <v>410</v>
      </c>
      <c r="M400" s="2">
        <v>320</v>
      </c>
      <c r="N400" s="2">
        <v>5</v>
      </c>
      <c r="O400" s="2">
        <v>0</v>
      </c>
      <c r="P400" s="2">
        <v>6</v>
      </c>
      <c r="Q400" s="2">
        <v>1</v>
      </c>
      <c r="R400" s="2">
        <v>16</v>
      </c>
      <c r="S400" s="2">
        <v>16</v>
      </c>
      <c r="T400" s="2">
        <v>12</v>
      </c>
      <c r="U400" s="2">
        <v>113</v>
      </c>
      <c r="V400" s="1">
        <v>1452</v>
      </c>
      <c r="W400" s="2">
        <v>6384.6</v>
      </c>
      <c r="X400" s="2">
        <v>1132</v>
      </c>
      <c r="Y400" s="1">
        <v>5109</v>
      </c>
      <c r="Z400" s="11" t="s">
        <v>214</v>
      </c>
      <c r="AA400" s="2">
        <v>4</v>
      </c>
      <c r="AB400" s="2">
        <v>0</v>
      </c>
      <c r="AC400" s="2">
        <v>2</v>
      </c>
      <c r="AD400" s="3" t="s">
        <v>91</v>
      </c>
      <c r="AE400" s="3" t="s">
        <v>92</v>
      </c>
      <c r="AF400" s="3" t="s">
        <v>83</v>
      </c>
      <c r="AG400" s="3" t="s">
        <v>326</v>
      </c>
      <c r="AH400" s="3" t="s">
        <v>75</v>
      </c>
      <c r="AI400" s="2">
        <v>1</v>
      </c>
      <c r="AJ400" s="2">
        <v>0</v>
      </c>
      <c r="AK400" s="2">
        <v>0</v>
      </c>
      <c r="AL400" s="2">
        <v>1</v>
      </c>
      <c r="AM400" s="2">
        <v>0</v>
      </c>
      <c r="AN400" s="2">
        <v>0</v>
      </c>
      <c r="AO400" s="2" t="s">
        <v>76</v>
      </c>
      <c r="AP400" s="1">
        <f>315.9+2176.4+494.1</f>
        <v>2986.4</v>
      </c>
      <c r="AQ400" s="1">
        <f>498.6+435</f>
        <v>933.6</v>
      </c>
      <c r="AR400" s="4">
        <f t="shared" si="74"/>
        <v>0.23816326530612245</v>
      </c>
      <c r="AS400" s="18">
        <f t="shared" si="79"/>
        <v>880.86206896551732</v>
      </c>
      <c r="AT400">
        <f t="shared" si="71"/>
        <v>0.94351121354489853</v>
      </c>
      <c r="AU400">
        <f t="shared" si="80"/>
        <v>800</v>
      </c>
      <c r="AV400" s="9">
        <f t="shared" si="77"/>
        <v>0.85689802913453295</v>
      </c>
      <c r="AW400" s="13"/>
    </row>
    <row r="401" spans="1:49" x14ac:dyDescent="0.3">
      <c r="A401" s="23">
        <v>330</v>
      </c>
      <c r="B401" t="s">
        <v>42</v>
      </c>
      <c r="C401" s="1">
        <v>11222</v>
      </c>
      <c r="D401" t="s">
        <v>180</v>
      </c>
      <c r="E401" t="s">
        <v>181</v>
      </c>
      <c r="F401" t="s">
        <v>182</v>
      </c>
      <c r="G401" s="2">
        <v>1963</v>
      </c>
      <c r="H401" s="2" t="s">
        <v>57</v>
      </c>
      <c r="I401" s="2" t="str">
        <f t="shared" si="78"/>
        <v>1950-1980</v>
      </c>
      <c r="J401" s="2">
        <v>24</v>
      </c>
      <c r="K401" s="2">
        <f t="shared" si="76"/>
        <v>20</v>
      </c>
      <c r="L401" s="2">
        <v>90</v>
      </c>
      <c r="M401" s="2">
        <v>66</v>
      </c>
      <c r="N401" s="2">
        <v>3</v>
      </c>
      <c r="O401" s="2">
        <v>0</v>
      </c>
      <c r="P401" s="2">
        <v>2</v>
      </c>
      <c r="Q401" s="2">
        <v>1</v>
      </c>
      <c r="R401" s="2">
        <v>12.3</v>
      </c>
      <c r="S401" s="2">
        <v>12.5</v>
      </c>
      <c r="T401" s="2">
        <v>11.4</v>
      </c>
      <c r="U401" s="2">
        <v>36.4</v>
      </c>
      <c r="V401" s="1">
        <v>394</v>
      </c>
      <c r="W401" s="2">
        <v>1136</v>
      </c>
      <c r="X401" s="2">
        <v>312.3</v>
      </c>
      <c r="Y401" s="1">
        <v>883</v>
      </c>
      <c r="Z401" s="2" t="s">
        <v>47</v>
      </c>
      <c r="AA401" s="2">
        <v>4</v>
      </c>
      <c r="AB401" s="2">
        <v>0</v>
      </c>
      <c r="AD401" s="3" t="s">
        <v>58</v>
      </c>
      <c r="AE401" s="3" t="s">
        <v>58</v>
      </c>
      <c r="AF401" s="3" t="s">
        <v>50</v>
      </c>
      <c r="AG401" s="3" t="s">
        <v>51</v>
      </c>
      <c r="AH401" s="3" t="s">
        <v>75</v>
      </c>
      <c r="AI401" s="2">
        <v>0</v>
      </c>
      <c r="AJ401" s="2">
        <v>1</v>
      </c>
      <c r="AK401" s="2">
        <v>0</v>
      </c>
      <c r="AL401" s="2">
        <v>0</v>
      </c>
      <c r="AM401" s="2">
        <v>0</v>
      </c>
      <c r="AN401" s="2">
        <v>1</v>
      </c>
      <c r="AO401" s="2" t="s">
        <v>88</v>
      </c>
      <c r="AP401" s="1">
        <v>457.3</v>
      </c>
      <c r="AQ401" s="1">
        <f>86.2+14.9*2+88.8</f>
        <v>204.8</v>
      </c>
      <c r="AR401" s="4">
        <f t="shared" si="74"/>
        <v>0.30931883401298899</v>
      </c>
      <c r="AS401" s="18">
        <f>IF(AQ401&lt;&gt;"", Y401/6.25,"")</f>
        <v>141.28</v>
      </c>
      <c r="AT401">
        <f t="shared" ref="AT401:AT418" si="81">IF(AQ401&lt;&gt;"",AS401/AQ401,"")</f>
        <v>0.68984374999999998</v>
      </c>
      <c r="AU401">
        <f>IF(AQ401&lt;&gt;"",2.27*M401,"")</f>
        <v>149.82</v>
      </c>
      <c r="AV401" s="9">
        <f t="shared" si="77"/>
        <v>0.73154296874999991</v>
      </c>
      <c r="AW401" s="13"/>
    </row>
    <row r="402" spans="1:49" x14ac:dyDescent="0.3">
      <c r="A402" s="23">
        <v>237</v>
      </c>
      <c r="B402" t="s">
        <v>42</v>
      </c>
      <c r="C402" s="1">
        <v>12132</v>
      </c>
      <c r="D402" t="s">
        <v>54</v>
      </c>
      <c r="E402" t="s">
        <v>192</v>
      </c>
      <c r="F402" t="s">
        <v>367</v>
      </c>
      <c r="G402" s="2">
        <v>1983</v>
      </c>
      <c r="H402" s="2" t="s">
        <v>131</v>
      </c>
      <c r="I402" s="2" t="str">
        <f t="shared" si="78"/>
        <v>&gt;1980</v>
      </c>
      <c r="J402" s="2">
        <v>95</v>
      </c>
      <c r="K402" s="2">
        <f>MROUND(J402,10)</f>
        <v>100</v>
      </c>
      <c r="L402" s="2">
        <v>471</v>
      </c>
      <c r="M402" s="2">
        <v>376</v>
      </c>
      <c r="N402" s="2">
        <v>5</v>
      </c>
      <c r="O402" s="2">
        <v>0</v>
      </c>
      <c r="P402" s="2">
        <v>8</v>
      </c>
      <c r="Q402" s="2">
        <v>1</v>
      </c>
      <c r="R402" s="2">
        <v>16.899999999999999</v>
      </c>
      <c r="S402" s="2">
        <v>17</v>
      </c>
      <c r="T402" s="2">
        <v>57.7</v>
      </c>
      <c r="U402" s="2">
        <v>100.6</v>
      </c>
      <c r="V402" s="1">
        <v>1844</v>
      </c>
      <c r="W402" s="2">
        <v>7370.6</v>
      </c>
      <c r="X402" s="2">
        <v>1466.5</v>
      </c>
      <c r="Y402" s="1">
        <v>6656</v>
      </c>
      <c r="Z402" s="2" t="s">
        <v>153</v>
      </c>
      <c r="AA402" s="2">
        <v>10</v>
      </c>
      <c r="AB402" s="2">
        <v>6</v>
      </c>
      <c r="AD402" s="3" t="s">
        <v>58</v>
      </c>
      <c r="AE402" s="3" t="s">
        <v>58</v>
      </c>
      <c r="AF402" s="3" t="s">
        <v>50</v>
      </c>
      <c r="AG402" s="3" t="s">
        <v>74</v>
      </c>
      <c r="AH402" s="3" t="s">
        <v>75</v>
      </c>
      <c r="AI402" s="2">
        <v>1</v>
      </c>
      <c r="AJ402" s="2">
        <v>0</v>
      </c>
      <c r="AK402" s="2">
        <v>0</v>
      </c>
      <c r="AL402" s="2">
        <v>1</v>
      </c>
      <c r="AM402" s="2">
        <v>0</v>
      </c>
      <c r="AN402" s="2">
        <v>1</v>
      </c>
      <c r="AO402" s="2" t="s">
        <v>123</v>
      </c>
      <c r="AP402" s="1">
        <v>3483</v>
      </c>
      <c r="AQ402" s="1">
        <f>406+221+199+403</f>
        <v>1229</v>
      </c>
      <c r="AR402" s="4">
        <f t="shared" si="74"/>
        <v>0.26082342954159593</v>
      </c>
      <c r="AS402" s="18">
        <f>IF(AQ402&lt;&gt;"", Y402/6.25,"")</f>
        <v>1064.96</v>
      </c>
      <c r="AT402">
        <f t="shared" si="81"/>
        <v>0.86652563059397891</v>
      </c>
      <c r="AU402">
        <f>IF(AQ402&lt;&gt;"",2.27*M402,"")</f>
        <v>853.52</v>
      </c>
      <c r="AV402" s="9">
        <f t="shared" si="77"/>
        <v>0.69448331977217248</v>
      </c>
      <c r="AW402" s="13"/>
    </row>
    <row r="403" spans="1:49" x14ac:dyDescent="0.3">
      <c r="A403" s="23">
        <v>217</v>
      </c>
      <c r="B403" t="s">
        <v>42</v>
      </c>
      <c r="C403" s="1">
        <v>11222</v>
      </c>
      <c r="D403" t="s">
        <v>211</v>
      </c>
      <c r="E403" t="s">
        <v>212</v>
      </c>
      <c r="F403" t="s">
        <v>213</v>
      </c>
      <c r="G403" s="2">
        <v>1976</v>
      </c>
      <c r="H403" s="2" t="s">
        <v>69</v>
      </c>
      <c r="I403" s="2" t="str">
        <f t="shared" si="78"/>
        <v>1950-1980</v>
      </c>
      <c r="J403" s="2">
        <v>18</v>
      </c>
      <c r="K403" s="2">
        <f t="shared" si="76"/>
        <v>20</v>
      </c>
      <c r="L403" s="2">
        <v>87</v>
      </c>
      <c r="M403" s="2">
        <v>69</v>
      </c>
      <c r="N403" s="2">
        <v>3</v>
      </c>
      <c r="O403" s="2">
        <v>0</v>
      </c>
      <c r="P403" s="2">
        <v>3</v>
      </c>
      <c r="Q403" s="2">
        <v>1</v>
      </c>
      <c r="R403" s="2">
        <v>10</v>
      </c>
      <c r="S403" s="2">
        <v>10</v>
      </c>
      <c r="V403" s="1">
        <v>513</v>
      </c>
      <c r="W403" s="2">
        <v>1476.6</v>
      </c>
      <c r="X403" s="2">
        <v>423.4</v>
      </c>
      <c r="Y403" s="1">
        <v>1043.7</v>
      </c>
      <c r="Z403" s="2" t="s">
        <v>153</v>
      </c>
      <c r="AA403" s="2">
        <v>4</v>
      </c>
      <c r="AB403" s="2">
        <v>0</v>
      </c>
      <c r="AD403" s="3" t="s">
        <v>58</v>
      </c>
      <c r="AE403" s="3" t="s">
        <v>49</v>
      </c>
      <c r="AF403" s="3" t="s">
        <v>50</v>
      </c>
      <c r="AG403" s="3" t="s">
        <v>139</v>
      </c>
      <c r="AH403" s="3" t="s">
        <v>75</v>
      </c>
      <c r="AI403" s="2">
        <v>1</v>
      </c>
      <c r="AJ403" s="2">
        <v>0</v>
      </c>
      <c r="AK403" s="2">
        <v>0</v>
      </c>
      <c r="AL403" s="2">
        <v>0</v>
      </c>
      <c r="AM403" s="2">
        <v>0</v>
      </c>
      <c r="AN403" s="2">
        <v>0</v>
      </c>
      <c r="AO403" s="2" t="s">
        <v>76</v>
      </c>
      <c r="AP403" s="1">
        <f>669.7+169.3</f>
        <v>839</v>
      </c>
      <c r="AQ403" s="1">
        <f>84.4+110.9</f>
        <v>195.3</v>
      </c>
      <c r="AR403" s="4">
        <f t="shared" si="74"/>
        <v>0.18882335879338685</v>
      </c>
      <c r="AS403" s="18">
        <f>IF(AQ403&lt;&gt;"", Y403/6.25,"")</f>
        <v>166.99200000000002</v>
      </c>
      <c r="AT403">
        <f t="shared" si="81"/>
        <v>0.85505376344086026</v>
      </c>
      <c r="AU403">
        <f>IF(AQ403&lt;&gt;"",2.27*M403,"")</f>
        <v>156.63</v>
      </c>
      <c r="AV403" s="9">
        <f t="shared" si="77"/>
        <v>0.80199692780337939</v>
      </c>
      <c r="AW403" s="13"/>
    </row>
    <row r="404" spans="1:49" x14ac:dyDescent="0.3">
      <c r="A404" s="23">
        <v>373</v>
      </c>
      <c r="B404" t="s">
        <v>42</v>
      </c>
      <c r="C404" s="1">
        <v>11222</v>
      </c>
      <c r="D404" t="s">
        <v>43</v>
      </c>
      <c r="E404" t="s">
        <v>148</v>
      </c>
      <c r="F404" t="s">
        <v>154</v>
      </c>
      <c r="G404" s="2">
        <v>1979</v>
      </c>
      <c r="H404" s="2" t="s">
        <v>69</v>
      </c>
      <c r="I404" s="2" t="str">
        <f t="shared" si="78"/>
        <v>1950-1980</v>
      </c>
      <c r="J404" s="2">
        <v>13</v>
      </c>
      <c r="K404" s="2">
        <f t="shared" si="76"/>
        <v>10</v>
      </c>
      <c r="L404" s="2">
        <v>61</v>
      </c>
      <c r="M404" s="2">
        <v>48</v>
      </c>
      <c r="N404" s="2">
        <v>3</v>
      </c>
      <c r="O404" s="2">
        <v>0</v>
      </c>
      <c r="P404" s="2">
        <v>2</v>
      </c>
      <c r="Q404" s="2">
        <v>1</v>
      </c>
      <c r="R404" s="2">
        <v>12.5</v>
      </c>
      <c r="S404" s="2">
        <v>12.5</v>
      </c>
      <c r="T404" s="2">
        <v>12.5</v>
      </c>
      <c r="U404" s="2">
        <v>33.6</v>
      </c>
      <c r="V404" s="1">
        <v>349.2</v>
      </c>
      <c r="W404" s="2">
        <v>1048.5999999999999</v>
      </c>
      <c r="X404" s="2">
        <v>328.5</v>
      </c>
      <c r="Y404" s="1">
        <v>793.3</v>
      </c>
      <c r="Z404" s="2" t="s">
        <v>153</v>
      </c>
      <c r="AA404" s="2">
        <v>4</v>
      </c>
      <c r="AB404" s="2">
        <v>0</v>
      </c>
      <c r="AD404" s="3" t="s">
        <v>58</v>
      </c>
      <c r="AE404" s="3" t="s">
        <v>155</v>
      </c>
      <c r="AF404" s="3" t="s">
        <v>73</v>
      </c>
      <c r="AG404" s="3" t="s">
        <v>156</v>
      </c>
      <c r="AH404" s="3" t="s">
        <v>75</v>
      </c>
      <c r="AI404" s="2">
        <v>0</v>
      </c>
      <c r="AJ404" s="2">
        <v>1</v>
      </c>
      <c r="AK404" s="2">
        <v>0</v>
      </c>
      <c r="AL404" s="2">
        <v>0</v>
      </c>
      <c r="AM404" s="2">
        <v>0</v>
      </c>
      <c r="AN404" s="2">
        <v>0</v>
      </c>
      <c r="AO404" s="2" t="s">
        <v>76</v>
      </c>
      <c r="AP404" s="1">
        <v>672</v>
      </c>
      <c r="AQ404" s="1">
        <f>81+65</f>
        <v>146</v>
      </c>
      <c r="AR404" s="4">
        <f t="shared" si="74"/>
        <v>0.17848410757946209</v>
      </c>
      <c r="AS404" s="18">
        <f>IF(AQ404&lt;&gt;"", Y404/5.8,"")</f>
        <v>136.77586206896552</v>
      </c>
      <c r="AT404">
        <f t="shared" si="81"/>
        <v>0.93682097307510637</v>
      </c>
      <c r="AU404">
        <f>IF(AQ404&lt;&gt;"",2.5*M404,"")</f>
        <v>120</v>
      </c>
      <c r="AV404" s="9">
        <f t="shared" si="77"/>
        <v>0.82191780821917804</v>
      </c>
      <c r="AW404" s="13"/>
    </row>
    <row r="405" spans="1:49" x14ac:dyDescent="0.3">
      <c r="A405" s="24" t="s">
        <v>187</v>
      </c>
      <c r="B405" t="s">
        <v>42</v>
      </c>
      <c r="C405" s="2">
        <v>11222</v>
      </c>
      <c r="D405" t="s">
        <v>43</v>
      </c>
      <c r="E405" t="s">
        <v>188</v>
      </c>
      <c r="F405" t="s">
        <v>189</v>
      </c>
      <c r="G405" s="2">
        <v>1974</v>
      </c>
      <c r="H405" s="2" t="s">
        <v>69</v>
      </c>
      <c r="I405" s="2" t="str">
        <f t="shared" si="78"/>
        <v>1950-1980</v>
      </c>
      <c r="J405" s="14">
        <v>18</v>
      </c>
      <c r="K405" s="2">
        <f t="shared" si="76"/>
        <v>20</v>
      </c>
      <c r="L405" s="14">
        <f>36+18*2</f>
        <v>72</v>
      </c>
      <c r="M405" s="14">
        <f>36+18</f>
        <v>54</v>
      </c>
      <c r="N405" s="2">
        <v>3</v>
      </c>
      <c r="O405" s="2">
        <v>0</v>
      </c>
      <c r="P405" s="2">
        <v>2</v>
      </c>
      <c r="Q405" s="2">
        <v>0</v>
      </c>
      <c r="R405" s="15">
        <v>10.49</v>
      </c>
      <c r="S405" s="2">
        <v>10.5</v>
      </c>
      <c r="T405" s="15">
        <v>11.83</v>
      </c>
      <c r="U405" s="15">
        <v>33.880000000000003</v>
      </c>
      <c r="V405" s="2">
        <v>354</v>
      </c>
      <c r="W405" s="2">
        <v>1444</v>
      </c>
      <c r="Y405" s="2">
        <v>878</v>
      </c>
      <c r="Z405" s="2" t="s">
        <v>153</v>
      </c>
      <c r="AA405">
        <v>4</v>
      </c>
      <c r="AB405" s="2">
        <v>0</v>
      </c>
      <c r="AC405"/>
      <c r="AD405" s="3" t="s">
        <v>58</v>
      </c>
      <c r="AE405" s="3" t="s">
        <v>49</v>
      </c>
      <c r="AF405" s="3" t="s">
        <v>59</v>
      </c>
      <c r="AG405" s="3" t="s">
        <v>60</v>
      </c>
      <c r="AH405" s="3" t="s">
        <v>75</v>
      </c>
      <c r="AI405" s="2">
        <v>0</v>
      </c>
      <c r="AJ405" s="2">
        <v>1</v>
      </c>
      <c r="AK405" s="2">
        <v>0</v>
      </c>
      <c r="AL405" s="2">
        <v>0</v>
      </c>
      <c r="AM405" s="2">
        <v>0</v>
      </c>
      <c r="AN405" s="2">
        <v>0</v>
      </c>
      <c r="AO405" s="2" t="s">
        <v>123</v>
      </c>
      <c r="AP405" s="2">
        <v>968</v>
      </c>
      <c r="AQ405" s="2">
        <v>155.10000000000002</v>
      </c>
      <c r="AR405" s="4">
        <f t="shared" si="74"/>
        <v>0.13809990205680708</v>
      </c>
      <c r="AS405" s="18">
        <f>IF(AQ405&lt;&gt;"", Y405/5.8,"")</f>
        <v>151.37931034482759</v>
      </c>
      <c r="AT405">
        <f t="shared" si="81"/>
        <v>0.97601102736832734</v>
      </c>
      <c r="AU405">
        <f>IF(AQ405&lt;&gt;"",2.5*M405,"")</f>
        <v>135</v>
      </c>
      <c r="AV405" s="9">
        <f t="shared" si="77"/>
        <v>0.87040618955512561</v>
      </c>
      <c r="AW405" s="13" t="s">
        <v>243</v>
      </c>
    </row>
    <row r="406" spans="1:49" x14ac:dyDescent="0.3">
      <c r="A406" s="23">
        <v>369</v>
      </c>
      <c r="B406" t="s">
        <v>42</v>
      </c>
      <c r="C406" s="1">
        <v>11222</v>
      </c>
      <c r="D406" t="s">
        <v>43</v>
      </c>
      <c r="E406" t="s">
        <v>44</v>
      </c>
      <c r="F406" t="s">
        <v>82</v>
      </c>
      <c r="G406" s="2">
        <v>1963</v>
      </c>
      <c r="H406" s="2" t="s">
        <v>57</v>
      </c>
      <c r="I406" s="2" t="str">
        <f t="shared" si="78"/>
        <v>1950-1980</v>
      </c>
      <c r="J406" s="2">
        <v>48</v>
      </c>
      <c r="K406" s="2">
        <f t="shared" si="76"/>
        <v>50</v>
      </c>
      <c r="L406" s="2">
        <v>204</v>
      </c>
      <c r="M406" s="2">
        <v>156</v>
      </c>
      <c r="N406" s="2">
        <v>4</v>
      </c>
      <c r="O406" s="2">
        <v>0</v>
      </c>
      <c r="P406" s="2">
        <v>3</v>
      </c>
      <c r="Q406" s="2">
        <v>1</v>
      </c>
      <c r="R406" s="2">
        <v>14.7</v>
      </c>
      <c r="S406" s="2">
        <v>14.5</v>
      </c>
      <c r="V406" s="1">
        <v>661</v>
      </c>
      <c r="W406" s="2">
        <v>2585.8000000000002</v>
      </c>
      <c r="X406" s="2">
        <v>603.70000000000005</v>
      </c>
      <c r="Y406" s="1">
        <v>2151</v>
      </c>
      <c r="Z406" s="2" t="s">
        <v>153</v>
      </c>
      <c r="AA406" s="2">
        <v>4</v>
      </c>
      <c r="AB406" s="2">
        <v>9</v>
      </c>
      <c r="AD406" s="3" t="s">
        <v>91</v>
      </c>
      <c r="AE406" s="3" t="s">
        <v>115</v>
      </c>
      <c r="AF406" s="3" t="s">
        <v>50</v>
      </c>
      <c r="AG406" s="3" t="s">
        <v>60</v>
      </c>
      <c r="AH406" s="3" t="s">
        <v>75</v>
      </c>
      <c r="AI406" s="2">
        <v>0</v>
      </c>
      <c r="AJ406" s="12">
        <v>1</v>
      </c>
      <c r="AK406" s="2">
        <v>0</v>
      </c>
      <c r="AL406" s="2">
        <v>0</v>
      </c>
      <c r="AM406" s="2">
        <v>0</v>
      </c>
      <c r="AN406" s="2">
        <v>1</v>
      </c>
      <c r="AO406" s="2" t="s">
        <v>84</v>
      </c>
      <c r="AP406" s="1">
        <f>1012+228</f>
        <v>1240</v>
      </c>
      <c r="AQ406" s="1">
        <f>288+107</f>
        <v>395</v>
      </c>
      <c r="AR406" s="4">
        <f t="shared" si="74"/>
        <v>0.24159021406727829</v>
      </c>
      <c r="AS406" s="18">
        <f t="shared" ref="AS406:AS418" si="82">IF(AQ406&lt;&gt;"", Y406/6.25,"")</f>
        <v>344.16</v>
      </c>
      <c r="AT406">
        <f t="shared" si="81"/>
        <v>0.87129113924050638</v>
      </c>
      <c r="AU406">
        <f>IF(AQ406&lt;&gt;"",2.27*M406,"")</f>
        <v>354.12</v>
      </c>
      <c r="AV406" s="9">
        <f t="shared" si="77"/>
        <v>0.89650632911392403</v>
      </c>
      <c r="AW406" s="13"/>
    </row>
    <row r="407" spans="1:49" x14ac:dyDescent="0.3">
      <c r="A407" s="23">
        <v>211</v>
      </c>
      <c r="B407" t="s">
        <v>42</v>
      </c>
      <c r="C407" s="1">
        <v>12431</v>
      </c>
      <c r="D407" t="s">
        <v>43</v>
      </c>
      <c r="E407" t="s">
        <v>44</v>
      </c>
      <c r="F407" t="s">
        <v>45</v>
      </c>
      <c r="G407" s="2">
        <v>1960</v>
      </c>
      <c r="H407" s="2" t="s">
        <v>63</v>
      </c>
      <c r="I407" s="2" t="str">
        <f t="shared" si="78"/>
        <v>1950-1980</v>
      </c>
      <c r="J407" s="2">
        <v>24</v>
      </c>
      <c r="K407" s="2">
        <f>MROUND(J407,10)</f>
        <v>20</v>
      </c>
      <c r="L407" s="2">
        <v>102</v>
      </c>
      <c r="M407" s="2">
        <v>78</v>
      </c>
      <c r="N407" s="2">
        <v>4</v>
      </c>
      <c r="O407" s="2">
        <v>0</v>
      </c>
      <c r="P407" s="2">
        <v>1</v>
      </c>
      <c r="Q407" s="2">
        <v>1</v>
      </c>
      <c r="R407" s="2">
        <v>11</v>
      </c>
      <c r="S407" s="2">
        <v>11</v>
      </c>
      <c r="T407" s="2">
        <v>14.3</v>
      </c>
      <c r="U407" s="2">
        <v>38.200000000000003</v>
      </c>
      <c r="V407" s="1">
        <v>549</v>
      </c>
      <c r="W407" s="2">
        <v>1533.5</v>
      </c>
      <c r="X407" s="2">
        <v>242.3</v>
      </c>
      <c r="Y407" s="1">
        <v>1417.2</v>
      </c>
      <c r="Z407" s="2" t="s">
        <v>153</v>
      </c>
      <c r="AA407" s="2">
        <v>4</v>
      </c>
      <c r="AB407" s="2">
        <v>0</v>
      </c>
      <c r="AD407" s="3" t="s">
        <v>259</v>
      </c>
      <c r="AE407" s="3" t="s">
        <v>66</v>
      </c>
      <c r="AF407" s="3" t="s">
        <v>50</v>
      </c>
      <c r="AG407" s="3" t="s">
        <v>74</v>
      </c>
      <c r="AH407" s="3" t="s">
        <v>151</v>
      </c>
      <c r="AI407" s="2">
        <v>1</v>
      </c>
      <c r="AJ407" s="2">
        <v>0</v>
      </c>
      <c r="AK407" s="2">
        <v>0</v>
      </c>
      <c r="AL407" s="2">
        <v>0</v>
      </c>
      <c r="AM407" s="2">
        <v>0</v>
      </c>
      <c r="AN407" s="2">
        <v>1</v>
      </c>
      <c r="AO407" s="2" t="s">
        <v>76</v>
      </c>
      <c r="AP407" s="1">
        <v>667.4</v>
      </c>
      <c r="AQ407" s="1">
        <f>12.1+85.8+12.1+87.6</f>
        <v>197.59999999999997</v>
      </c>
      <c r="AR407" s="4">
        <f t="shared" si="74"/>
        <v>0.22843930635838147</v>
      </c>
      <c r="AS407" s="18">
        <f t="shared" si="82"/>
        <v>226.75200000000001</v>
      </c>
      <c r="AT407">
        <f t="shared" si="81"/>
        <v>1.1475303643724699</v>
      </c>
      <c r="AU407">
        <f>IF(AQ407&lt;&gt;"",2.27*M407,"")</f>
        <v>177.06</v>
      </c>
      <c r="AV407" s="9">
        <f t="shared" si="77"/>
        <v>0.89605263157894754</v>
      </c>
      <c r="AW407" s="13"/>
    </row>
    <row r="408" spans="1:49" x14ac:dyDescent="0.3">
      <c r="A408" s="23">
        <v>320</v>
      </c>
      <c r="B408" t="s">
        <v>42</v>
      </c>
      <c r="C408" s="1">
        <v>11222</v>
      </c>
      <c r="D408" t="s">
        <v>168</v>
      </c>
      <c r="E408" t="s">
        <v>169</v>
      </c>
      <c r="F408" t="s">
        <v>170</v>
      </c>
      <c r="G408" s="2">
        <v>1981</v>
      </c>
      <c r="H408" s="2" t="s">
        <v>131</v>
      </c>
      <c r="I408" s="2" t="str">
        <f t="shared" si="78"/>
        <v>&gt;1980</v>
      </c>
      <c r="J408" s="2">
        <v>12</v>
      </c>
      <c r="K408" s="2">
        <f t="shared" si="76"/>
        <v>10</v>
      </c>
      <c r="L408" s="2">
        <v>58</v>
      </c>
      <c r="M408" s="2">
        <v>46</v>
      </c>
      <c r="N408" s="2">
        <v>2</v>
      </c>
      <c r="O408" s="2">
        <v>0</v>
      </c>
      <c r="P408" s="2">
        <v>3</v>
      </c>
      <c r="Q408" s="2">
        <v>1</v>
      </c>
      <c r="R408" s="2">
        <v>10</v>
      </c>
      <c r="S408" s="2">
        <v>10</v>
      </c>
      <c r="T408" s="2">
        <v>10</v>
      </c>
      <c r="U408" s="2">
        <v>48</v>
      </c>
      <c r="V408" s="1">
        <v>476</v>
      </c>
      <c r="W408" s="2">
        <v>1077.8</v>
      </c>
      <c r="X408" s="2">
        <v>55.2</v>
      </c>
      <c r="Y408" s="1">
        <v>826</v>
      </c>
      <c r="Z408" s="2" t="s">
        <v>153</v>
      </c>
      <c r="AA408" s="2">
        <v>4</v>
      </c>
      <c r="AB408" s="2">
        <v>0</v>
      </c>
      <c r="AC408" s="2">
        <v>0</v>
      </c>
      <c r="AD408" s="3" t="s">
        <v>58</v>
      </c>
      <c r="AE408" s="3" t="s">
        <v>49</v>
      </c>
      <c r="AF408" s="3" t="s">
        <v>50</v>
      </c>
      <c r="AG408" s="3" t="s">
        <v>74</v>
      </c>
      <c r="AH408" s="3" t="s">
        <v>75</v>
      </c>
      <c r="AI408" s="2">
        <v>0</v>
      </c>
      <c r="AJ408" s="2">
        <v>1</v>
      </c>
      <c r="AK408" s="2">
        <v>0</v>
      </c>
      <c r="AL408" s="2">
        <v>0</v>
      </c>
      <c r="AM408" s="2">
        <v>0</v>
      </c>
      <c r="AO408" s="2" t="s">
        <v>84</v>
      </c>
      <c r="AP408" s="1">
        <f>355.6+95.4</f>
        <v>451</v>
      </c>
      <c r="AQ408" s="1">
        <f>63.9*2</f>
        <v>127.8</v>
      </c>
      <c r="AR408" s="4">
        <f t="shared" si="74"/>
        <v>0.2208016586040083</v>
      </c>
      <c r="AS408" s="18">
        <f t="shared" si="82"/>
        <v>132.16</v>
      </c>
      <c r="AT408">
        <f t="shared" si="81"/>
        <v>1.0341158059467919</v>
      </c>
      <c r="AU408">
        <f>IF(AQ408&lt;&gt;"",2.27*M408,"")</f>
        <v>104.42</v>
      </c>
      <c r="AV408" s="9">
        <f t="shared" si="77"/>
        <v>0.81705790297339598</v>
      </c>
      <c r="AW408" s="13"/>
    </row>
    <row r="409" spans="1:49" x14ac:dyDescent="0.3">
      <c r="A409" s="23">
        <v>131</v>
      </c>
      <c r="B409" t="s">
        <v>42</v>
      </c>
      <c r="C409" s="1">
        <v>11222</v>
      </c>
      <c r="D409" t="s">
        <v>158</v>
      </c>
      <c r="E409" t="s">
        <v>396</v>
      </c>
      <c r="F409" t="s">
        <v>397</v>
      </c>
      <c r="G409" s="2">
        <v>1987</v>
      </c>
      <c r="H409" s="2" t="s">
        <v>131</v>
      </c>
      <c r="I409" s="2" t="str">
        <f t="shared" si="78"/>
        <v>&gt;1980</v>
      </c>
      <c r="J409" s="2">
        <v>18</v>
      </c>
      <c r="K409" s="2">
        <f t="shared" si="76"/>
        <v>20</v>
      </c>
      <c r="L409" s="2">
        <v>87</v>
      </c>
      <c r="M409" s="2">
        <v>69</v>
      </c>
      <c r="N409" s="2">
        <v>3</v>
      </c>
      <c r="O409" s="2">
        <v>0</v>
      </c>
      <c r="P409" s="2">
        <v>3</v>
      </c>
      <c r="Q409" s="2">
        <v>1</v>
      </c>
      <c r="R409" s="2">
        <v>10</v>
      </c>
      <c r="S409" s="2">
        <v>10</v>
      </c>
      <c r="T409" s="2">
        <v>10</v>
      </c>
      <c r="U409" s="2">
        <v>48</v>
      </c>
      <c r="V409" s="1">
        <v>479</v>
      </c>
      <c r="W409" s="2">
        <v>1433.7</v>
      </c>
      <c r="X409" s="2">
        <v>212.4</v>
      </c>
      <c r="Y409" s="1">
        <v>1075.3</v>
      </c>
      <c r="Z409" s="2" t="s">
        <v>153</v>
      </c>
      <c r="AA409" s="2">
        <v>4</v>
      </c>
      <c r="AB409" s="2">
        <v>0</v>
      </c>
      <c r="AC409" s="2">
        <v>0</v>
      </c>
      <c r="AD409" s="3" t="s">
        <v>58</v>
      </c>
      <c r="AE409" s="3" t="s">
        <v>49</v>
      </c>
      <c r="AF409" s="3" t="s">
        <v>50</v>
      </c>
      <c r="AG409" s="3" t="s">
        <v>74</v>
      </c>
      <c r="AH409" s="3" t="s">
        <v>75</v>
      </c>
      <c r="AI409" s="2">
        <v>1</v>
      </c>
      <c r="AJ409" s="2">
        <v>0</v>
      </c>
      <c r="AK409" s="2">
        <v>0</v>
      </c>
      <c r="AL409" s="2">
        <v>0</v>
      </c>
      <c r="AM409" s="2">
        <v>0</v>
      </c>
      <c r="AN409" s="2">
        <v>0</v>
      </c>
      <c r="AR409" s="4"/>
      <c r="AS409" s="18" t="str">
        <f t="shared" si="82"/>
        <v/>
      </c>
      <c r="AT409" t="str">
        <f t="shared" si="81"/>
        <v/>
      </c>
      <c r="AU409" t="str">
        <f>IF(AQ409&lt;&gt;"",2.3*M409,"")</f>
        <v/>
      </c>
      <c r="AV409" s="9" t="str">
        <f t="shared" si="77"/>
        <v/>
      </c>
      <c r="AW409" s="13"/>
    </row>
    <row r="410" spans="1:49" x14ac:dyDescent="0.3">
      <c r="A410" s="23">
        <v>17</v>
      </c>
      <c r="B410" t="s">
        <v>42</v>
      </c>
      <c r="C410" s="1">
        <v>11222</v>
      </c>
      <c r="D410" t="s">
        <v>85</v>
      </c>
      <c r="E410" t="s">
        <v>225</v>
      </c>
      <c r="F410" t="s">
        <v>226</v>
      </c>
      <c r="G410" s="2">
        <v>1979</v>
      </c>
      <c r="H410" s="2" t="s">
        <v>69</v>
      </c>
      <c r="I410" s="2" t="str">
        <f t="shared" si="78"/>
        <v>1950-1980</v>
      </c>
      <c r="J410" s="2">
        <v>18</v>
      </c>
      <c r="K410" s="2">
        <f t="shared" si="76"/>
        <v>20</v>
      </c>
      <c r="L410" s="2">
        <v>87</v>
      </c>
      <c r="M410" s="2">
        <v>69</v>
      </c>
      <c r="N410" s="2">
        <v>3</v>
      </c>
      <c r="O410" s="2">
        <v>0</v>
      </c>
      <c r="P410" s="2">
        <v>3</v>
      </c>
      <c r="Q410" s="2">
        <v>1</v>
      </c>
      <c r="R410" s="2">
        <v>12.6</v>
      </c>
      <c r="S410" s="2">
        <v>12.5</v>
      </c>
      <c r="T410" s="2">
        <v>11</v>
      </c>
      <c r="U410" s="2">
        <v>48.4</v>
      </c>
      <c r="V410" s="1">
        <v>476.9</v>
      </c>
      <c r="W410" s="2">
        <v>1538.4</v>
      </c>
      <c r="X410" s="2">
        <v>512.1</v>
      </c>
      <c r="Y410" s="1">
        <v>1161.9000000000001</v>
      </c>
      <c r="Z410" s="2" t="s">
        <v>153</v>
      </c>
      <c r="AA410" s="2">
        <v>4</v>
      </c>
      <c r="AB410" s="2">
        <v>0</v>
      </c>
      <c r="AC410" s="2">
        <v>0</v>
      </c>
      <c r="AD410" s="3" t="s">
        <v>227</v>
      </c>
      <c r="AE410" s="3" t="s">
        <v>115</v>
      </c>
      <c r="AF410" s="3" t="s">
        <v>50</v>
      </c>
      <c r="AG410" s="3" t="s">
        <v>67</v>
      </c>
      <c r="AH410" s="3" t="s">
        <v>81</v>
      </c>
      <c r="AI410" s="2">
        <v>0</v>
      </c>
      <c r="AJ410" s="2">
        <v>1</v>
      </c>
      <c r="AK410" s="2">
        <v>0</v>
      </c>
      <c r="AL410" s="2">
        <v>0</v>
      </c>
      <c r="AM410" s="2">
        <v>0</v>
      </c>
      <c r="AN410" s="2">
        <v>0</v>
      </c>
      <c r="AO410" s="2" t="s">
        <v>84</v>
      </c>
      <c r="AP410" s="1">
        <f>771.5+145.8</f>
        <v>917.3</v>
      </c>
      <c r="AQ410" s="1">
        <f>114.3+86.3</f>
        <v>200.6</v>
      </c>
      <c r="AR410" s="4">
        <f t="shared" ref="AR410:AR417" si="83">AQ410/(AP410+AQ410)</f>
        <v>0.17944359960640488</v>
      </c>
      <c r="AS410" s="18">
        <f t="shared" si="82"/>
        <v>185.90400000000002</v>
      </c>
      <c r="AT410">
        <f t="shared" si="81"/>
        <v>0.92673978065802609</v>
      </c>
      <c r="AU410">
        <f t="shared" ref="AU410:AU417" si="84">IF(AQ410&lt;&gt;"",2.27*M410,"")</f>
        <v>156.63</v>
      </c>
      <c r="AV410" s="9">
        <f t="shared" si="77"/>
        <v>0.78080757726819539</v>
      </c>
      <c r="AW410" s="13"/>
    </row>
    <row r="411" spans="1:49" x14ac:dyDescent="0.3">
      <c r="A411" s="23">
        <v>47</v>
      </c>
      <c r="B411" t="s">
        <v>42</v>
      </c>
      <c r="C411" s="1">
        <v>12339</v>
      </c>
      <c r="D411" t="s">
        <v>85</v>
      </c>
      <c r="E411" t="s">
        <v>86</v>
      </c>
      <c r="F411" t="s">
        <v>86</v>
      </c>
      <c r="G411" s="2">
        <v>1968</v>
      </c>
      <c r="H411" s="2" t="s">
        <v>57</v>
      </c>
      <c r="I411" s="2" t="str">
        <f t="shared" si="78"/>
        <v>1950-1980</v>
      </c>
      <c r="J411" s="2">
        <v>53</v>
      </c>
      <c r="K411" s="2">
        <f>MROUND(J411,10)</f>
        <v>50</v>
      </c>
      <c r="L411" s="2">
        <v>173</v>
      </c>
      <c r="M411" s="2">
        <v>120</v>
      </c>
      <c r="N411" s="2">
        <v>5</v>
      </c>
      <c r="O411" s="2">
        <v>0</v>
      </c>
      <c r="P411" s="2">
        <v>4</v>
      </c>
      <c r="Q411" s="2">
        <v>1</v>
      </c>
      <c r="R411" s="2">
        <v>17.2</v>
      </c>
      <c r="S411" s="2">
        <v>17</v>
      </c>
      <c r="V411" s="1">
        <v>438.4</v>
      </c>
      <c r="W411" s="2">
        <v>1995</v>
      </c>
      <c r="X411" s="2">
        <v>341.3</v>
      </c>
      <c r="Y411" s="1">
        <v>1874</v>
      </c>
      <c r="Z411" s="2" t="s">
        <v>153</v>
      </c>
      <c r="AA411" s="2">
        <v>4</v>
      </c>
      <c r="AB411" s="2">
        <v>0</v>
      </c>
      <c r="AC411" s="2">
        <v>0</v>
      </c>
      <c r="AD411" s="3" t="s">
        <v>58</v>
      </c>
      <c r="AE411" s="3" t="s">
        <v>66</v>
      </c>
      <c r="AF411" s="3" t="s">
        <v>50</v>
      </c>
      <c r="AG411" s="3" t="s">
        <v>74</v>
      </c>
      <c r="AH411" s="3" t="s">
        <v>75</v>
      </c>
      <c r="AI411" s="2">
        <v>1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 t="s">
        <v>61</v>
      </c>
      <c r="AP411" s="1">
        <f>1233</f>
        <v>1233</v>
      </c>
      <c r="AQ411" s="1">
        <f>160.7+190.9</f>
        <v>351.6</v>
      </c>
      <c r="AR411" s="4">
        <f t="shared" si="83"/>
        <v>0.22188564937523669</v>
      </c>
      <c r="AS411" s="18">
        <f t="shared" si="82"/>
        <v>299.83999999999997</v>
      </c>
      <c r="AT411">
        <f t="shared" si="81"/>
        <v>0.85278725824800894</v>
      </c>
      <c r="AU411">
        <f t="shared" si="84"/>
        <v>272.39999999999998</v>
      </c>
      <c r="AV411" s="9">
        <f t="shared" si="77"/>
        <v>0.77474402730375413</v>
      </c>
      <c r="AW411" s="13"/>
    </row>
    <row r="412" spans="1:49" x14ac:dyDescent="0.3">
      <c r="A412" s="23">
        <v>30</v>
      </c>
      <c r="B412" t="s">
        <v>42</v>
      </c>
      <c r="C412" s="1">
        <v>11222</v>
      </c>
      <c r="D412" t="s">
        <v>85</v>
      </c>
      <c r="E412" t="s">
        <v>118</v>
      </c>
      <c r="F412" t="s">
        <v>119</v>
      </c>
      <c r="G412" s="2">
        <v>1977</v>
      </c>
      <c r="H412" s="2" t="s">
        <v>69</v>
      </c>
      <c r="I412" s="2" t="str">
        <f t="shared" si="78"/>
        <v>1950-1980</v>
      </c>
      <c r="J412" s="2">
        <v>18</v>
      </c>
      <c r="K412" s="2">
        <f t="shared" si="76"/>
        <v>20</v>
      </c>
      <c r="L412" s="2">
        <v>87</v>
      </c>
      <c r="M412" s="2">
        <v>69</v>
      </c>
      <c r="N412" s="2">
        <v>3</v>
      </c>
      <c r="O412" s="2">
        <v>0</v>
      </c>
      <c r="P412" s="2">
        <v>3</v>
      </c>
      <c r="Q412" s="2">
        <v>1</v>
      </c>
      <c r="R412" s="2">
        <v>10</v>
      </c>
      <c r="S412" s="2">
        <v>10</v>
      </c>
      <c r="V412" s="1">
        <v>478</v>
      </c>
      <c r="W412" s="2">
        <v>1489.8</v>
      </c>
      <c r="X412" s="2">
        <v>253.3</v>
      </c>
      <c r="Y412" s="1">
        <v>1290.5999999999999</v>
      </c>
      <c r="Z412" s="2" t="s">
        <v>153</v>
      </c>
      <c r="AA412" s="2">
        <v>4</v>
      </c>
      <c r="AB412" s="2">
        <v>0</v>
      </c>
      <c r="AD412" s="3" t="s">
        <v>91</v>
      </c>
      <c r="AE412" s="3" t="s">
        <v>92</v>
      </c>
      <c r="AF412" s="3" t="s">
        <v>50</v>
      </c>
      <c r="AG412" s="3" t="s">
        <v>74</v>
      </c>
      <c r="AH412" s="3" t="s">
        <v>75</v>
      </c>
      <c r="AI412" s="2">
        <v>1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 t="s">
        <v>76</v>
      </c>
      <c r="AP412" s="1">
        <v>751</v>
      </c>
      <c r="AQ412" s="1">
        <f>111+33</f>
        <v>144</v>
      </c>
      <c r="AR412" s="4">
        <f t="shared" si="83"/>
        <v>0.16089385474860335</v>
      </c>
      <c r="AS412" s="18">
        <f t="shared" si="82"/>
        <v>206.49599999999998</v>
      </c>
      <c r="AT412">
        <f t="shared" si="81"/>
        <v>1.4339999999999999</v>
      </c>
      <c r="AU412">
        <f t="shared" si="84"/>
        <v>156.63</v>
      </c>
      <c r="AV412" s="9">
        <f t="shared" si="77"/>
        <v>1.0877083333333333</v>
      </c>
      <c r="AW412" s="13"/>
    </row>
    <row r="413" spans="1:49" x14ac:dyDescent="0.3">
      <c r="A413" s="23">
        <v>29</v>
      </c>
      <c r="B413" t="s">
        <v>42</v>
      </c>
      <c r="C413" s="1">
        <v>11222</v>
      </c>
      <c r="D413" t="s">
        <v>85</v>
      </c>
      <c r="E413" t="s">
        <v>118</v>
      </c>
      <c r="F413" t="s">
        <v>119</v>
      </c>
      <c r="G413" s="2">
        <v>1978</v>
      </c>
      <c r="H413" s="2" t="s">
        <v>69</v>
      </c>
      <c r="I413" s="2" t="str">
        <f t="shared" si="78"/>
        <v>1950-1980</v>
      </c>
      <c r="J413" s="2">
        <v>12</v>
      </c>
      <c r="K413" s="2">
        <f t="shared" si="76"/>
        <v>10</v>
      </c>
      <c r="L413" s="2">
        <v>60</v>
      </c>
      <c r="M413" s="2">
        <v>48</v>
      </c>
      <c r="N413" s="2">
        <v>3</v>
      </c>
      <c r="O413" s="2">
        <v>0</v>
      </c>
      <c r="P413" s="2">
        <v>2</v>
      </c>
      <c r="Q413" s="2">
        <v>1</v>
      </c>
      <c r="R413" s="2">
        <v>10</v>
      </c>
      <c r="S413" s="2">
        <v>10</v>
      </c>
      <c r="V413" s="1">
        <v>329</v>
      </c>
      <c r="W413" s="2">
        <v>1029.4000000000001</v>
      </c>
      <c r="X413" s="2">
        <v>138.69999999999999</v>
      </c>
      <c r="Y413" s="1">
        <v>788</v>
      </c>
      <c r="Z413" s="2" t="s">
        <v>153</v>
      </c>
      <c r="AA413" s="2">
        <v>4</v>
      </c>
      <c r="AB413" s="2">
        <v>0</v>
      </c>
      <c r="AD413" s="3" t="s">
        <v>139</v>
      </c>
      <c r="AE413" s="3" t="s">
        <v>139</v>
      </c>
      <c r="AF413" s="3" t="s">
        <v>50</v>
      </c>
      <c r="AG413" s="3" t="s">
        <v>139</v>
      </c>
      <c r="AH413" s="3" t="s">
        <v>75</v>
      </c>
      <c r="AI413" s="2">
        <v>1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 t="s">
        <v>84</v>
      </c>
      <c r="AP413" s="16">
        <v>335</v>
      </c>
      <c r="AQ413" s="16">
        <v>122</v>
      </c>
      <c r="AR413" s="4">
        <f t="shared" si="83"/>
        <v>0.26695842450765866</v>
      </c>
      <c r="AS413" s="18">
        <f t="shared" si="82"/>
        <v>126.08</v>
      </c>
      <c r="AT413">
        <f t="shared" si="81"/>
        <v>1.0334426229508196</v>
      </c>
      <c r="AU413">
        <f t="shared" si="84"/>
        <v>108.96000000000001</v>
      </c>
      <c r="AV413" s="9">
        <f t="shared" si="77"/>
        <v>0.89311475409836072</v>
      </c>
      <c r="AW413" s="13"/>
    </row>
    <row r="414" spans="1:49" x14ac:dyDescent="0.3">
      <c r="A414" s="23">
        <v>165</v>
      </c>
      <c r="B414" t="s">
        <v>42</v>
      </c>
      <c r="C414" s="1">
        <v>11222</v>
      </c>
      <c r="D414" t="s">
        <v>85</v>
      </c>
      <c r="E414" t="s">
        <v>118</v>
      </c>
      <c r="F414" t="s">
        <v>224</v>
      </c>
      <c r="G414" s="2">
        <v>1980</v>
      </c>
      <c r="H414" s="2" t="s">
        <v>69</v>
      </c>
      <c r="I414" s="2" t="str">
        <f t="shared" si="78"/>
        <v>1950-1980</v>
      </c>
      <c r="J414" s="2">
        <v>18</v>
      </c>
      <c r="K414" s="2">
        <f t="shared" si="76"/>
        <v>20</v>
      </c>
      <c r="L414" s="2">
        <v>76</v>
      </c>
      <c r="M414" s="2">
        <v>58</v>
      </c>
      <c r="N414" s="2">
        <v>3</v>
      </c>
      <c r="O414" s="2">
        <v>0</v>
      </c>
      <c r="P414" s="2">
        <v>3</v>
      </c>
      <c r="Q414" s="2">
        <v>1</v>
      </c>
      <c r="R414" s="2">
        <v>12.4</v>
      </c>
      <c r="S414" s="2">
        <v>12.5</v>
      </c>
      <c r="T414" s="2">
        <v>9.9</v>
      </c>
      <c r="U414" s="2">
        <v>48.8</v>
      </c>
      <c r="V414" s="1">
        <v>474</v>
      </c>
      <c r="W414" s="2">
        <v>1531.1</v>
      </c>
      <c r="X414" s="2">
        <v>504.2</v>
      </c>
      <c r="Y414" s="1">
        <v>1152</v>
      </c>
      <c r="Z414" s="2" t="s">
        <v>153</v>
      </c>
      <c r="AA414" s="2">
        <v>4</v>
      </c>
      <c r="AB414" s="2">
        <v>0</v>
      </c>
      <c r="AC414" s="2">
        <v>0</v>
      </c>
      <c r="AD414" s="3" t="s">
        <v>126</v>
      </c>
      <c r="AE414" s="3" t="s">
        <v>115</v>
      </c>
      <c r="AF414" s="3" t="s">
        <v>50</v>
      </c>
      <c r="AG414" s="3" t="s">
        <v>67</v>
      </c>
      <c r="AH414" s="3" t="s">
        <v>75</v>
      </c>
      <c r="AI414" s="2">
        <v>0</v>
      </c>
      <c r="AJ414" s="2">
        <v>1</v>
      </c>
      <c r="AK414" s="2">
        <v>0</v>
      </c>
      <c r="AL414" s="2">
        <v>0</v>
      </c>
      <c r="AM414" s="2">
        <v>0</v>
      </c>
      <c r="AN414" s="2">
        <v>0</v>
      </c>
      <c r="AO414" s="2" t="s">
        <v>61</v>
      </c>
      <c r="AP414" s="1">
        <f>691.5+167.4</f>
        <v>858.9</v>
      </c>
      <c r="AQ414" s="1">
        <f>110.3+78.8</f>
        <v>189.1</v>
      </c>
      <c r="AR414" s="4">
        <f t="shared" si="83"/>
        <v>0.18043893129770991</v>
      </c>
      <c r="AS414" s="18">
        <f t="shared" si="82"/>
        <v>184.32</v>
      </c>
      <c r="AT414">
        <f t="shared" si="81"/>
        <v>0.97472236911686938</v>
      </c>
      <c r="AU414">
        <f t="shared" si="84"/>
        <v>131.66</v>
      </c>
      <c r="AV414" s="9">
        <f t="shared" si="77"/>
        <v>0.69624537281861454</v>
      </c>
      <c r="AW414" s="13"/>
    </row>
    <row r="415" spans="1:49" x14ac:dyDescent="0.3">
      <c r="A415" s="23">
        <v>51</v>
      </c>
      <c r="B415" t="s">
        <v>42</v>
      </c>
      <c r="C415" s="1">
        <v>11222</v>
      </c>
      <c r="D415" t="s">
        <v>180</v>
      </c>
      <c r="E415" t="s">
        <v>181</v>
      </c>
      <c r="F415" t="s">
        <v>182</v>
      </c>
      <c r="G415" s="2">
        <v>1986</v>
      </c>
      <c r="H415" s="2" t="s">
        <v>131</v>
      </c>
      <c r="I415" s="2" t="str">
        <f t="shared" si="78"/>
        <v>&gt;1980</v>
      </c>
      <c r="J415" s="2">
        <v>18</v>
      </c>
      <c r="K415" s="2">
        <f t="shared" si="76"/>
        <v>20</v>
      </c>
      <c r="L415" s="2">
        <v>88</v>
      </c>
      <c r="M415" s="2">
        <v>70</v>
      </c>
      <c r="N415" s="2">
        <v>3</v>
      </c>
      <c r="O415" s="2">
        <v>0</v>
      </c>
      <c r="P415" s="2">
        <v>3</v>
      </c>
      <c r="Q415" s="2">
        <v>1</v>
      </c>
      <c r="R415" s="2">
        <v>11</v>
      </c>
      <c r="S415" s="2">
        <v>11</v>
      </c>
      <c r="V415" s="1">
        <v>480</v>
      </c>
      <c r="W415" s="2">
        <v>1434.7</v>
      </c>
      <c r="X415" s="2">
        <v>415.4</v>
      </c>
      <c r="Y415" s="1">
        <v>1152.9000000000001</v>
      </c>
      <c r="Z415" s="2" t="s">
        <v>153</v>
      </c>
      <c r="AA415" s="2">
        <v>4</v>
      </c>
      <c r="AB415" s="2">
        <v>0</v>
      </c>
      <c r="AD415" s="3" t="s">
        <v>58</v>
      </c>
      <c r="AE415" s="3" t="s">
        <v>115</v>
      </c>
      <c r="AF415" s="3" t="s">
        <v>50</v>
      </c>
      <c r="AG415" s="3" t="s">
        <v>74</v>
      </c>
      <c r="AH415" s="3" t="s">
        <v>75</v>
      </c>
      <c r="AI415" s="2">
        <v>1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 t="s">
        <v>84</v>
      </c>
      <c r="AP415" s="1">
        <v>892.4</v>
      </c>
      <c r="AQ415" s="1">
        <f>66.4+105.6</f>
        <v>172</v>
      </c>
      <c r="AR415" s="4">
        <f t="shared" si="83"/>
        <v>0.16159338594513339</v>
      </c>
      <c r="AS415" s="18">
        <f t="shared" si="82"/>
        <v>184.46400000000003</v>
      </c>
      <c r="AT415">
        <f t="shared" si="81"/>
        <v>1.0724651162790699</v>
      </c>
      <c r="AU415">
        <f t="shared" si="84"/>
        <v>158.9</v>
      </c>
      <c r="AV415" s="9">
        <f t="shared" si="77"/>
        <v>0.9238372093023256</v>
      </c>
      <c r="AW415" s="13"/>
    </row>
    <row r="416" spans="1:49" x14ac:dyDescent="0.3">
      <c r="A416" s="23">
        <v>146</v>
      </c>
      <c r="B416" t="s">
        <v>42</v>
      </c>
      <c r="C416" s="1">
        <v>11222</v>
      </c>
      <c r="D416" t="s">
        <v>54</v>
      </c>
      <c r="E416" t="s">
        <v>89</v>
      </c>
      <c r="F416" t="s">
        <v>176</v>
      </c>
      <c r="G416" s="2">
        <v>1986</v>
      </c>
      <c r="H416" s="2" t="s">
        <v>131</v>
      </c>
      <c r="I416" s="2" t="str">
        <f t="shared" si="78"/>
        <v>&gt;1980</v>
      </c>
      <c r="J416" s="2">
        <v>12</v>
      </c>
      <c r="K416" s="2">
        <f t="shared" si="76"/>
        <v>10</v>
      </c>
      <c r="L416" s="2">
        <v>64</v>
      </c>
      <c r="M416" s="2">
        <v>52</v>
      </c>
      <c r="N416" s="2">
        <v>3</v>
      </c>
      <c r="O416" s="2">
        <v>0</v>
      </c>
      <c r="P416" s="2">
        <v>2</v>
      </c>
      <c r="Q416" s="2">
        <v>1</v>
      </c>
      <c r="R416" s="2">
        <v>11.5</v>
      </c>
      <c r="S416" s="2">
        <v>11.5</v>
      </c>
      <c r="T416" s="2">
        <v>11.7</v>
      </c>
      <c r="U416" s="2">
        <v>38.700000000000003</v>
      </c>
      <c r="V416" s="1">
        <v>414</v>
      </c>
      <c r="W416" s="2">
        <v>1150.8</v>
      </c>
      <c r="X416" s="2">
        <v>313.2</v>
      </c>
      <c r="Y416" s="1">
        <v>861.8</v>
      </c>
      <c r="Z416" s="2" t="s">
        <v>153</v>
      </c>
      <c r="AA416" s="2">
        <v>10</v>
      </c>
      <c r="AB416" s="2">
        <v>6</v>
      </c>
      <c r="AD416" s="3" t="s">
        <v>126</v>
      </c>
      <c r="AE416" s="3" t="s">
        <v>115</v>
      </c>
      <c r="AF416" s="3" t="s">
        <v>65</v>
      </c>
      <c r="AG416" s="3" t="s">
        <v>60</v>
      </c>
      <c r="AH416" s="3" t="s">
        <v>75</v>
      </c>
      <c r="AI416" s="2">
        <v>0</v>
      </c>
      <c r="AJ416" s="2">
        <v>1</v>
      </c>
      <c r="AK416" s="2">
        <v>0</v>
      </c>
      <c r="AL416" s="2">
        <v>1</v>
      </c>
      <c r="AM416" s="2">
        <v>0</v>
      </c>
      <c r="AN416" s="2">
        <v>0</v>
      </c>
      <c r="AO416" s="2" t="s">
        <v>76</v>
      </c>
      <c r="AP416" s="1">
        <f>609.9</f>
        <v>609.9</v>
      </c>
      <c r="AQ416" s="1">
        <f>59.2+66.7</f>
        <v>125.9</v>
      </c>
      <c r="AR416" s="4">
        <f t="shared" si="83"/>
        <v>0.1711062788801305</v>
      </c>
      <c r="AS416" s="18">
        <f t="shared" si="82"/>
        <v>137.88800000000001</v>
      </c>
      <c r="AT416">
        <f t="shared" si="81"/>
        <v>1.0952184273232723</v>
      </c>
      <c r="AU416">
        <f t="shared" si="84"/>
        <v>118.04</v>
      </c>
      <c r="AV416" s="9">
        <f t="shared" si="77"/>
        <v>0.9375694996028594</v>
      </c>
      <c r="AW416" s="13"/>
    </row>
    <row r="417" spans="1:49" x14ac:dyDescent="0.3">
      <c r="A417" s="23">
        <v>390</v>
      </c>
      <c r="B417" t="s">
        <v>42</v>
      </c>
      <c r="C417" s="1">
        <v>11222</v>
      </c>
      <c r="D417" t="s">
        <v>54</v>
      </c>
      <c r="E417" t="s">
        <v>89</v>
      </c>
      <c r="F417" t="s">
        <v>218</v>
      </c>
      <c r="G417" s="2">
        <v>1975</v>
      </c>
      <c r="H417" s="2" t="s">
        <v>69</v>
      </c>
      <c r="I417" s="2" t="str">
        <f t="shared" si="78"/>
        <v>1950-1980</v>
      </c>
      <c r="J417" s="2">
        <v>16</v>
      </c>
      <c r="K417" s="2">
        <f t="shared" si="76"/>
        <v>20</v>
      </c>
      <c r="L417" s="2">
        <v>80</v>
      </c>
      <c r="M417" s="2">
        <v>64</v>
      </c>
      <c r="N417" s="2">
        <v>2</v>
      </c>
      <c r="O417" s="2">
        <v>0</v>
      </c>
      <c r="P417" s="2">
        <v>4</v>
      </c>
      <c r="Q417" s="2">
        <v>1</v>
      </c>
      <c r="R417" s="2">
        <v>8.5</v>
      </c>
      <c r="S417" s="2">
        <v>8.5</v>
      </c>
      <c r="T417" s="2">
        <v>10</v>
      </c>
      <c r="U417" s="2">
        <v>66.7</v>
      </c>
      <c r="V417" s="1">
        <v>664.6</v>
      </c>
      <c r="W417" s="2">
        <v>1553.6</v>
      </c>
      <c r="X417" s="2">
        <v>105.6</v>
      </c>
      <c r="Y417" s="1">
        <v>1047.0999999999999</v>
      </c>
      <c r="Z417" s="2" t="s">
        <v>153</v>
      </c>
      <c r="AA417" s="2">
        <v>4</v>
      </c>
      <c r="AB417" s="2">
        <v>0</v>
      </c>
      <c r="AC417" s="2">
        <v>0</v>
      </c>
      <c r="AD417" s="3" t="s">
        <v>219</v>
      </c>
      <c r="AE417" s="3" t="s">
        <v>115</v>
      </c>
      <c r="AF417" s="3" t="s">
        <v>83</v>
      </c>
      <c r="AG417" s="3" t="s">
        <v>220</v>
      </c>
      <c r="AH417" s="3" t="s">
        <v>100</v>
      </c>
      <c r="AI417" s="2">
        <v>0</v>
      </c>
      <c r="AJ417" s="2">
        <v>1</v>
      </c>
      <c r="AK417" s="2">
        <v>0</v>
      </c>
      <c r="AL417" s="2">
        <v>0</v>
      </c>
      <c r="AM417" s="2">
        <v>0</v>
      </c>
      <c r="AN417" s="2">
        <v>0</v>
      </c>
      <c r="AO417" s="2" t="s">
        <v>76</v>
      </c>
      <c r="AP417" s="1">
        <v>578</v>
      </c>
      <c r="AQ417" s="1">
        <f>91+97</f>
        <v>188</v>
      </c>
      <c r="AR417" s="4">
        <f t="shared" si="83"/>
        <v>0.24543080939947781</v>
      </c>
      <c r="AS417" s="18">
        <f t="shared" si="82"/>
        <v>167.53599999999997</v>
      </c>
      <c r="AT417">
        <f t="shared" si="81"/>
        <v>0.89114893617021262</v>
      </c>
      <c r="AU417">
        <f t="shared" si="84"/>
        <v>145.28</v>
      </c>
      <c r="AV417" s="9">
        <f t="shared" si="77"/>
        <v>0.77276595744680854</v>
      </c>
      <c r="AW417" s="13"/>
    </row>
    <row r="418" spans="1:49" x14ac:dyDescent="0.3">
      <c r="A418" s="23">
        <v>361</v>
      </c>
      <c r="B418" t="s">
        <v>42</v>
      </c>
      <c r="C418" s="1">
        <v>11222</v>
      </c>
      <c r="D418" t="s">
        <v>141</v>
      </c>
      <c r="E418" t="s">
        <v>223</v>
      </c>
      <c r="F418" t="s">
        <v>223</v>
      </c>
      <c r="G418" s="2">
        <v>1968</v>
      </c>
      <c r="H418" s="2" t="s">
        <v>57</v>
      </c>
      <c r="I418" s="2" t="str">
        <f t="shared" si="78"/>
        <v>1950-1980</v>
      </c>
      <c r="J418" s="2">
        <v>18</v>
      </c>
      <c r="K418" s="2">
        <f t="shared" si="76"/>
        <v>20</v>
      </c>
      <c r="L418" s="2">
        <v>72</v>
      </c>
      <c r="M418" s="2">
        <v>54</v>
      </c>
      <c r="N418" s="2">
        <v>3</v>
      </c>
      <c r="O418" s="2">
        <v>0</v>
      </c>
      <c r="P418" s="2">
        <v>2</v>
      </c>
      <c r="Q418" s="2">
        <v>1</v>
      </c>
      <c r="R418" s="2">
        <v>10</v>
      </c>
      <c r="S418" s="2">
        <v>10</v>
      </c>
      <c r="T418" s="2">
        <v>10.6</v>
      </c>
      <c r="U418" s="2">
        <v>33</v>
      </c>
      <c r="V418" s="1">
        <v>361</v>
      </c>
      <c r="W418" s="2">
        <v>1076.3</v>
      </c>
      <c r="X418" s="2">
        <v>286.2</v>
      </c>
      <c r="Y418" s="1">
        <v>813.9</v>
      </c>
      <c r="Z418" s="2" t="s">
        <v>153</v>
      </c>
      <c r="AA418" s="2">
        <v>4</v>
      </c>
      <c r="AB418" s="2">
        <v>0</v>
      </c>
      <c r="AC418" s="2">
        <v>0</v>
      </c>
      <c r="AD418" s="3" t="s">
        <v>58</v>
      </c>
      <c r="AE418" s="3" t="s">
        <v>49</v>
      </c>
      <c r="AF418" s="3" t="s">
        <v>59</v>
      </c>
      <c r="AG418" s="3" t="s">
        <v>74</v>
      </c>
      <c r="AH418" s="3" t="s">
        <v>75</v>
      </c>
      <c r="AI418" s="2">
        <v>1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 t="s">
        <v>53</v>
      </c>
      <c r="AR418" s="4"/>
      <c r="AS418" s="18" t="str">
        <f t="shared" si="82"/>
        <v/>
      </c>
      <c r="AT418" t="str">
        <f t="shared" si="81"/>
        <v/>
      </c>
      <c r="AU418" t="str">
        <f>IF(AQ418&lt;&gt;"",2.3*M418,"")</f>
        <v/>
      </c>
      <c r="AV418" s="9" t="str">
        <f t="shared" si="77"/>
        <v/>
      </c>
      <c r="AW418" s="13"/>
    </row>
    <row r="419" spans="1:49" x14ac:dyDescent="0.3">
      <c r="C419" s="2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Z419"/>
      <c r="AA419"/>
      <c r="AB419"/>
      <c r="AC419"/>
      <c r="AJ419"/>
      <c r="AK419"/>
      <c r="AL419"/>
      <c r="AM419"/>
      <c r="AN419"/>
      <c r="AO419"/>
      <c r="AP419" s="2"/>
      <c r="AQ419" s="2"/>
      <c r="AR419" s="2"/>
    </row>
    <row r="420" spans="1:49" x14ac:dyDescent="0.3">
      <c r="C420" s="2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Z420"/>
      <c r="AA420"/>
      <c r="AB420"/>
      <c r="AC420"/>
      <c r="AJ420"/>
      <c r="AK420"/>
      <c r="AL420"/>
      <c r="AM420"/>
      <c r="AN420"/>
      <c r="AO420"/>
      <c r="AP420" s="2"/>
      <c r="AQ420" s="2"/>
      <c r="AR420" s="2"/>
    </row>
    <row r="421" spans="1:49" x14ac:dyDescent="0.3">
      <c r="C421" s="2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Z421"/>
      <c r="AA421"/>
      <c r="AB421"/>
      <c r="AC421"/>
      <c r="AJ421"/>
      <c r="AK421"/>
      <c r="AL421"/>
      <c r="AM421"/>
      <c r="AN421"/>
      <c r="AO421"/>
      <c r="AP421" s="2"/>
      <c r="AQ421" s="2"/>
      <c r="AR421" s="2"/>
    </row>
    <row r="422" spans="1:49" x14ac:dyDescent="0.3">
      <c r="C422" s="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Z422"/>
      <c r="AA422"/>
      <c r="AB422"/>
      <c r="AC422"/>
      <c r="AJ422"/>
      <c r="AK422"/>
      <c r="AL422"/>
      <c r="AM422"/>
      <c r="AN422"/>
      <c r="AO422"/>
      <c r="AP422" s="2"/>
      <c r="AQ422" s="2"/>
      <c r="AR422" s="2"/>
    </row>
    <row r="423" spans="1:49" x14ac:dyDescent="0.3">
      <c r="C423" s="2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Z423"/>
      <c r="AA423"/>
      <c r="AB423"/>
      <c r="AC423"/>
      <c r="AJ423"/>
      <c r="AK423"/>
      <c r="AL423"/>
      <c r="AM423"/>
      <c r="AN423"/>
      <c r="AO423"/>
      <c r="AP423" s="2"/>
      <c r="AQ423" s="2"/>
      <c r="AR423" s="2"/>
    </row>
    <row r="424" spans="1:49" x14ac:dyDescent="0.3">
      <c r="C424" s="2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Z424"/>
      <c r="AA424"/>
      <c r="AB424"/>
      <c r="AC424"/>
      <c r="AJ424"/>
      <c r="AK424"/>
      <c r="AL424"/>
      <c r="AM424"/>
      <c r="AN424"/>
      <c r="AO424"/>
      <c r="AP424" s="2"/>
      <c r="AQ424" s="2"/>
      <c r="AR424" s="2"/>
    </row>
    <row r="425" spans="1:49" x14ac:dyDescent="0.3">
      <c r="C425" s="2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Z425"/>
      <c r="AA425"/>
      <c r="AB425"/>
      <c r="AC425"/>
      <c r="AJ425"/>
      <c r="AK425"/>
      <c r="AL425"/>
      <c r="AM425"/>
      <c r="AN425"/>
      <c r="AO425"/>
      <c r="AP425" s="2"/>
      <c r="AQ425" s="2"/>
      <c r="AR425" s="2"/>
    </row>
    <row r="426" spans="1:49" x14ac:dyDescent="0.3">
      <c r="C426" s="2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Z426"/>
      <c r="AA426"/>
      <c r="AB426"/>
      <c r="AC426"/>
      <c r="AJ426"/>
      <c r="AK426"/>
      <c r="AL426"/>
      <c r="AM426"/>
      <c r="AN426"/>
      <c r="AO426"/>
      <c r="AP426" s="2"/>
      <c r="AQ426" s="2"/>
      <c r="AR426" s="2"/>
    </row>
    <row r="427" spans="1:49" x14ac:dyDescent="0.3">
      <c r="C427" s="2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Z427"/>
      <c r="AA427"/>
      <c r="AB427"/>
      <c r="AC427"/>
      <c r="AJ427"/>
      <c r="AK427"/>
      <c r="AL427"/>
      <c r="AM427"/>
      <c r="AN427"/>
      <c r="AO427"/>
      <c r="AP427" s="2"/>
      <c r="AQ427" s="2"/>
      <c r="AR427" s="2"/>
    </row>
    <row r="428" spans="1:49" x14ac:dyDescent="0.3">
      <c r="C428" s="2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Z428"/>
      <c r="AA428"/>
      <c r="AB428"/>
      <c r="AC428"/>
      <c r="AJ428"/>
      <c r="AK428"/>
      <c r="AL428"/>
      <c r="AM428"/>
      <c r="AN428"/>
      <c r="AO428"/>
      <c r="AP428" s="2"/>
      <c r="AQ428" s="2"/>
      <c r="AR428" s="2"/>
    </row>
    <row r="429" spans="1:49" x14ac:dyDescent="0.3">
      <c r="C429" s="2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Z429"/>
      <c r="AA429"/>
      <c r="AB429"/>
      <c r="AC429"/>
      <c r="AJ429"/>
      <c r="AK429"/>
      <c r="AL429"/>
      <c r="AM429"/>
      <c r="AN429"/>
      <c r="AO429"/>
      <c r="AP429" s="2"/>
      <c r="AQ429" s="2"/>
      <c r="AR429" s="2"/>
    </row>
    <row r="430" spans="1:49" x14ac:dyDescent="0.3">
      <c r="C430" s="2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Z430"/>
      <c r="AA430"/>
      <c r="AB430"/>
      <c r="AC430"/>
      <c r="AJ430"/>
      <c r="AK430"/>
      <c r="AL430"/>
      <c r="AM430"/>
      <c r="AN430"/>
      <c r="AO430"/>
      <c r="AP430" s="2"/>
      <c r="AQ430" s="2"/>
      <c r="AR430" s="2"/>
    </row>
    <row r="431" spans="1:49" x14ac:dyDescent="0.3">
      <c r="C431" s="2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Z431"/>
      <c r="AA431"/>
      <c r="AB431"/>
      <c r="AC431"/>
      <c r="AJ431"/>
      <c r="AK431"/>
      <c r="AL431"/>
      <c r="AM431"/>
      <c r="AN431"/>
      <c r="AO431"/>
      <c r="AP431" s="2"/>
      <c r="AQ431" s="2"/>
      <c r="AR431" s="2"/>
    </row>
    <row r="432" spans="1:49" x14ac:dyDescent="0.3">
      <c r="C432" s="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Z432"/>
      <c r="AA432"/>
      <c r="AB432"/>
      <c r="AC432"/>
      <c r="AJ432"/>
      <c r="AK432"/>
      <c r="AL432"/>
      <c r="AM432"/>
      <c r="AN432"/>
      <c r="AO432"/>
      <c r="AP432" s="2"/>
      <c r="AQ432" s="2"/>
      <c r="AR432" s="2"/>
    </row>
    <row r="433" spans="3:44" x14ac:dyDescent="0.3">
      <c r="C433" s="2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Z433"/>
      <c r="AA433"/>
      <c r="AB433"/>
      <c r="AC433"/>
      <c r="AJ433"/>
      <c r="AK433"/>
      <c r="AL433"/>
      <c r="AM433"/>
      <c r="AN433"/>
      <c r="AO433"/>
      <c r="AP433" s="2"/>
      <c r="AQ433" s="2"/>
      <c r="AR433" s="2"/>
    </row>
    <row r="434" spans="3:44" x14ac:dyDescent="0.3">
      <c r="C434" s="2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Z434"/>
      <c r="AA434"/>
      <c r="AB434"/>
      <c r="AC434"/>
      <c r="AJ434"/>
      <c r="AK434"/>
      <c r="AL434"/>
      <c r="AM434"/>
      <c r="AN434"/>
      <c r="AO434"/>
      <c r="AP434" s="2"/>
      <c r="AQ434" s="2"/>
      <c r="AR434" s="2"/>
    </row>
    <row r="435" spans="3:44" x14ac:dyDescent="0.3">
      <c r="C435" s="2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Z435"/>
      <c r="AA435"/>
      <c r="AB435"/>
      <c r="AC435"/>
      <c r="AJ435"/>
      <c r="AK435"/>
      <c r="AL435"/>
      <c r="AM435"/>
      <c r="AN435"/>
      <c r="AO435"/>
      <c r="AP435" s="2"/>
      <c r="AQ435" s="2"/>
      <c r="AR435" s="2"/>
    </row>
    <row r="436" spans="3:44" x14ac:dyDescent="0.3">
      <c r="C436" s="2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Z436"/>
      <c r="AA436"/>
      <c r="AB436"/>
      <c r="AC436"/>
      <c r="AJ436"/>
      <c r="AK436"/>
      <c r="AL436"/>
      <c r="AM436"/>
      <c r="AN436"/>
      <c r="AO436"/>
      <c r="AP436" s="2"/>
      <c r="AQ436" s="2"/>
      <c r="AR436" s="2"/>
    </row>
    <row r="437" spans="3:44" x14ac:dyDescent="0.3">
      <c r="C437" s="2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Z437"/>
      <c r="AA437"/>
      <c r="AB437"/>
      <c r="AC437"/>
      <c r="AJ437"/>
      <c r="AK437"/>
      <c r="AL437"/>
      <c r="AM437"/>
      <c r="AN437"/>
      <c r="AO437"/>
      <c r="AP437" s="2"/>
      <c r="AQ437" s="2"/>
      <c r="AR437" s="2"/>
    </row>
    <row r="438" spans="3:44" x14ac:dyDescent="0.3">
      <c r="C438" s="2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Z438"/>
      <c r="AA438"/>
      <c r="AB438"/>
      <c r="AC438"/>
      <c r="AJ438"/>
      <c r="AK438"/>
      <c r="AL438"/>
      <c r="AM438"/>
      <c r="AN438"/>
      <c r="AO438"/>
      <c r="AP438" s="2"/>
      <c r="AQ438" s="2"/>
      <c r="AR438" s="2"/>
    </row>
    <row r="439" spans="3:44" x14ac:dyDescent="0.3">
      <c r="C439" s="2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Z439"/>
      <c r="AA439"/>
      <c r="AB439"/>
      <c r="AC439"/>
      <c r="AJ439"/>
      <c r="AK439"/>
      <c r="AL439"/>
      <c r="AM439"/>
      <c r="AN439"/>
      <c r="AO439"/>
      <c r="AP439" s="2"/>
      <c r="AQ439" s="2"/>
      <c r="AR439" s="2"/>
    </row>
    <row r="440" spans="3:44" x14ac:dyDescent="0.3">
      <c r="C440" s="2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Z440"/>
      <c r="AA440"/>
      <c r="AB440"/>
      <c r="AC440"/>
      <c r="AJ440"/>
      <c r="AK440"/>
      <c r="AL440"/>
      <c r="AM440"/>
      <c r="AN440"/>
      <c r="AO440"/>
      <c r="AP440" s="2"/>
      <c r="AQ440" s="2"/>
      <c r="AR440" s="2"/>
    </row>
    <row r="441" spans="3:44" x14ac:dyDescent="0.3">
      <c r="C441" s="2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Z441"/>
      <c r="AA441"/>
      <c r="AB441"/>
      <c r="AC441"/>
      <c r="AJ441"/>
      <c r="AK441"/>
      <c r="AL441"/>
      <c r="AM441"/>
      <c r="AN441"/>
      <c r="AO441"/>
      <c r="AP441" s="2"/>
      <c r="AQ441" s="2"/>
      <c r="AR441" s="2"/>
    </row>
    <row r="442" spans="3:44" x14ac:dyDescent="0.3">
      <c r="C442" s="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Z442"/>
      <c r="AA442"/>
      <c r="AB442"/>
      <c r="AC442"/>
      <c r="AJ442"/>
      <c r="AK442"/>
      <c r="AL442"/>
      <c r="AM442"/>
      <c r="AN442"/>
      <c r="AO442"/>
      <c r="AP442" s="2"/>
      <c r="AQ442" s="2"/>
      <c r="AR442" s="2"/>
    </row>
    <row r="443" spans="3:44" x14ac:dyDescent="0.3">
      <c r="C443" s="2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Z443"/>
      <c r="AA443"/>
      <c r="AB443"/>
      <c r="AC443"/>
      <c r="AJ443"/>
      <c r="AK443"/>
      <c r="AL443"/>
      <c r="AM443"/>
      <c r="AN443"/>
      <c r="AO443"/>
      <c r="AP443" s="2"/>
      <c r="AQ443" s="2"/>
      <c r="AR443" s="2"/>
    </row>
    <row r="444" spans="3:44" x14ac:dyDescent="0.3">
      <c r="C444" s="2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Z444"/>
      <c r="AA444"/>
      <c r="AB444"/>
      <c r="AC444"/>
      <c r="AJ444"/>
      <c r="AK444"/>
      <c r="AL444"/>
      <c r="AM444"/>
      <c r="AN444"/>
      <c r="AO444"/>
      <c r="AP444" s="2"/>
      <c r="AQ444" s="2"/>
      <c r="AR444" s="2"/>
    </row>
    <row r="445" spans="3:44" x14ac:dyDescent="0.3">
      <c r="C445" s="2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Z445"/>
      <c r="AA445"/>
      <c r="AB445"/>
      <c r="AC445"/>
      <c r="AJ445"/>
      <c r="AK445"/>
      <c r="AL445"/>
      <c r="AM445"/>
      <c r="AN445"/>
      <c r="AO445"/>
      <c r="AP445" s="2"/>
      <c r="AQ445" s="2"/>
      <c r="AR445" s="2"/>
    </row>
    <row r="446" spans="3:44" x14ac:dyDescent="0.3">
      <c r="C446" s="2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Z446"/>
      <c r="AA446"/>
      <c r="AB446"/>
      <c r="AC446"/>
      <c r="AJ446"/>
      <c r="AK446"/>
      <c r="AL446"/>
      <c r="AM446"/>
      <c r="AN446"/>
      <c r="AO446"/>
      <c r="AP446" s="2"/>
      <c r="AQ446" s="2"/>
      <c r="AR446" s="2"/>
    </row>
    <row r="447" spans="3:44" x14ac:dyDescent="0.3">
      <c r="C447" s="2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Z447"/>
      <c r="AA447"/>
      <c r="AB447"/>
      <c r="AC447"/>
      <c r="AJ447"/>
      <c r="AK447"/>
      <c r="AL447"/>
      <c r="AM447"/>
      <c r="AN447"/>
      <c r="AO447"/>
      <c r="AP447" s="2"/>
      <c r="AQ447" s="2"/>
      <c r="AR447" s="2"/>
    </row>
    <row r="448" spans="3:44" x14ac:dyDescent="0.3">
      <c r="C448" s="2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Z448"/>
      <c r="AA448"/>
      <c r="AB448"/>
      <c r="AC448"/>
      <c r="AJ448"/>
      <c r="AK448"/>
      <c r="AL448"/>
      <c r="AM448"/>
      <c r="AN448"/>
      <c r="AO448"/>
      <c r="AP448" s="2"/>
      <c r="AQ448" s="2"/>
      <c r="AR448" s="2"/>
    </row>
    <row r="449" spans="3:44" x14ac:dyDescent="0.3">
      <c r="C449" s="2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Z449"/>
      <c r="AA449"/>
      <c r="AB449"/>
      <c r="AC449"/>
      <c r="AJ449"/>
      <c r="AK449"/>
      <c r="AL449"/>
      <c r="AM449"/>
      <c r="AN449"/>
      <c r="AO449"/>
      <c r="AP449" s="2"/>
      <c r="AQ449" s="2"/>
      <c r="AR449" s="2"/>
    </row>
    <row r="450" spans="3:44" x14ac:dyDescent="0.3">
      <c r="C450" s="2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Z450"/>
      <c r="AA450"/>
      <c r="AB450"/>
      <c r="AC450"/>
      <c r="AJ450"/>
      <c r="AK450"/>
      <c r="AL450"/>
      <c r="AM450"/>
      <c r="AN450"/>
      <c r="AO450"/>
      <c r="AP450" s="2"/>
      <c r="AQ450" s="2"/>
      <c r="AR450" s="2"/>
    </row>
    <row r="451" spans="3:44" x14ac:dyDescent="0.3">
      <c r="C451" s="2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Z451"/>
      <c r="AA451"/>
      <c r="AB451"/>
      <c r="AC451"/>
      <c r="AJ451"/>
      <c r="AK451"/>
      <c r="AL451"/>
      <c r="AM451"/>
      <c r="AN451"/>
      <c r="AO451"/>
      <c r="AP451" s="2"/>
      <c r="AQ451" s="2"/>
      <c r="AR451" s="2"/>
    </row>
    <row r="452" spans="3:44" x14ac:dyDescent="0.3">
      <c r="C452" s="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Z452"/>
      <c r="AA452"/>
      <c r="AB452"/>
      <c r="AC452"/>
      <c r="AJ452"/>
      <c r="AK452"/>
      <c r="AL452"/>
      <c r="AM452"/>
      <c r="AN452"/>
      <c r="AO452"/>
      <c r="AP452" s="2"/>
      <c r="AQ452" s="2"/>
      <c r="AR452" s="2"/>
    </row>
    <row r="453" spans="3:44" x14ac:dyDescent="0.3">
      <c r="C453" s="2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Z453"/>
      <c r="AA453"/>
      <c r="AB453"/>
      <c r="AC453"/>
      <c r="AJ453"/>
      <c r="AK453"/>
      <c r="AL453"/>
      <c r="AM453"/>
      <c r="AN453"/>
      <c r="AO453"/>
      <c r="AP453" s="2"/>
      <c r="AQ453" s="2"/>
      <c r="AR453" s="2"/>
    </row>
    <row r="454" spans="3:44" x14ac:dyDescent="0.3">
      <c r="C454" s="2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Z454"/>
      <c r="AA454"/>
      <c r="AB454"/>
      <c r="AC454"/>
      <c r="AJ454"/>
      <c r="AK454"/>
      <c r="AL454"/>
      <c r="AM454"/>
      <c r="AN454"/>
      <c r="AO454"/>
      <c r="AP454" s="2"/>
      <c r="AQ454" s="2"/>
      <c r="AR454" s="2"/>
    </row>
    <row r="455" spans="3:44" x14ac:dyDescent="0.3">
      <c r="C455" s="2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Z455"/>
      <c r="AA455"/>
      <c r="AB455"/>
      <c r="AC455"/>
      <c r="AJ455"/>
      <c r="AK455"/>
      <c r="AL455"/>
      <c r="AM455"/>
      <c r="AN455"/>
      <c r="AO455"/>
      <c r="AP455" s="2"/>
      <c r="AQ455" s="2"/>
      <c r="AR455" s="2"/>
    </row>
    <row r="456" spans="3:44" x14ac:dyDescent="0.3">
      <c r="C456" s="2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Z456"/>
      <c r="AA456"/>
      <c r="AB456"/>
      <c r="AC456"/>
      <c r="AJ456"/>
      <c r="AK456"/>
      <c r="AL456"/>
      <c r="AM456"/>
      <c r="AN456"/>
      <c r="AO456"/>
      <c r="AP456" s="2"/>
      <c r="AQ456" s="2"/>
      <c r="AR456" s="2"/>
    </row>
    <row r="457" spans="3:44" x14ac:dyDescent="0.3">
      <c r="C457" s="2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Z457"/>
      <c r="AA457"/>
      <c r="AB457"/>
      <c r="AC457"/>
      <c r="AJ457"/>
      <c r="AK457"/>
      <c r="AL457"/>
      <c r="AM457"/>
      <c r="AN457"/>
      <c r="AO457"/>
      <c r="AP457" s="2"/>
      <c r="AQ457" s="2"/>
      <c r="AR457" s="2"/>
    </row>
    <row r="458" spans="3:44" x14ac:dyDescent="0.3">
      <c r="C458" s="2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Z458"/>
      <c r="AA458"/>
      <c r="AB458"/>
      <c r="AC458"/>
      <c r="AJ458"/>
      <c r="AK458"/>
      <c r="AL458"/>
      <c r="AM458"/>
      <c r="AN458"/>
      <c r="AO458"/>
      <c r="AP458" s="2"/>
      <c r="AQ458" s="2"/>
      <c r="AR458" s="2"/>
    </row>
    <row r="459" spans="3:44" x14ac:dyDescent="0.3">
      <c r="C459" s="2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Z459"/>
      <c r="AA459"/>
      <c r="AB459"/>
      <c r="AC459"/>
      <c r="AJ459"/>
      <c r="AK459"/>
      <c r="AL459"/>
      <c r="AM459"/>
      <c r="AN459"/>
      <c r="AO459"/>
      <c r="AP459" s="2"/>
      <c r="AQ459" s="2"/>
      <c r="AR459" s="2"/>
    </row>
    <row r="460" spans="3:44" x14ac:dyDescent="0.3">
      <c r="C460" s="2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Z460"/>
      <c r="AA460"/>
      <c r="AB460"/>
      <c r="AC460"/>
      <c r="AJ460"/>
      <c r="AK460"/>
      <c r="AL460"/>
      <c r="AM460"/>
      <c r="AN460"/>
      <c r="AO460"/>
      <c r="AP460" s="2"/>
      <c r="AQ460" s="2"/>
      <c r="AR460" s="2"/>
    </row>
    <row r="461" spans="3:44" x14ac:dyDescent="0.3">
      <c r="C461" s="2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Z461"/>
      <c r="AA461"/>
      <c r="AB461"/>
      <c r="AC461"/>
      <c r="AJ461"/>
      <c r="AK461"/>
      <c r="AL461"/>
      <c r="AM461"/>
      <c r="AN461"/>
      <c r="AO461"/>
      <c r="AP461" s="2"/>
      <c r="AQ461" s="2"/>
      <c r="AR461" s="2"/>
    </row>
    <row r="462" spans="3:44" x14ac:dyDescent="0.3">
      <c r="C462" s="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Z462"/>
      <c r="AA462"/>
      <c r="AB462"/>
      <c r="AC462"/>
      <c r="AJ462"/>
      <c r="AK462"/>
      <c r="AL462"/>
      <c r="AM462"/>
      <c r="AN462"/>
      <c r="AO462"/>
      <c r="AP462" s="2"/>
      <c r="AQ462" s="2"/>
      <c r="AR462" s="2"/>
    </row>
    <row r="463" spans="3:44" x14ac:dyDescent="0.3">
      <c r="C463" s="2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Z463"/>
      <c r="AA463"/>
      <c r="AB463"/>
      <c r="AC463"/>
      <c r="AJ463"/>
      <c r="AK463"/>
      <c r="AL463"/>
      <c r="AM463"/>
      <c r="AN463"/>
      <c r="AO463"/>
      <c r="AP463" s="2"/>
      <c r="AQ463" s="2"/>
      <c r="AR463" s="2"/>
    </row>
    <row r="464" spans="3:44" x14ac:dyDescent="0.3">
      <c r="C464" s="2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Z464"/>
      <c r="AA464"/>
      <c r="AB464"/>
      <c r="AC464"/>
      <c r="AJ464"/>
      <c r="AK464"/>
      <c r="AL464"/>
      <c r="AM464"/>
      <c r="AN464"/>
      <c r="AO464"/>
      <c r="AP464" s="2"/>
      <c r="AQ464" s="2"/>
      <c r="AR464" s="2"/>
    </row>
    <row r="465" spans="3:44" x14ac:dyDescent="0.3">
      <c r="C465" s="2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Z465"/>
      <c r="AA465"/>
      <c r="AB465"/>
      <c r="AC465"/>
      <c r="AJ465"/>
      <c r="AK465"/>
      <c r="AL465"/>
      <c r="AM465"/>
      <c r="AN465"/>
      <c r="AO465"/>
      <c r="AP465" s="2"/>
      <c r="AQ465" s="2"/>
      <c r="AR465" s="2"/>
    </row>
    <row r="466" spans="3:44" x14ac:dyDescent="0.3">
      <c r="C466" s="2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Z466"/>
      <c r="AA466"/>
      <c r="AB466"/>
      <c r="AC466"/>
      <c r="AJ466"/>
      <c r="AK466"/>
      <c r="AL466"/>
      <c r="AM466"/>
      <c r="AN466"/>
      <c r="AO466"/>
      <c r="AP466" s="2"/>
      <c r="AQ466" s="2"/>
      <c r="AR466" s="2"/>
    </row>
    <row r="467" spans="3:44" x14ac:dyDescent="0.3">
      <c r="C467" s="2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Z467"/>
      <c r="AA467"/>
      <c r="AB467"/>
      <c r="AC467"/>
      <c r="AJ467"/>
      <c r="AK467"/>
      <c r="AL467"/>
      <c r="AM467"/>
      <c r="AN467"/>
      <c r="AO467"/>
      <c r="AP467" s="2"/>
      <c r="AQ467" s="2"/>
      <c r="AR467" s="2"/>
    </row>
    <row r="468" spans="3:44" x14ac:dyDescent="0.3">
      <c r="C468" s="2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J468"/>
      <c r="AK468"/>
      <c r="AL468"/>
      <c r="AM468"/>
      <c r="AN468"/>
      <c r="AO468"/>
      <c r="AP468" s="2"/>
      <c r="AQ468" s="2"/>
      <c r="AR468" s="2"/>
    </row>
    <row r="469" spans="3:44" x14ac:dyDescent="0.3">
      <c r="C469" s="2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J469"/>
      <c r="AK469"/>
      <c r="AL469"/>
      <c r="AM469"/>
      <c r="AN469"/>
      <c r="AO469"/>
      <c r="AP469" s="2"/>
      <c r="AQ469" s="2"/>
      <c r="AR469" s="2"/>
    </row>
    <row r="470" spans="3:44" x14ac:dyDescent="0.3">
      <c r="C470" s="2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J470"/>
      <c r="AK470"/>
      <c r="AL470"/>
      <c r="AM470"/>
      <c r="AN470"/>
      <c r="AO470"/>
      <c r="AP470" s="2"/>
      <c r="AQ470" s="2"/>
      <c r="AR470" s="2"/>
    </row>
    <row r="471" spans="3:44" x14ac:dyDescent="0.3">
      <c r="C471" s="2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Z471"/>
      <c r="AA471"/>
      <c r="AB471"/>
      <c r="AC471"/>
      <c r="AJ471"/>
      <c r="AK471"/>
      <c r="AL471"/>
      <c r="AM471"/>
      <c r="AN471"/>
      <c r="AO471"/>
      <c r="AP471" s="2"/>
      <c r="AQ471" s="2"/>
      <c r="AR471" s="2"/>
    </row>
    <row r="472" spans="3:44" x14ac:dyDescent="0.3">
      <c r="C472" s="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Z472"/>
      <c r="AA472"/>
      <c r="AB472"/>
      <c r="AC472"/>
      <c r="AJ472"/>
      <c r="AK472"/>
      <c r="AL472"/>
      <c r="AM472"/>
      <c r="AN472"/>
      <c r="AO472"/>
      <c r="AP472" s="2"/>
      <c r="AQ472" s="2"/>
      <c r="AR472" s="2"/>
    </row>
    <row r="473" spans="3:44" x14ac:dyDescent="0.3">
      <c r="C473" s="2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Z473"/>
      <c r="AA473"/>
      <c r="AB473"/>
      <c r="AC473"/>
      <c r="AJ473"/>
      <c r="AK473"/>
      <c r="AL473"/>
      <c r="AM473"/>
      <c r="AN473"/>
      <c r="AO473"/>
      <c r="AP473" s="2"/>
      <c r="AQ473" s="2"/>
      <c r="AR473" s="2"/>
    </row>
    <row r="474" spans="3:44" x14ac:dyDescent="0.3">
      <c r="C474" s="2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Z474"/>
      <c r="AA474"/>
      <c r="AB474"/>
      <c r="AC474"/>
      <c r="AJ474"/>
      <c r="AK474"/>
      <c r="AL474"/>
      <c r="AM474"/>
      <c r="AN474"/>
      <c r="AO474"/>
      <c r="AP474" s="2"/>
      <c r="AQ474" s="2"/>
      <c r="AR474" s="2"/>
    </row>
    <row r="475" spans="3:44" x14ac:dyDescent="0.3">
      <c r="C475" s="2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Z475"/>
      <c r="AA475"/>
      <c r="AB475"/>
      <c r="AC475"/>
      <c r="AJ475"/>
      <c r="AK475"/>
      <c r="AL475"/>
      <c r="AM475"/>
      <c r="AN475"/>
      <c r="AO475"/>
      <c r="AP475" s="2"/>
      <c r="AQ475" s="2"/>
      <c r="AR475" s="2"/>
    </row>
    <row r="476" spans="3:44" x14ac:dyDescent="0.3">
      <c r="C476" s="2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Z476"/>
      <c r="AA476"/>
      <c r="AB476"/>
      <c r="AC476"/>
      <c r="AJ476"/>
      <c r="AK476"/>
      <c r="AL476"/>
      <c r="AM476"/>
      <c r="AN476"/>
      <c r="AO476"/>
      <c r="AP476" s="2"/>
      <c r="AQ476" s="2"/>
      <c r="AR476" s="2"/>
    </row>
    <row r="477" spans="3:44" x14ac:dyDescent="0.3">
      <c r="C477" s="2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Z477"/>
      <c r="AA477"/>
      <c r="AB477"/>
      <c r="AC477"/>
      <c r="AJ477"/>
      <c r="AK477"/>
      <c r="AL477"/>
      <c r="AM477"/>
      <c r="AN477"/>
      <c r="AO477"/>
      <c r="AP477" s="2"/>
      <c r="AQ477" s="2"/>
      <c r="AR477" s="2"/>
    </row>
    <row r="478" spans="3:44" x14ac:dyDescent="0.3">
      <c r="C478" s="2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Z478"/>
      <c r="AA478"/>
      <c r="AB478"/>
      <c r="AC478"/>
      <c r="AJ478"/>
      <c r="AK478"/>
      <c r="AL478"/>
      <c r="AM478"/>
      <c r="AN478"/>
      <c r="AO478"/>
      <c r="AP478" s="2"/>
      <c r="AQ478" s="2"/>
      <c r="AR478" s="2"/>
    </row>
    <row r="479" spans="3:44" x14ac:dyDescent="0.3">
      <c r="C479" s="2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Z479"/>
      <c r="AA479"/>
      <c r="AB479"/>
      <c r="AC479"/>
      <c r="AJ479"/>
      <c r="AK479"/>
      <c r="AL479"/>
      <c r="AM479"/>
      <c r="AN479"/>
      <c r="AO479"/>
      <c r="AP479" s="2"/>
      <c r="AQ479" s="2"/>
      <c r="AR479" s="2"/>
    </row>
    <row r="480" spans="3:44" x14ac:dyDescent="0.3">
      <c r="C480" s="2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Z480"/>
      <c r="AA480"/>
      <c r="AB480"/>
      <c r="AC480"/>
      <c r="AJ480"/>
      <c r="AK480"/>
      <c r="AL480"/>
      <c r="AM480"/>
      <c r="AN480"/>
      <c r="AO480"/>
      <c r="AP480" s="2"/>
      <c r="AQ480" s="2"/>
      <c r="AR480" s="2"/>
    </row>
    <row r="481" spans="3:44" x14ac:dyDescent="0.3">
      <c r="C481" s="2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Z481"/>
      <c r="AA481"/>
      <c r="AB481"/>
      <c r="AC481"/>
      <c r="AJ481"/>
      <c r="AK481"/>
      <c r="AL481"/>
      <c r="AM481"/>
      <c r="AN481"/>
      <c r="AO481"/>
      <c r="AP481" s="2"/>
      <c r="AQ481" s="2"/>
      <c r="AR481" s="2"/>
    </row>
    <row r="482" spans="3:44" x14ac:dyDescent="0.3">
      <c r="C482" s="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Z482"/>
      <c r="AA482"/>
      <c r="AB482"/>
      <c r="AC482"/>
      <c r="AJ482"/>
      <c r="AK482"/>
      <c r="AL482"/>
      <c r="AM482"/>
      <c r="AN482"/>
      <c r="AO482"/>
      <c r="AP482" s="2"/>
      <c r="AQ482" s="2"/>
      <c r="AR482" s="2"/>
    </row>
    <row r="483" spans="3:44" x14ac:dyDescent="0.3">
      <c r="C483" s="2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Z483"/>
      <c r="AA483"/>
      <c r="AB483"/>
      <c r="AC483"/>
      <c r="AJ483"/>
      <c r="AK483"/>
      <c r="AL483"/>
      <c r="AM483"/>
      <c r="AN483"/>
      <c r="AO483"/>
      <c r="AP483" s="2"/>
      <c r="AQ483" s="2"/>
      <c r="AR483" s="2"/>
    </row>
    <row r="484" spans="3:44" x14ac:dyDescent="0.3">
      <c r="C484" s="2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Z484"/>
      <c r="AA484"/>
      <c r="AB484"/>
      <c r="AC484"/>
      <c r="AJ484"/>
      <c r="AK484"/>
      <c r="AL484"/>
      <c r="AM484"/>
      <c r="AN484"/>
      <c r="AO484"/>
      <c r="AP484" s="2"/>
      <c r="AQ484" s="2"/>
      <c r="AR484" s="2"/>
    </row>
    <row r="485" spans="3:44" x14ac:dyDescent="0.3">
      <c r="C485" s="2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Z485"/>
      <c r="AA485"/>
      <c r="AB485"/>
      <c r="AC485"/>
      <c r="AJ485"/>
      <c r="AK485"/>
      <c r="AL485"/>
      <c r="AM485"/>
      <c r="AN485"/>
      <c r="AO485"/>
      <c r="AP485" s="2"/>
      <c r="AQ485" s="2"/>
      <c r="AR485" s="2"/>
    </row>
    <row r="486" spans="3:44" x14ac:dyDescent="0.3">
      <c r="C486" s="2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Z486"/>
      <c r="AA486"/>
      <c r="AB486"/>
      <c r="AC486"/>
      <c r="AJ486"/>
      <c r="AK486"/>
      <c r="AL486"/>
      <c r="AM486"/>
      <c r="AN486"/>
      <c r="AO486"/>
      <c r="AP486" s="2"/>
      <c r="AQ486" s="2"/>
      <c r="AR486" s="2"/>
    </row>
    <row r="487" spans="3:44" x14ac:dyDescent="0.3">
      <c r="C487" s="2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Z487"/>
      <c r="AA487"/>
      <c r="AB487"/>
      <c r="AC487"/>
      <c r="AJ487"/>
      <c r="AK487"/>
      <c r="AL487"/>
      <c r="AM487"/>
      <c r="AN487"/>
      <c r="AO487"/>
      <c r="AP487" s="2"/>
      <c r="AQ487" s="2"/>
      <c r="AR487" s="2"/>
    </row>
    <row r="488" spans="3:44" x14ac:dyDescent="0.3">
      <c r="C488" s="2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Z488"/>
      <c r="AA488"/>
      <c r="AB488"/>
      <c r="AC488"/>
      <c r="AJ488"/>
      <c r="AK488"/>
      <c r="AL488"/>
      <c r="AM488"/>
      <c r="AN488"/>
      <c r="AO488"/>
      <c r="AP488" s="2"/>
      <c r="AQ488" s="2"/>
      <c r="AR488" s="2"/>
    </row>
    <row r="489" spans="3:44" x14ac:dyDescent="0.3">
      <c r="C489" s="2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Z489"/>
      <c r="AA489"/>
      <c r="AB489"/>
      <c r="AC489"/>
      <c r="AJ489"/>
      <c r="AK489"/>
      <c r="AL489"/>
      <c r="AM489"/>
      <c r="AN489"/>
      <c r="AO489"/>
      <c r="AP489" s="2"/>
      <c r="AQ489" s="2"/>
      <c r="AR489" s="2"/>
    </row>
    <row r="490" spans="3:44" x14ac:dyDescent="0.3">
      <c r="C490" s="2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Z490"/>
      <c r="AA490"/>
      <c r="AB490"/>
      <c r="AC490"/>
      <c r="AJ490"/>
      <c r="AK490"/>
      <c r="AL490"/>
      <c r="AM490"/>
      <c r="AN490"/>
      <c r="AO490"/>
      <c r="AP490" s="2"/>
      <c r="AQ490" s="2"/>
      <c r="AR490" s="2"/>
    </row>
    <row r="491" spans="3:44" x14ac:dyDescent="0.3">
      <c r="C491" s="2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Z491"/>
      <c r="AA491"/>
      <c r="AB491"/>
      <c r="AC491"/>
      <c r="AJ491"/>
      <c r="AK491"/>
      <c r="AL491"/>
      <c r="AM491"/>
      <c r="AN491"/>
      <c r="AO491"/>
      <c r="AP491" s="2"/>
      <c r="AQ491" s="2"/>
      <c r="AR491" s="2"/>
    </row>
    <row r="492" spans="3:44" x14ac:dyDescent="0.3">
      <c r="C492" s="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Z492"/>
      <c r="AA492"/>
      <c r="AB492"/>
      <c r="AC492"/>
      <c r="AJ492"/>
      <c r="AK492"/>
      <c r="AL492"/>
      <c r="AM492"/>
      <c r="AN492"/>
      <c r="AO492"/>
      <c r="AP492" s="2"/>
      <c r="AQ492" s="2"/>
      <c r="AR492" s="2"/>
    </row>
    <row r="493" spans="3:44" x14ac:dyDescent="0.3">
      <c r="C493" s="2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Z493"/>
      <c r="AA493"/>
      <c r="AB493"/>
      <c r="AC493"/>
      <c r="AJ493"/>
      <c r="AK493"/>
      <c r="AL493"/>
      <c r="AM493"/>
      <c r="AN493"/>
      <c r="AO493"/>
      <c r="AP493" s="2"/>
      <c r="AQ493" s="2"/>
      <c r="AR493" s="2"/>
    </row>
    <row r="494" spans="3:44" x14ac:dyDescent="0.3">
      <c r="C494" s="2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Z494"/>
      <c r="AA494"/>
      <c r="AB494"/>
      <c r="AC494"/>
      <c r="AJ494"/>
      <c r="AK494"/>
      <c r="AL494"/>
      <c r="AM494"/>
      <c r="AN494"/>
      <c r="AO494"/>
      <c r="AP494" s="2"/>
      <c r="AQ494" s="2"/>
      <c r="AR494" s="2"/>
    </row>
    <row r="495" spans="3:44" x14ac:dyDescent="0.3">
      <c r="C495" s="2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Z495"/>
      <c r="AA495"/>
      <c r="AB495"/>
      <c r="AC495"/>
      <c r="AJ495"/>
      <c r="AK495"/>
      <c r="AL495"/>
      <c r="AM495"/>
      <c r="AN495"/>
      <c r="AO495"/>
      <c r="AP495" s="2"/>
      <c r="AQ495" s="2"/>
      <c r="AR495" s="2"/>
    </row>
    <row r="496" spans="3:44" x14ac:dyDescent="0.3">
      <c r="C496" s="2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Z496"/>
      <c r="AA496"/>
      <c r="AB496"/>
      <c r="AC496"/>
      <c r="AJ496"/>
      <c r="AK496"/>
      <c r="AL496"/>
      <c r="AM496"/>
      <c r="AN496"/>
      <c r="AO496"/>
      <c r="AP496" s="2"/>
      <c r="AQ496" s="2"/>
      <c r="AR496" s="2"/>
    </row>
    <row r="497" spans="3:44" x14ac:dyDescent="0.3">
      <c r="C497" s="2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Z497"/>
      <c r="AA497"/>
      <c r="AB497"/>
      <c r="AC497"/>
      <c r="AJ497"/>
      <c r="AK497"/>
      <c r="AL497"/>
      <c r="AM497"/>
      <c r="AN497"/>
      <c r="AO497"/>
      <c r="AP497" s="2"/>
      <c r="AQ497" s="2"/>
      <c r="AR497" s="2"/>
    </row>
    <row r="498" spans="3:44" x14ac:dyDescent="0.3">
      <c r="C498" s="2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Z498"/>
      <c r="AA498"/>
      <c r="AB498"/>
      <c r="AC498"/>
      <c r="AJ498"/>
      <c r="AK498"/>
      <c r="AL498"/>
      <c r="AM498"/>
      <c r="AN498"/>
      <c r="AO498"/>
      <c r="AP498" s="2"/>
      <c r="AQ498" s="2"/>
      <c r="AR498" s="2"/>
    </row>
    <row r="499" spans="3:44" x14ac:dyDescent="0.3">
      <c r="C499" s="2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Z499"/>
      <c r="AA499"/>
      <c r="AB499"/>
      <c r="AC499"/>
      <c r="AJ499"/>
      <c r="AK499"/>
      <c r="AL499"/>
      <c r="AM499"/>
      <c r="AN499"/>
      <c r="AO499"/>
      <c r="AP499" s="2"/>
      <c r="AQ499" s="2"/>
      <c r="AR499" s="2"/>
    </row>
    <row r="500" spans="3:44" x14ac:dyDescent="0.3">
      <c r="C500" s="2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Z500"/>
      <c r="AA500"/>
      <c r="AB500"/>
      <c r="AC500"/>
      <c r="AJ500"/>
      <c r="AK500"/>
      <c r="AL500"/>
      <c r="AM500"/>
      <c r="AN500"/>
      <c r="AO500"/>
      <c r="AP500" s="2"/>
      <c r="AQ500" s="2"/>
      <c r="AR500" s="2"/>
    </row>
    <row r="501" spans="3:44" x14ac:dyDescent="0.3">
      <c r="C501" s="2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Z501"/>
      <c r="AA501"/>
      <c r="AB501"/>
      <c r="AC501"/>
      <c r="AJ501"/>
      <c r="AK501"/>
      <c r="AL501"/>
      <c r="AM501"/>
      <c r="AN501"/>
      <c r="AO501"/>
      <c r="AP501" s="2"/>
      <c r="AQ501" s="2"/>
      <c r="AR501" s="2"/>
    </row>
    <row r="502" spans="3:44" x14ac:dyDescent="0.3">
      <c r="C502" s="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Z502"/>
      <c r="AA502"/>
      <c r="AB502"/>
      <c r="AC502"/>
      <c r="AJ502"/>
      <c r="AK502"/>
      <c r="AL502"/>
      <c r="AM502"/>
      <c r="AN502"/>
      <c r="AO502"/>
      <c r="AP502" s="2"/>
      <c r="AQ502" s="2"/>
      <c r="AR502" s="2"/>
    </row>
    <row r="503" spans="3:44" x14ac:dyDescent="0.3">
      <c r="C503" s="2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Z503"/>
      <c r="AA503"/>
      <c r="AB503"/>
      <c r="AC503"/>
      <c r="AJ503"/>
      <c r="AK503"/>
      <c r="AL503"/>
      <c r="AM503"/>
      <c r="AN503"/>
      <c r="AO503"/>
      <c r="AP503" s="2"/>
      <c r="AQ503" s="2"/>
      <c r="AR503" s="2"/>
    </row>
    <row r="504" spans="3:44" x14ac:dyDescent="0.3">
      <c r="C504" s="2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Z504"/>
      <c r="AA504"/>
      <c r="AB504"/>
      <c r="AC504"/>
      <c r="AJ504"/>
      <c r="AK504"/>
      <c r="AL504"/>
      <c r="AM504"/>
      <c r="AN504"/>
      <c r="AO504"/>
      <c r="AP504" s="2"/>
      <c r="AQ504" s="2"/>
      <c r="AR504" s="2"/>
    </row>
    <row r="505" spans="3:44" x14ac:dyDescent="0.3">
      <c r="C505" s="2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Z505"/>
      <c r="AA505"/>
      <c r="AB505"/>
      <c r="AC505"/>
      <c r="AJ505"/>
      <c r="AK505"/>
      <c r="AL505"/>
      <c r="AM505"/>
      <c r="AN505"/>
      <c r="AO505"/>
      <c r="AP505" s="2"/>
      <c r="AQ505" s="2"/>
      <c r="AR505" s="2"/>
    </row>
    <row r="506" spans="3:44" x14ac:dyDescent="0.3">
      <c r="C506" s="2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Z506"/>
      <c r="AA506"/>
      <c r="AB506"/>
      <c r="AC506"/>
      <c r="AJ506"/>
      <c r="AK506"/>
      <c r="AL506"/>
      <c r="AM506"/>
      <c r="AN506"/>
      <c r="AO506"/>
      <c r="AP506" s="2"/>
      <c r="AQ506" s="2"/>
      <c r="AR506" s="2"/>
    </row>
    <row r="507" spans="3:44" x14ac:dyDescent="0.3">
      <c r="C507" s="2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Z507"/>
      <c r="AA507"/>
      <c r="AB507"/>
      <c r="AC507"/>
      <c r="AJ507"/>
      <c r="AK507"/>
      <c r="AL507"/>
      <c r="AM507"/>
      <c r="AN507"/>
      <c r="AO507"/>
      <c r="AP507" s="2"/>
      <c r="AQ507" s="2"/>
      <c r="AR507" s="2"/>
    </row>
    <row r="508" spans="3:44" x14ac:dyDescent="0.3">
      <c r="C508" s="2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Z508"/>
      <c r="AA508"/>
      <c r="AB508"/>
      <c r="AC508"/>
      <c r="AJ508"/>
      <c r="AK508"/>
      <c r="AL508"/>
      <c r="AM508"/>
      <c r="AN508"/>
      <c r="AO508"/>
      <c r="AP508" s="2"/>
      <c r="AQ508" s="2"/>
      <c r="AR508" s="2"/>
    </row>
    <row r="509" spans="3:44" x14ac:dyDescent="0.3">
      <c r="C509" s="2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Z509"/>
      <c r="AA509"/>
      <c r="AB509"/>
      <c r="AC509"/>
      <c r="AJ509"/>
      <c r="AK509"/>
      <c r="AL509"/>
      <c r="AM509"/>
      <c r="AN509"/>
      <c r="AO509"/>
      <c r="AP509" s="2"/>
      <c r="AQ509" s="2"/>
      <c r="AR509" s="2"/>
    </row>
    <row r="510" spans="3:44" x14ac:dyDescent="0.3">
      <c r="C510" s="2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Z510"/>
      <c r="AA510"/>
      <c r="AB510"/>
      <c r="AC510"/>
      <c r="AJ510"/>
      <c r="AK510"/>
      <c r="AL510"/>
      <c r="AM510"/>
      <c r="AN510"/>
      <c r="AO510"/>
      <c r="AP510" s="2"/>
      <c r="AQ510" s="2"/>
      <c r="AR510" s="2"/>
    </row>
    <row r="511" spans="3:44" x14ac:dyDescent="0.3">
      <c r="C511" s="2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Z511"/>
      <c r="AA511"/>
      <c r="AB511"/>
      <c r="AC511"/>
      <c r="AJ511"/>
      <c r="AK511"/>
      <c r="AL511"/>
      <c r="AM511"/>
      <c r="AN511"/>
      <c r="AO511"/>
      <c r="AP511" s="2"/>
      <c r="AQ511" s="2"/>
      <c r="AR511" s="2"/>
    </row>
    <row r="512" spans="3:44" x14ac:dyDescent="0.3">
      <c r="C512" s="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Z512"/>
      <c r="AA512"/>
      <c r="AB512"/>
      <c r="AC512"/>
      <c r="AJ512"/>
      <c r="AK512"/>
      <c r="AL512"/>
      <c r="AM512"/>
      <c r="AN512"/>
      <c r="AO512"/>
      <c r="AP512" s="2"/>
      <c r="AQ512" s="2"/>
      <c r="AR512" s="2"/>
    </row>
    <row r="513" spans="3:44" x14ac:dyDescent="0.3">
      <c r="C513" s="2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Z513"/>
      <c r="AA513"/>
      <c r="AB513"/>
      <c r="AC513"/>
      <c r="AJ513"/>
      <c r="AK513"/>
      <c r="AL513"/>
      <c r="AM513"/>
      <c r="AN513"/>
      <c r="AO513"/>
      <c r="AP513" s="2"/>
      <c r="AQ513" s="2"/>
      <c r="AR513" s="2"/>
    </row>
    <row r="514" spans="3:44" x14ac:dyDescent="0.3">
      <c r="C514" s="2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Z514"/>
      <c r="AA514"/>
      <c r="AB514"/>
      <c r="AC514"/>
      <c r="AJ514"/>
      <c r="AK514"/>
      <c r="AL514"/>
      <c r="AM514"/>
      <c r="AN514"/>
      <c r="AO514"/>
      <c r="AP514" s="2"/>
      <c r="AQ514" s="2"/>
      <c r="AR514" s="2"/>
    </row>
    <row r="515" spans="3:44" x14ac:dyDescent="0.3">
      <c r="C515" s="2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Z515"/>
      <c r="AA515"/>
      <c r="AB515"/>
      <c r="AC515"/>
      <c r="AJ515"/>
      <c r="AK515"/>
      <c r="AL515"/>
      <c r="AM515"/>
      <c r="AN515"/>
      <c r="AO515"/>
      <c r="AP515" s="2"/>
      <c r="AQ515" s="2"/>
      <c r="AR515" s="2"/>
    </row>
    <row r="516" spans="3:44" x14ac:dyDescent="0.3">
      <c r="C516" s="2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Z516"/>
      <c r="AA516"/>
      <c r="AB516"/>
      <c r="AC516"/>
      <c r="AJ516"/>
      <c r="AK516"/>
      <c r="AL516"/>
      <c r="AM516"/>
      <c r="AN516"/>
      <c r="AO516"/>
      <c r="AP516" s="2"/>
      <c r="AQ516" s="2"/>
      <c r="AR516" s="2"/>
    </row>
    <row r="517" spans="3:44" x14ac:dyDescent="0.3">
      <c r="C517" s="2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Z517"/>
      <c r="AA517"/>
      <c r="AB517"/>
      <c r="AC517"/>
      <c r="AJ517"/>
      <c r="AK517"/>
      <c r="AL517"/>
      <c r="AM517"/>
      <c r="AN517"/>
      <c r="AO517"/>
      <c r="AP517" s="2"/>
      <c r="AQ517" s="2"/>
      <c r="AR517" s="2"/>
    </row>
  </sheetData>
  <autoFilter ref="A1:AW418" xr:uid="{00000000-0001-0000-0000-000000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e4a136-4e43-4d4f-be0e-59ae4382439d">
      <Terms xmlns="http://schemas.microsoft.com/office/infopath/2007/PartnerControls"/>
    </lcf76f155ced4ddcb4097134ff3c332f>
    <TaxCatchAll xmlns="9f416984-9e62-4aab-b56b-ffd291e1214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8 . 3 7 3 3 9 7 8 3 & l t ; / l a t & g t ; & l t ; l o n & g t ; 2 4 . 6 7 5 5 0 6 5 9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1 3 6 3 6 2 2 6 5 5 7 5 4 2 4 3 & l t ; / i d & g t ; & l t ; r i n g & g t ; j p z 5 v 8 t w 6 D s J g l B w C h I - H v D t D p I s B 6 D 3 M - U - U E 7 Z 8 S q b & l t ; / r i n g & g t ; & l t ; / r p o l y g o n s & g t ; & l t ; r p o l y g o n s & g t ; & l t ; i d & g t ; 7 0 3 1 3 6 3 6 5 7 0 1 5 4 9 2 6 0 9 & l t ; / i d & g t ; & l t ; r i n g & g t ; l q 2 7 l j 9 x 6 D h 1 D o r F x q D 5 B l L 0 r B l I i R p T Z y C p i B 8 G 0 E 4 C k G _ D 6 L s D t E i o B g i B v C 7 C z G v C s X _ S i P v G 7 y C j V y l C W y c m I C 6 E v Y 6 E & l t ; / r i n g & g t ; & l t ; / r p o l y g o n s & g t ; & l t ; r p o l y g o n s & g t ; & l t ; i d & g t ; 7 0 3 1 3 6 3 6 5 7 0 1 5 4 9 2 6 1 2 & l t ; / i d & g t ; & l t ; r i n g & g t ; v y - 8 v 9 _ y 6 D 3 S 8 Z m h C r X x F y C h I r D l L z D g B x H G I w P 2 I i C j V 1 C B 4 F g I r E 1 G j V x C w D 0 B & l t ; / r i n g & g t ; & l t ; / r p o l y g o n s & g t ; & l t ; r p o l y g o n s & g t ; & l t ; i d & g t ; 7 0 3 1 3 6 3 6 5 7 0 1 5 4 9 2 6 1 3 & l t ; / i d & g t ; & l t ; r i n g & g t ; t n y 1 s j 3 x 6 D v X 7 u B p L g K n F z B m E 1 B g B o C 5 E x E h H 4 F p 8 C s D W - J w B g F x O & l t ; / r i n g & g t ; & l t ; / r p o l y g o n s & g t ; & l t ; r p o l y g o n s & g t ; & l t ; i d & g t ; 7 0 3 1 3 6 3 6 5 7 0 1 5 4 9 2 6 1 6 & l t ; / i d & g t ; & l t ; r i n g & g t ; 6 2 t m u w u x 6 D 0 Q x F y C 1 F x D 9 O 9 H t F o B x D 5 X M 9 B o J O 2 C p K z J s o B g T E 1 C 7 G 3 C J l E S 3 J j V i D & l t ; / r i n g & g t ; & l t ; / r p o l y g o n s & g t ; & l t ; r p o l y g o n s & g t ; & l t ; i d & g t ; 7 0 3 1 3 6 3 6 5 7 0 1 5 4 9 2 6 2 1 & l t ; / i d & g t ; & l t ; r i n g & g t ; _ 7 3 h m 1 j z 6 D m B 6 M v F x F 9 S s J z O M M - B h S _ L 3 M 8 S 3 G 8 O 9 J m D & l t ; / r i n g & g t ; & l t ; / r p o l y g o n s & g t ; & l t ; r p o l y g o n s & g t ; & l t ; i d & g t ; 7 0 3 1 3 6 3 6 5 7 0 1 5 4 9 2 6 2 2 & l t ; / i d & g t ; & l t ; r i n g & g t ; g p - i n u o y 6 D v F h I i 7 D X 6 M z l C v X 5 B y J 9 g D K M n L p 3 C t D 7 B w y E t u C 9 B 4 J q q C M i H P 9 E q L r a 5 Q L 2 3 C s D v r B y c 3 h C j V x C q D m i B 5 Q r E i I w P 9 U L - M x E j l B x C k i B x J C a p j B & l t ; / r i n g & g t ; & l t ; / r p o l y g o n s & g t ; & l t ; r p o l y g o n s & g t ; & l t ; i d & g t ; 7 0 3 1 3 6 3 6 5 7 0 1 5 4 9 2 6 2 3 & l t ; / i d & g t ; & l t ; r i n g & g t ; u 3 t 3 v m 5 y 6 D 5 B 8 M q B Z 6 G u E v o B h T Z t K r E q 2 B y F u D v E W s I h B & l t ; / r i n g & g t ; & l t ; / r p o l y g o n s & g t ; & l t ; r p o l y g o n s & g t ; & l t ; i d & g t ; 7 0 3 1 3 6 3 6 5 7 0 1 5 4 9 2 6 2 4 & l t ; / i d & g t ; & l t ; r i n g & g t ; 9 3 1 m 8 k y x 6 D 9 H u r B _ Q z F y C r F p l F j l C m K V m B r I k R n L y E i E j W 5 E _ H n r B q D 4 B 6 1 B k I w F i T E m I 8 O B x V x J s T y B & l t ; / r i n g & g t ; & l t ; / r p o l y g o n s & g t ; & l t ; r p o l y g o n s & g t ; & l t ; i d & g t ; 7 0 3 1 4 2 0 6 5 9 8 2 1 4 4 5 1 4 2 & l t ; / i d & g t ; & l t ; r i n g & g t ; 3 p 0 j t - n g 9 D - K r D b i Q g q B h S s U r O m E w G j D s U g q B 3 g B - g B v b k J 1 B 5 H T 4 C - B 0 C 8 G 1 D q B z H x B l 0 B 3 j C g 4 B 4 P v B 9 C 7 E l B x J y F 6 F 5 w B p U f h Q 9 L s J j C _ C s K g C a t l B m S Q 7 D z P i W 7 I y B n M n C p C r U 1 C - U t H - E 4 j B - E - E 3 m B 9 N _ p B 9 m B h D g q B 2 - B t W i U - C x B i G 8 D - C i C c z C u L 2 W n C g F Q j M q b 7 p B m t B z w B x o F 2 j C - d 4 N 1 n C s t B 9 w B g D u K 6 g B 6 g B D h e x j B & l t ; / r i n g & g t ; & l t ; / r p o l y g o n s & g t ; & l t ; r p o l y g o n s & g t ; & l t ; i d & g t ; 7 0 3 1 4 5 6 1 5 3 4 3 1 1 7 9 2 7 2 & l t ; / i d & g t ; & l t ; r i n g & g t ; u z r w h j 3 i 7 D 3 B u C w C X o B M Z x B b 9 B v D Z F G 6 I i C p B p B _ B N z C C Y C S n C & l t ; / r i n g & g t ; & l t ; / r p o l y g o n s & g t ; & l t ; r p o l y g o n s & g t ; & l t ; i d & g t ; 7 0 3 1 4 5 6 1 5 3 4 3 1 1 7 9 2 7 3 & l t ; / i d & g t ; & l t ; r i n g & g t ; j _ y j k k 6 i 7 D y G t F p L 6 J i B t J 4 D m C x B v B - C c _ B w B w B 0 B 0 D l C w B & l t ; / r i n g & g t ; & l t ; / r p o l y g o n s & g t ; & l t ; r p o l y g o n s & g t ; & l t ; i d & g t ; 7 0 3 1 4 5 6 1 5 3 4 3 1 1 7 9 2 7 4 & l t ; / i d & g t ; & l t ; r i n g & g t ; 2 t g u r z 2 i 7 D V V 9 B i B o C z C B c a U u C & l t ; / r i n g & g t ; & l t ; / r p o l y g o n s & g t ; & l t ; r p o l y g o n s & g t ; & l t ; i d & g t ; 7 0 3 1 4 5 6 2 5 6 5 1 0 3 9 4 3 7 1 & l t ; / i d & g t ; & l t ; r i n g & g t ; o z w w t x 8 k 7 D 2 M p D k B y G v F 4 G m G i C x C i C L t B P P 4 D t B W P N E Q 8 C & l t ; / r i n g & g t ; & l t ; / r p o l y g o n s & g t ; & l t ; r p o l y g o n s & g t ; & l t ; i d & g t ; 7 0 3 1 4 5 6 4 9 7 0 2 8 5 6 2 9 4 9 & l t ; / i d & g t ; & l t ; r i n g & g t ; t 8 9 7 n 7 k l 7 D l i B K z D o N x L m C m M 6 P z m B z Q u D w L 8 F m D 0 B l e 8 z B & l t ; / r i n g & g t ; & l t ; / r p o l y g o n s & g t ; & l t ; r p o l y g o n s & g t ; & l t ; i d & g t ; 7 0 3 1 4 5 6 4 9 7 0 2 8 5 6 2 9 5 0 & l t ; / i d & g t ; & l t ; r i n g & g t ; x p 2 i 2 r k m 7 D k B K X 5 B w E o B x D x D u E u C u E X X b m C R k C - E z B B - C - C 8 D 9 C k C 2 I i C j D F h C O I m C k G 0 I g I c L 6 B g I i L w F s D w P v C t B 4 B W c G P t B E u D N n C H 8 E j C f p C f H _ E 5 D D k B t F x F q E _ C 9 D 9 D H K 2 g B K u B z P D u C k B m B u C 3 B V d l C y B g D & l t ; / r i n g & g t ; & l t ; / r p o l y g o n s & g t ; & l t ; r p o l y g o n s & g t ; & l t ; i d & g t ; 7 0 3 1 4 5 6 4 9 7 0 2 8 5 6 2 9 6 1 & l t ; / i d & g t ; & l t ; r i n g & g t ; u 4 x 2 5 t y l 7 D k B q R M v B t B z C Y 3 E u B u B & l t ; / r i n g & g t ; & l t ; / r p o l y g o n s & g t ; & l t ; r p o l y g o n s & g t ; & l t ; i d & g t ; 7 0 3 1 4 5 6 4 9 7 0 2 8 5 6 2 9 6 2 & l t ; / i d & g t ; & l t ; r i n g & g t ; - t m 5 4 t q l 7 D w C v F o B Z v B R 4 D t B n B E C S h B u C & l t ; / r i n g & g t ; & l t ; / r p o l y g o n s & g t ; & l t ; r p o l y g o n s & g t ; & l t ; i d & g t ; 7 0 3 1 4 5 6 4 9 7 0 2 8 5 6 2 9 6 3 & l t ; / i d & g t ; & l t ; r i n g & g t ; o o z 0 _ 1 7 k 7 D F y C y C X 7 c u E w C u C t D w C r D t D m y B t D m B p L 9 B v D q B 6 D i C h N t E r E t J B v C v C q D h D 4 J u E v F q E s E s E t D D s E z X m B o B w C 5 B K p j B q H Q m B m B 0 C - B o C R x B e e b v D M 7 B z B z B R g B k C x R 9 C e R h D z B - C x B R b T y P E Y C N h B f - D J C J C _ B g C 2 B r B Y N 4 c 4 B W E c 6 B L G l B x R q D B L W G 4 B v B R 8 D 9 C w D v C _ B h B H f f H i D a E N 1 C u D W E J C y B y B C p C 7 D _ E V Q d d n C 5 D & l t ; / r i n g & g t ; & l t ; / r p o l y g o n s & g t ; & l t ; r p o l y g o n s & g t ; & l t ; i d & g t ; 7 0 3 1 4 5 6 4 9 7 0 2 8 5 6 2 9 6 4 & l t ; / i d & g t ; & l t ; r i n g & g t ; 2 5 k 5 8 z o l 7 D k B K t D q B O l F t B v C x C L U J Q w B u B & l t ; / r i n g & g t ; & l t ; / r p o l y g o n s & g t ; & l t ; r p o l y g o n s & g t ; & l t ; i d & g t ; 7 0 3 1 4 5 6 4 9 7 0 2 8 5 6 2 9 6 5 & l t ; / i d & g t ; & l t ; r i n g & g t ; r 1 u m v v k l 7 D y E g B g E k G r K i C x B 2 I 2 B u W 5 D q K q H d & l t ; / r i n g & g t ; & l t ; / r p o l y g o n s & g t ; & l t ; r p o l y g o n s & g t ; & l t ; i d & g t ; 7 0 3 1 4 5 6 4 9 7 0 2 8 5 6 2 9 6 6 & l t ; / i d & g t ; & l t ; r i n g & g t ; y x r w n v m l 7 D o B q B x F t D b I g B - C h D g E h D o C h D l D z B i B s B z B u E 7 B _ G 1 N G P k C 7 C u D z C N E U _ B J S j e 8 C H u C E - D d Q h B H U S y B h B r G C C C f u C & l t ; / r i n g & g t ; & l t ; / r p o l y g o n s & g t ; & l t ; r p o l y g o n s & g t ; & l t ; i d & g t ; 7 0 3 1 4 5 6 4 9 7 0 2 8 5 6 2 9 6 7 & l t ; / i d & g t ; & l t ; r i n g & g t ; v i v m v v k l 7 D u E v D 0 C v B v B P L x E U E 8 C & l t ; / r i n g & g t ; & l t ; / r p o l y g o n s & g t ; & l t ; r p o l y g o n s & g t ; & l t ; i d & g t ; 7 0 3 1 4 5 6 8 7 4 9 8 5 6 8 4 9 9 3 & l t ; / i d & g t ; & l t ; r i n g & g t ; _ g y v j y z o 7 D 5 O i N 6 J 3 F o V t F K 5 B j L l L i V j L z H k G x B 4 J 8 M 3 F n D l D h D m G 4 J K h I r F K 5 O l D x K g B q C T b 2 E _ G _ G 4 C n F s C I x H r H P R r H n K i C c c 7 C 3 G x C 4 F L w D m F j E v M a r B n B z C 5 C g D _ E r C k L 5 E L 1 J x E 5 C h B p C m F r B U L w D x J p E i C v E n B 0 H y K D U U _ B N p C S - I 9 I & l t ; / r i n g & g t ; & l t ; / r p o l y g o n s & g t ; & l t ; r p o l y g o n s & g t ; & l t ; i d & g t ; 7 0 3 1 4 5 6 8 7 4 9 8 5 6 8 4 9 9 6 & l t ; / i d & g t ; & l t ; r i n g & g t ; y k 2 2 4 p m n 7 D 8 M 0 E T j D o C z B _ G 3 F 3 D o G g M T m G 7 O F 5 O _ G 2 C 9 B y E O - B _ P P g G B 2 I 5 N h F x B v K x B k E O 9 B 7 F O h C s B O 4 C h C 6 a I l D - X g v D 3 L z H - N 6 P p K _ H m L n B u D 0 B U n C y B h E h B m D n E U a C y D m D U 2 k C k D k F t C n B w F 9 M l B t E 6 O J j B - I h U q O p G 2 H u W g D g D y K y D Y s L h B S Q s K l C u H _ C j C 6 R S i D 9 P j C 7 D 9 D 7 D s K Q & l t ; / r i n g & g t ; & l t ; / r p o l y g o n s & g t ; & l t ; r p o l y g o n s & g t ; & l t ; i d & g t ; 7 0 3 1 4 5 6 9 4 3 7 0 5 1 6 1 7 2 9 & l t ; / i d & g t ; & l t ; r i n g & g t ; p o 7 h 9 n n m 7 D V t F 7 O O s B I 1 B k E s G q G n F 6 C w E X v F 7 B j L _ Z 4 J i B i B 9 R 2 P 9 C 7 E 8 L p H _ L g G - C _ L v B r H 8 L 6 O a p B y B S 5 P 6 R _ C _ C h G 7 D C k D m D h B y B i D Q U p C r B N 0 D 2 D r G m F - L u C j C & l t ; / r i n g & g t ; & l t ; / r p o l y g o n s & g t ; & l t ; r p o l y g o n s & g t ; & l t ; i d & g t ; 7 0 3 1 4 5 6 9 4 3 7 0 5 1 6 1 7 3 0 & l t ; / i d & g t ; & l t ; r i n g & g t ; 0 x g k o i l m 7 D h I X 3 O u C w C w C w C o B z F 0 C u E 9 O g B j D g M 7 N o C i C x C 6 B 7 E B q X N C _ C - D w B g C E y D l a z C h G j C & l t ; / r i n g & g t ; & l t ; / r p o l y g o n s & g t ; & l t ; r p o l y g o n s & g t ; & l t ; i d & g t ; 7 0 3 1 4 5 6 9 4 3 7 0 5 1 6 1 7 3 1 & l t ; / i d & g t ; & l t ; r i n g & g t ; y t 6 z w 0 k m 7 D 9 H 4 Q n 2 B 9 O l F 7 N I t K r H e 6 D t B k C k C G n H 4 B L y B f w B u H l M k D 2 D t C n C n C & l t ; / r i n g & g t ; & l t ; / r p o l y g o n s & g t ; & l t ; r p o l y g o n s & g t ; & l t ; i d & g t ; 7 0 3 1 4 5 6 9 4 3 7 0 5 1 6 1 7 3 5 & l t ; / i d & g t ; & l t ; r i n g & g t ; 0 8 _ 7 l s r l 7 D 9 q 3 C w z Y p 4 a 1 j Z 9 x 4 C o 3 g C i m K 9 8 a x j n C m v m C 2 8 a r 8 6 D 6 6 S q y O r o J n h G 0 q t B 6 - n B 7 i N z g u B 2 7 P p w k D 3 l h B - 2 w G 3 k 7 B i l u B n q g D n g Q i i T k 8 M 9 m R t 2 J _ 3 S 5 p P - 2 q B l w 4 B z 9 n E m x V u s H l y X 1 y n B u o r B & l t ; / r i n g & g t ; & l t ; / r p o l y g o n s & g t ; & l t ; r p o l y g o n s & g t ; & l t ; i d & g t ; 7 0 3 1 4 5 6 9 4 3 7 0 5 1 6 1 7 3 7 & l t ; / i d & g t ; & l t ; r i n g & g t ; t 6 s p 3 p k m 7 D X 8 G 4 C 3 F i B 1 B B z H o C o C q G 1 B I R _ H o I 3 C j E S j B r C C n G Q _ N u K Q & l t ; / r i n g & g t ; & l t ; / r p o l y g o n s & g t ; & l t ; r p o l y g o n s & g t ; & l t ; i d & g t ; 7 0 3 1 4 5 6 9 4 3 7 0 5 1 6 1 7 4 2 & l t ; / i d & g t ; & l t ; r i n g & g t ; p 1 p i 8 m - l 7 D 9 H l 2 B w J M 2 R 6 R 9 L 1 I K 1 I 5 h B 0 G m B 5 O w C l I r L O s B K - F y G 9 H 5 B y G 6 M K y J x F v D 4 J F s C i J R x H 9 C - C _ L 2 I 4 P o C h D _ L 0 I i L v J 4 O a Y w B s H u K w B C r C 9 G _ F R r H p H _ F i C t B n H _ H q L w D N W 1 G 7 N j F - N j F 6 J y E F h C 2 E i J z K l D b i B l F 6 P v K k E k E 1 B F T i E g M B z J 1 E J _ B 7 Q 3 J w K u H u K g O i F 9 I a a 3 J x C s D 6 O C 3 C t C p G g F l C j U f n G y H w K - I D 9 I & l t ; / r i n g & g t ; & l t ; / r p o l y g o n s & g t ; & l t ; r p o l y g o n s & g t ; & l t ; i d & g t ; 7 0 3 1 4 5 6 9 4 3 7 0 5 1 6 1 7 4 3 & l t ; / i d & g t ; & l t ; r i n g & g t ; x _ k 8 8 x 9 l 7 D 7 B 5 B i H 2 C z B l D - C B s D 2 F N 4 K 9 I & l t ; / r i n g & g t ; & l t ; / r p o l y g o n s & g t ; & l t ; r p o l y g o n s & g t ; & l t ; i d & g t ; 7 0 3 1 4 5 6 9 4 3 7 0 5 1 6 1 7 4 4 & l t ; / i d & g t ; & l t ; r i n g & g t ; u _ 0 r t y k l 7 D 0 G 5 B w C j L K j L 3 O o B 8 D 1 R w P t B t B q D t B u F y F 1 C 9 D D V 8 E k B & l t ; / r i n g & g t ; & l t ; / r p o l y g o n s & g t ; & l t ; r p o l y g o n s & g t ; & l t ; i d & g t ; 7 0 3 1 4 5 6 9 4 3 7 0 5 1 6 1 7 4 5 & l t ; / i d & g t ; & l t ; r i n g & g t ; 5 5 4 1 x m m m 7 D u C r F j I t D y C O 8 D v B r K r H e _ L v B 8 D z g B p K m L j E _ N 7 D k 0 B 3 I 6 E u C & l t ; / r i n g & g t ; & l t ; / r p o l y g o n s & g t ; & l t ; r p o l y g o n s & g t ; & l t ; i d & g t ; 7 0 3 1 4 5 7 4 9 3 4 6 0 9 7 5 6 1 9 & l t ; / i d & g t ; & l t ; r i n g & g t ; 2 j t 0 7 0 m 0 6 D 5 m 9 F u y O p 2 r C 8 t 0 D r t h B l 3 o C m g 7 B _ y _ B _ r h C 5 o P z l K 7 5 9 B l 1 n B & l t ; / r i n g & g t ; & l t ; / r p o l y g o n s & g t ; & l t ; r p o l y g o n s & g t ; & l t ; i d & g t ; 7 0 3 1 4 5 7 4 9 3 4 6 0 9 7 5 6 2 2 & l t ; / i d & g t ; & l t ; r i n g & g t ; _ r r w g 8 n 0 6 D r F m B y Q r F _ M r L F 2 C B R 4 D 7 C 1 G s F q u C S _ C & l t ; / r i n g & g t ; & l t ; / r p o l y g o n s & g t ; & l t ; r p o l y g o n s & g t ; & l t ; i d & g t ; 7 0 3 1 4 5 7 4 9 3 4 6 0 9 7 5 6 2 3 & l t ; / i d & g t ; & l t ; r i n g & g t ; p k k 8 1 y i 0 6 D K p D j I X h I n L 6 I 5 E z J n V D S & l t ; / r i n g & g t ; & l t ; / r p o l y g o n s & g t ; & l t ; r p o l y g o n s & g t ; & l t ; i d & g t ; 7 0 3 1 4 5 7 6 3 0 8 9 9 9 2 9 0 9 0 & l t ; / i d & g t ; & l t ; r i n g & g t ; t 0 3 0 l k v 3 6 D X X O 8 I I e i E i B i B T i B I _ D v B - C h D B j D I I c G G t E q I a C _ B r B E j B H H h B f Q g D H K 8 C j C k B x O D V y R & l t ; / r i n g & g t ; & l t ; / r p o l y g o n s & g t ; & l t ; r p o l y g o n s & g t ; & l t ; i d & g t ; 7 0 3 1 4 5 7 6 3 0 8 9 9 9 2 9 0 9 2 & l t ; / i d & g t ; & l t ; r i n g & g t ; r k k u l o p 3 6 D j L X u E F Z D o B b v B P 8 S w D a J d & l t ; / r i n g & g t ; & l t ; / r p o l y g o n s & g t ; & l t ; r p o l y g o n s & g t ; & l t ; i d & g t ; 7 0 3 1 4 5 8 1 8 0 6 5 5 7 4 2 9 8 1 & l t ; / i d & g t ; & l t ; r i n g & g t ; 1 p o l 6 _ 3 - 6 D k B 5 B 3 o B w E z i B l T x D h _ B 7 M y o B u i B 1 f 3 l B U j B & l t ; / r i n g & g t ; & l t ; / r p o l y g o n s & g t ; & l t ; r p o l y g o n s & g t ; & l t ; i d & g t ; 7 0 3 1 4 5 8 1 8 0 6 5 5 7 4 2 9 8 2 & l t ; / i d & g t ; & l t ; r i n g & g t ; l u w 5 i 0 o g 7 D q E o B o B 5 B y C 0 J Z 2 C 1 D b 6 Y 8 D l W u j B 9 C s D E t B J J J f l C 5 D x P 8 E u B - T w B _ C x E E E k I y D & l t ; / r i n g & g t ; & l t ; / r p o l y g o n s & g t ; & l t ; r p o l y g o n s & g t ; & l t ; i d & g t ; 7 0 3 1 4 5 9 3 1 4 5 2 7 1 0 9 1 2 1 & l t ; / i d & g t ; & l t ; r i n g & g t ; m k g t k x i 7 7 D K D b F X M b X q B M D 8 G - B o B M 9 B 9 s B s D q D w F G N E Y E t C U J Q d 9 D H D K D d d 3 B D Q & l t ; / r i n g & g t ; & l t ; / r p o l y g o n s & g t ; & l t ; r p o l y g o n s & g t ; & l t ; i d & g t ; 7 0 3 1 4 5 9 4 1 7 6 0 6 3 2 4 2 2 7 & l t ; / i d & g t ; & l t ; r i n g & g t ; i r 1 g 3 4 0 q 7 D p D v F 7 O n F O k C v B u F 8 X i D & l t ; / r i n g & g t ; & l t ; / r p o l y g o n s & g t ; & l t ; r p o l y g o n s & g t ; & l t ; i d & g t ; 7 0 3 1 4 5 9 4 5 1 9 6 6 0 6 2 5 9 3 & l t ; / i d & g t ; & l t ; r i n g & g t ; w l 3 s x 4 l r 7 D 3 O j L x 9 B - H 3 B Z w E 6 C n h B i Z h D x B v B 8 D q L r Q C _ X k P 7 Q o L 7 I & l t ; / r i n g & g t ; & l t ; / r p o l y g o n s & g t ; & l t ; r p o l y g o n s & g t ; & l t ; i d & g t ; 7 0 3 1 4 5 9 4 5 1 9 6 6 0 6 2 5 9 6 & l t ; / i d & g t ; & l t ; r i n g & g t ; 4 x 8 u k 4 - q 7 D 7 u B t D k B j i B q p C q y C l - B i r B q N k Q r s C x R o X x f 3 7 C i w C z R - V 1 G v J _ B y D 6 g B h E k F s H & l t ; / r i n g & g t ; & l t ; / r p o l y g o n s & g t ; & l t ; r p o l y g o n s & g t ; & l t ; i d & g t ; 7 0 3 1 4 5 9 5 2 0 6 8 5 5 3 9 3 2 9 & l t ; / i d & g t ; & l t ; r i n g & g t ; h 8 o r 4 3 1 z 7 D 6 Z v F X r L j S 2 P z G 2 F 2 F n E _ E & l t ; / r i n g & g t ; & l t ; / r p o l y g o n s & g t ; & l t ; r p o l y g o n s & g t ; & l t ; i d & g t ; 7 0 3 1 4 5 9 5 2 0 6 8 5 5 3 9 3 3 2 & l t ; / i d & g t ; & l t ; r i n g & g t ; - x q 3 m _ 0 z 7 D u C V 1 O X M X t D M F 4 E F F O I R I e k C 4 P G q D B G c P L B E G Y N E J C E a H H S Q 8 g B H K & l t ; / r i n g & g t ; & l t ; / r p o l y g o n s & g t ; & l t ; r p o l y g o n s & g t ; & l t ; i d & g t ; 7 0 3 1 4 5 9 5 2 0 6 8 5 5 3 9 3 3 4 & l t ; / i d & g t ; & l t ; r i n g & g t ; 2 x r 4 s 5 n w 7 D K K M 3 B k B M m B D 5 B M 4 C T O B R g B R G R B g B e i C L W B L x C B S C Q S D D l E C K H H H D & l t ; / r i n g & g t ; & l t ; / r p o l y g o n s & g t ; & l t ; r p o l y g o n s & g t ; & l t ; i d & g t ; 7 0 3 1 4 5 9 5 2 0 6 8 5 5 3 9 3 3 7 & l t ; / i d & g t ; & l t ; r i n g & g t ; k w 2 2 l s t w 7 D D 3 B V M X V m B X 9 B M F h C T x B R 2 T B G L L E 6 B 3 C t C D p D g D V & l t ; / r i n g & g t ; & l t ; / r p o l y g o n s & g t ; & l t ; r p o l y g o n s & g t ; & l t ; i d & g t ; 7 0 3 1 4 5 9 5 2 0 6 8 5 5 3 9 3 4 3 & l t ; / i d & g t ; & l t ; r i n g & g t ; u l l v y 5 7 x 7 D m B y G V F q B D X F B g B B T B B G P W C E B E L G E B C C H w B & l t ; / r i n g & g t ; & l t ; / r p o l y g o n s & g t ; & l t ; r p o l y g o n s & g t ; & l t ; i d & g t ; 7 0 3 1 4 5 9 5 2 0 6 8 5 5 3 9 3 4 4 & l t ; / i d & g t ; & l t ; r i n g & g t ; h 8 o i u y 8 w 7 D r D K M m B D X K O I I P B v C L u D J Q & l t ; / r i n g & g t ; & l t ; / r p o l y g o n s & g t ; & l t ; r p o l y g o n s & g t ; & l t ; i d & g t ; 7 0 3 1 4 5 9 5 2 0 6 8 5 5 3 9 3 4 5 & l t ; / i d & g t ; & l t ; r i n g & g t ; t t 9 0 q q y w 7 D 2 M m B K D M o B F O b R _ F 4 B P E J C K H C C L G E C & l t ; / r i n g & g t ; & l t ; / r p o l y g o n s & g t ; & l t ; r p o l y g o n s & g t ; & l t ; i d & g t ; 7 0 3 1 4 5 9 5 2 0 6 8 5 5 3 9 3 4 6 & l t ; / i d & g t ; & l t ; r i n g & g t ; m 2 v 5 y k w w 7 D k B 7 B D q B b P P c n B Y J H D Q K & l t ; / r i n g & g t ; & l t ; / r p o l y g o n s & g t ; & l t ; r p o l y g o n s & g t ; & l t ; i d & g t ; 7 0 3 1 4 5 9 5 2 0 6 8 5 5 3 9 3 4 7 & l t ; / i d & g t ; & l t ; r i n g & g t ; 8 z 1 8 v 6 s w 7 D o E 7 B m B u E 3 B K 0 C M Z D X h C O I F c B E B c n H F O I G e I R I P N L B G L p B E L P L P E E J C H D C Q D V H C Q U d D d u B w B & l t ; / r i n g & g t ; & l t ; / r p o l y g o n s & g t ; & l t ; r p o l y g o n s & g t ; & l t ; i d & g t ; 7 0 3 1 4 5 9 5 5 5 0 4 5 2 7 7 6 9 7 & l t ; / i d & g t ; & l t ; r i n g & g t ; _ 4 3 w 5 h n t 7 D i z _ F j _ T r s L 8 _ g B j r l B - g H i n O m w F 2 k F t 7 q D & l t ; / r i n g & g t ; & l t ; / r p o l y g o n s & g t ; & l t ; r p o l y g o n s & g t ; & l t ; i d & g t ; 7 0 3 1 4 5 9 6 5 8 1 2 4 4 9 2 8 0 1 & l t ; / i d & g t ; & l t ; r i n g & g t ; 7 8 t k q v h q 7 D w Q 5 B t D 7 B M M X 7 B o B o B o B X y C q B s B g B g E - E 9 E B I 0 I G B R G l B W L L P E B E L G 4 D G T t B c L B B E E E z C E C C 2 B w H D H K S h M u B H D w B 6 E H Q k B & l t ; / r i n g & g t ; & l t ; / r p o l y g o n s & g t ; & l t ; r p o l y g o n s & g t ; & l t ; i d & g t ; 7 0 3 1 4 5 9 6 5 8 1 2 4 4 9 2 8 0 2 & l t ; / i d & g t ; & l t ; r i n g & g t ; p r l k _ j 9 p 7 D u C K D 5 B M o B o B X 5 B M M b T e B G e e F I e m C O I I o C e P _ L e P e B P k C B e G I e G L n E D C f H K y B S H f K _ C D d 2 B C r C w B p D V K h G V & l t ; / r i n g & g t ; & l t ; / r p o l y g o n s & g t ; & l t ; r p o l y g o n s & g t ; & l t ; i d & g t ; 7 0 3 1 4 5 9 6 9 2 4 8 4 2 3 1 1 6 9 & l t ; / i d & g t ; & l t ; r i n g & g t ; u 4 w 7 x o 7 m 7 D q v _ D 1 o x G j 6 E w 1 T 9 u 4 F t v I u n e 0 n H - u G r o m B 5 1 i B g j C 6 2 7 E m v y G m 1 M l x r B 0 v i C p z x B j w J 2 j h D k p r D 1 m 8 B x m o F g 8 r B h p g C 9 y R m m K x w o D q v R l i r P 9 8 s B 0 1 T 4 s Z h 4 e 9 j v B v i 7 D r 3 h B h 9 i B h x g B x v w B q 4 W y m S 2 r L x 8 M v v o B 3 h n B l i Y p _ H 4 5 r D 2 8 6 D o w 0 B - z h B w v Y 0 r L 0 v R i 3 I 6 p n D 2 o S u 0 t c 5 i l D w t 8 D h v e s - _ C 8 i - E j q t B m z S v 5 J m x n C s _ G 9 4 X m 2 o D q 3 6 B 3 4 J u 1 S n q i D _ 6 e l y 4 D y g s D i p s C 9 y t G n r t B h j s B m s w E j o h B v n X u g 8 B v x z C i z t D y z F y 5 b k t r B g u M _ j u B k h 3 B u 7 2 B x 7 p B 9 8 E m o t C y s H _ m d 1 n y B 2 q x B n 6 0 C g 2 x B w 2 I n o E 8 r w B v w R m 9 a 4 - C z 6 u B m z q C 5 p S v 2 - K v u i B j 5 6 O 1 z 5 O 4 t X 6 p J 2 _ i B 2 y j B j _ S w 7 O 8 q F y 3 e l m R 9 s 7 B 4 q G q 7 v E p z p B v u K - 6 n C r r t B 1 p F w j N w 1 L - o e y 0 k B u s T i g a k o o B 7 9 V & l t ; / r i n g & g t ; & l t ; / r p o l y g o n s & g t ; & l t ; r p o l y g o n s & g t ; & l t ; i d & g t ; 7 0 3 1 4 5 9 7 2 6 8 4 3 9 6 9 5 3 9 & l t ; / i d & g t ; & l t ; r i n g & g t ; 1 w h 4 s 7 m p 7 D i r b 6 u R 3 0 K w 3 y D s 8 0 C t _ r D 8 3 n C 9 u 5 X v w Q & l t ; / r i n g & g t ; & l t ; / r p o l y g o n s & g t ; & l t ; r p o l y g o n s & g t ; & l t ; i d & g t ; 7 0 3 1 4 5 9 7 6 1 2 0 3 7 0 7 9 0 7 & l t ; / i d & g t ; & l t ; r i n g & g t ; m i o o i r 3 s 7 D r F V K m B V X F i B I I G k C I G F o C B o C m C I z B I B F o C O x B I I T O g B F R t B P R T E n B J J C f h E C C C E E E J C H Q H j B H w B H H C 0 B Q V f D k B u B K D V & l t ; / r i n g & g t ; & l t ; / r p o l y g o n s & g t ; & l t ; r p o l y g o n s & g t ; & l t ; i d & g t ; 7 0 3 1 4 5 9 8 9 8 6 4 2 6 6 1 3 8 7 & l t ; / i d & g t ; & l t ; r i n g & g t ; q 3 5 6 r k 6 0 7 D w C X D X o B M X O I 4 D C E q D E p B C _ C & l t ; / r i n g & g t ; & l t ; / r p o l y g o n s & g t ; & l t ; r p o l y g o n s & g t ; & l t ; i d & g t ; 7 0 3 1 4 5 9 8 9 8 6 4 2 6 6 1 3 8 8 & l t ; / i d & g t ; & l t ; r i n g & g t ; 5 j m _ 3 i 0 0 7 D K u C l I O Z D 3 B K o B Z O F 3 D I R i C G E L 4 B 4 D E C t C j B C U U S & l t ; / r i n g & g t ; & l t ; / r p o l y g o n s & g t ; & l t ; r p o l y g o n s & g t ; & l t ; i d & g t ; 7 0 3 1 4 5 9 8 9 8 6 4 2 6 6 1 3 8 9 & l t ; / i d & g t ; & l t ; r i n g & g t ; p n 3 o 3 h v 1 7 D K 7 B F F V M K p I D g B T I 4 D P q D B R R G E r E r B d Q w B _ E H H V Q & l t ; / r i n g & g t ; & l t ; / r p o l y g o n s & g t ; & l t ; r p o l y g o n s & g t ; & l t ; i d & g t ; 7 0 3 1 4 5 9 8 9 8 6 4 2 6 6 1 3 9 0 & l t ; / i d & g t ; & l t ; r i n g & g t ; i _ i z o 5 t 0 7 D D D p D k B D 7 B 6 G O _ D c E S E c 4 B B 6 B U H & l t ; / r i n g & g t ; & l t ; / r p o l y g o n s & g t ; & l t ; r p o l y g o n s & g t ; & l t ; i d & g t ; 7 0 3 1 4 5 9 8 9 8 6 4 2 6 6 1 3 9 1 & l t ; / i d & g t ; & l t ; r i n g & g t ; t k h 2 h 4 x 0 7 D 3 B r D D K m B M M K M m B m B m B o B M F X M F g B B e m C - C G I l B P P n B E C C C U C E B Y l B N r C D Q & l t ; / r i n g & g t ; & l t ; / r p o l y g o n s & g t ; & l t ; r p o l y g o n s & g t ; & l t ; i d & g t ; 7 0 3 1 4 5 9 9 3 3 0 0 2 3 9 9 7 4 5 & l t ; / i d & g t ; & l t ; r i n g & g t ; 9 y 8 3 7 z 5 1 7 D V 7 t C D X - K k B 8 M X v D M F s B F q C F y C X s B I 7 E G m C v B G p E P R c g G c p E B L 7 C L L 8 B C x E Y C l H E J m D 8 C & l t ; / r i n g & g t ; & l t ; / r p o l y g o n s & g t ; & l t ; r p o l y g o n s & g t ; & l t ; i d & g t ; 7 0 3 1 4 5 9 9 3 3 0 0 2 3 9 9 7 5 2 & l t ; / i d & g t ; & l t ; r i n g & g t ; u 2 8 g w k t 3 7 D V T O F O R P t B P G G D j B j B D o E 3 B & l t ; / r i n g & g t ; & l t ; / r p o l y g o n s & g t ; & l t ; r p o l y g o n s & g t ; & l t ; i d & g t ; 7 0 3 1 4 5 9 9 3 3 0 0 2 3 9 9 7 5 3 & l t ; / i d & g t ; & l t ; r i n g & g t ; 5 j 8 6 6 6 0 2 7 D K k B X K M m B q B Z Z D 4 C F M X D M m B m B 0 C M M Z T O I i C L C C J N Y E E B Y G W B E E E E P L Y E 1 C C j B Q H & l t ; / r i n g & g t ; & l t ; / r p o l y g o n s & g t ; & l t ; r p o l y g o n s & g t ; & l t ; i d & g t ; 7 0 3 1 4 5 9 9 3 3 0 0 2 3 9 9 7 5 4 & l t ; / i d & g t ; & l t ; r i n g & g t ; 9 k m 6 3 w u 3 7 D r F K Z M M F T T B G W _ F B C n C y B C & l t ; / r i n g & g t ; & l t ; / r p o l y g o n s & g t ; & l t ; r p o l y g o n s & g t ; & l t ; i d & g t ; 7 0 3 1 4 6 0 0 3 6 0 8 1 6 1 4 8 4 9 & l t ; / i d & g t ; & l t ; r i n g & g t ; s 1 y s i y 8 3 7 D K X 7 B t D 9 K F Z 8 G M z i B v D 9 B 0 M F T T T t B i I 4 B 6 B L B N C E E q D q D L B P L L G E E E J C j E f C y B C K 9 H K D j B E Y E J a C h B J Q J i F H d & l t ; / r i n g & g t ; & l t ; / r p o l y g o n s & g t ; & l t ; r p o l y g o n s & g t ; & l t ; i d & g t ; 7 0 3 1 4 6 0 0 3 6 0 8 1 6 1 4 8 5 2 & l t ; / i d & g t ; & l t ; r i n g & g t ; o t r n m 7 h 4 7 D o E m B X X o B Z i B n D Z 9 B M F O o B 9 B D D X k B V X 5 B M - B O F I e R o C G B P Y C n B 1 G W z C B Y G B i C G l B B B p B E U C W E u F l B C q H K k B D D H Q H 2 B S f Q l G & l t ; / r i n g & g t ; & l t ; / r p o l y g o n s & g t ; & l t ; r p o l y g o n s & g t ; & l t ; i d & g t ; 7 0 3 1 4 6 0 2 7 6 5 9 9 7 8 3 4 2 7 & l t ; / i d & g t ; & l t ; r i n g & g t ; w 4 z r 7 7 v u 7 D O O l D t H v K L P j B 9 I 4 g B & l t ; / r i n g & g t ; & l t ; / r p o l y g o n s & g t ; & l t ; r p o l y g o n s & g t ; & l t ; i d & g t ; 7 0 3 1 4 6 0 5 1 7 1 1 7 9 5 2 0 0 3 & l t ; / i d & g t ; & l t ; r i n g & g t ; 1 p n r x _ s x 6 D t D M Z g K F o B i N s V o G 4 D g P y F q L y X k D 9 p B & l t ; / r i n g & g t ; & l t ; / r p o l y g o n s & g t ; & l t ; r p o l y g o n s & g t ; & l t ; i d & g t ; 7 0 3 1 4 6 0 5 5 1 4 7 7 6 9 0 3 6 9 & l t ; / i d & g t ; & l t ; r i n g & g t ; 4 2 4 2 g x w x 6 D 9 H s V - O X - n B 7 d u B K v Y y 6 D _ x B 7 B j I 4 C h C l D 3 N g o B t 9 D o 1 F 7 R 9 9 D _ p B 8 n B s F 1 G - E s B y J 8 Z D - O k E - E k G y p B 6 T 6 L m X 4 2 C 7 6 D W 1 7 C p m B 9 x B g - B c v C i o B 7 U l K 9 U L 0 F 6 K 7 I s K x P - K 7 w G n w J x u B i r B t j B z O 3 B V 4 s B 8 C - 3 D y g B _ z B w b r U H n G y B & l t ; / r i n g & g t ; & l t ; / r p o l y g o n s & g t ; & l t ; r p o l y g o n s & g t ; & l t ; i d & g t ; 7 0 3 1 4 6 0 5 5 1 4 7 7 6 9 0 3 7 0 & l t ; / i d & g t ; & l t ; r i n g & g t ; j - s v v 1 8 x 6 D m B F T i J u v H i E z B m N o B 1 B 1 B u w B 8 n B P n H - l E 3 x E 2 k F 8 O 1 P z g D h g E j C 2 g B z Y k W p w B 6 s B q K 5 I 0 j C - L & l t ; / r i n g & g t ; & l t ; / r p o l y g o n s & g t ; & l t ; r p o l y g o n s & g t ; & l t ; i d & g t ; 7 0 3 1 4 6 0 5 5 1 4 7 7 6 9 0 3 7 1 & l t ; / i d & g t ; & l t ; r i n g & g t ; n 4 v 7 m 0 7 x 6 D 6 Q m B X o a m H 7 B _ Q k l B l T Z 4 C r O z F v X t D 3 X s C z m B o j B m I w F r 1 G s I w B n C k b n C g D 0 F w D k v B m I j R 1 C m F 5 D p D & l t ; / r i n g & g t ; & l t ; / r p o l y g o n s & g t ; & l t ; r p o l y g o n s & g t ; & l t ; i d & g t ; 7 0 3 1 4 6 0 5 8 5 8 3 7 4 2 8 7 3 9 & l t ; / i d & g t ; & l t ; r i n g & g t ; 9 3 s z 5 m u 3 6 D q E K m B u E 2 J 5 B 5 B u E 7 B O M g B q 3 B 0 S 8 T g G j 0 B x K z B q C s C b w G r K p H 5 E y O B x R z G 4 B g I 1 G q - F r r B p E G Y p C 9 D l C w B 4 R Q _ C l C u K d Q q H z p B o K v Y Q K x P y R x P 3 B K r F y G 9 H V D x O 3 B V r F q H & l t ; / r i n g & g t ; & l t ; / r p o l y g o n s & g t ; & l t ; r p o l y g o n s & g t ; & l t ; i d & g t ; 7 0 3 1 4 6 0 5 8 5 8 3 7 4 2 8 7 4 6 & l t ; / i d & g t ; & l t ; r i n g & g t ; - w 5 v o _ l 2 6 D m B t D D l I q B Z - B F T q C o C I R x B B v B x B I R O s C O i J B c i C n B w D N 8 B N 0 H 0 B E C Y E w D J E J n C H 9 T K u H o H & l t ; / r i n g & g t ; & l t ; / r p o l y g o n s & g t ; & l t ; r p o l y g o n s & g t ; & l t ; i d & g t ; 7 0 3 1 4 6 0 5 8 5 8 3 7 4 2 8 7 4 7 & l t ; / i d & g t ; & l t ; r i n g & g t ; 4 t z q q q n 2 6 D x j n B 0 x 4 B q 7 n D o g J 6 y 9 B 5 3 4 B x i W v 9 E n 2 1 B u 1 W 8 3 I & l t ; / r i n g & g t ; & l t ; / r p o l y g o n s & g t ; & l t ; r p o l y g o n s & g t ; & l t ; i d & g t ; 7 0 3 1 4 6 0 5 8 5 8 3 7 4 2 8 7 6 4 & l t ; / i d & g t ; & l t ; r i n g & g t ; q r r l _ 4 6 0 6 D t D y C j S i K m E k R s B - B 1 H 6 Y 4 E 8 Q r L 0 y B _ G - B _ G _ G j P p I m V 7 B l L 4 Q 1 F O O 1 B T m C R T 1 B m M B 2 Y 0 I x Q t B 0 O u F - C v B O 0 C 2 C t W _ L 9 C c c o C R q B q B j F B G R m I R I r H E p B g C S h B n M 6 E d 5 D q H n G f 1 C Y a L y B 8 C u B 8 C 9 L - K o H k B 6 E s D j E d d 6 H B i I i T E o I 8 B t a N 1 M o P 6 X U n E 2 D 8 b p s B h e Q - T & l t ; / r i n g & g t ; & l t ; / r p o l y g o n s & g t ; & l t ; r p o l y g o n s & g t ; & l t ; i d & g t ; 7 0 3 1 4 6 0 5 8 5 8 3 7 4 2 8 7 6 5 & l t ; / i d & g t ; & l t ; r i n g & g t ; p 2 3 j i 1 2 3 6 D M F 7 K l D F g B j F l O F m q B 8 Y k e 3 C w B g F H l U p G n G k O y B j Z g O g D & l t ; / r i n g & g t ; & l t ; / r p o l y g o n s & g t ; & l t ; r p o l y g o n s & g t ; & l t ; i d & g t ; 7 0 3 1 4 6 0 5 8 5 8 3 7 4 2 8 7 6 6 & l t ; / i d & g t ; & l t ; r i n g & g t ; k k o y 3 3 5 2 6 D X D K 5 B u E v D o B 9 B q B I t B G 0 c m I U d K Q & l t ; / r i n g & g t ; & l t ; / r p o l y g o n s & g t ; & l t ; r p o l y g o n s & g t ; & l t ; i d & g t ; 7 0 3 1 4 6 0 5 8 5 8 3 7 4 2 8 7 6 7 & l t ; / i d & g t ; & l t ; r i n g & g t ; o 8 k g p v 3 2 6 D k B o B F O z H g B q C b O 0 C o B X O Z j D k C G E z C p B N N u F B C L a J y B l C Q H - I f Q d K K & l t ; / r i n g & g t ; & l t ; / r p o l y g o n s & g t ; & l t ; r p o l y g o n s & g t ; & l t ; i d & g t ; 7 0 3 1 4 6 0 5 8 5 8 3 7 4 2 8 7 6 8 & l t ; / i d & g t ; & l t ; r i n g & g t ; u j r - o p 6 0 6 D x F 9 B o B s C 1 B x H g B h O c v B z E - I 9 D i D k F 0 B h B & l t ; / r i n g & g t ; & l t ; / r p o l y g o n s & g t ; & l t ; r p o l y g o n s & g t ; & l t ; i d & g t ; 7 0 3 1 4 6 0 5 8 5 8 3 7 4 2 8 7 6 9 & l t ; / i d & g t ; & l t ; r i n g & g t ; 6 x p 0 r 7 u 3 6 D _ M 6 I x H r H R g B 1 _ D 7 7 B T m C 2 B k D l E C y B k D C 0 H S l C l C n M y B d 6 N u C u B 5 B u B Q & l t ; / r i n g & g t ; & l t ; / r p o l y g o n s & g t ; & l t ; r p o l y g o n s & g t ; & l t ; i d & g t ; 7 0 3 1 4 6 0 5 8 5 8 3 7 4 2 8 7 7 0 & l t ; / i d & g t ; & l t ; r i n g & g t ; - _ 7 3 0 9 j 2 6 D o E K M D m B Z O I R R v B P 4 B _ B a C H V & l t ; / r i n g & g t ; & l t ; / r p o l y g o n s & g t ; & l t ; r p o l y g o n s & g t ; & l t ; i d & g t ; 7 0 3 1 4 6 0 5 8 5 8 3 7 4 2 8 7 7 1 & l t ; / i d & g t ; & l t ; r i n g & g t ; _ 0 9 o 1 p 0 3 6 D r D X k N M h D - N k U _ T B 1 K P B W P r E i C v B s M L L E C J 2 B S H S D 0 R V u B 7 3 B Q _ N p G i D & l t ; / r i n g & g t ; & l t ; / r p o l y g o n s & g t ; & l t ; r p o l y g o n s & g t ; & l t ; i d & g t ; 7 0 3 1 4 6 0 5 8 5 8 3 7 4 2 8 7 7 2 & l t ; / i d & g t ; & l t ; r i n g & g t ; g y 6 5 o y q 3 6 D r F r D 6 M q r B q f i a _ r F n I j y S t r M _ z E m J m 3 F s e n n B 7 C 8 W l x B 0 D a k D k D 0 H S g w B q F r B o P h s B - G v V u v B 4 u C g s I s L z f t E k I n B 8 B k L 9 M u F l B 4 D k I l B C H & l t ; / r i n g & g t ; & l t ; / r p o l y g o n s & g t ; & l t ; r p o l y g o n s & g t ; & l t ; i d & g t ; 7 0 3 1 4 6 0 6 5 4 5 5 6 9 0 5 4 7 5 & l t ; / i d & g t ; & l t ; r i n g & g t ; w r 1 o s y h 0 6 D w C D X z B j S x B R 7 K R G v C B 8 B n C 6 K h B H y B 7 D Q D j C & l t ; / r i n g & g t ; & l t ; / r p o l y g o n s & g t ; & l t ; r p o l y g o n s & g t ; & l t ; i d & g t ; 7 0 3 1 4 6 0 6 8 8 9 1 6 6 4 3 8 4 2 & l t ; / i d & g t ; & l t ; r i n g & g t ; p t g 3 _ 3 g 3 6 D k V t L 0 C v T I z K n H 8 O _ B z E 0 L j E Q j G & l t ; / r i n g & g t ; & l t ; / r p o l y g o n s & g t ; & l t ; r p o l y g o n s & g t ; & l t ; i d & g t ; 7 0 3 1 4 6 0 6 8 8 9 1 6 6 4 3 8 4 4 & l t ; / i d & g t ; & l t ; r i n g & g t ; _ 3 2 g j y 5 3 6 D r D m B D M u E X K t F 3 O m B o B O 1 B g E R g B 6 T v B R P G e z G t B w D 0 D C J J C H y B p M w B d & l t ; / r i n g & g t ; & l t ; / r p o l y g o n s & g t ; & l t ; r p o l y g o n s & g t ; & l t ; i d & g t ; 7 0 3 1 4 6 0 6 8 8 9 1 6 6 4 3 8 4 5 & l t ; / i d & g t ; & l t ; r i n g & g t ; 2 _ 2 q x q 7 1 6 D V 1 S v X 1 X F 1 F 7 F 3 N o j B h V W l B v E 8 B q F l G 5 I d & l t ; / r i n g & g t ; & l t ; / r p o l y g o n s & g t ; & l t ; r p o l y g o n s & g t ; & l t ; i d & g t ; 7 0 3 1 4 6 0 6 8 8 9 1 6 6 4 3 8 4 7 & l t ; / i d & g t ; & l t ; r i n g & g t ; s q w s o y h 2 6 D K 0 G 5 B Z F X 9 B F q C e g E B B e l B q D E 0 F r C i D f D u B & l t ; / r i n g & g t ; & l t ; / r p o l y g o n s & g t ; & l t ; r p o l y g o n s & g t ; & l t ; i d & g t ; 7 0 3 1 4 6 0 6 8 8 9 1 6 6 4 3 8 4 9 & l t ; / i d & g t ; & l t ; r i n g & g t ; 8 z 0 x l - 3 3 6 D z X r I q B u U R g U l K 4 D v C C x E j J k O g D j U o H & l t ; / r i n g & g t ; & l t ; / r p o l y g o n s & g t ; & l t ; r p o l y g o n s & g t ; & l t ; i d & g t ; 7 0 3 1 4 6 0 6 8 8 9 1 6 6 4 3 8 5 3 & l t ; / i d & g t ; & l t ; r i n g & g t ; m u h 3 g 1 g 3 6 D X K 2 G q B O I o B s E Q H Q _ C V u C 7 B m B t F h L 3 B t D p o B z F D 7 B l I o f o B M O M 2 C 4 C i B y w B o X z Q v C 4 B L x E 8 B 1 C 5 G W L G G x C B F B i B F M F z o B o B 3 c 2 C 4 J x D 7 E x J z C E L w D u D p E a N a Y B G v C 4 B W G m I N N S H C S _ B J f H H l C J C E L 4 B W N N U _ B U d 5 D & l t ; / r i n g & g t ; & l t ; / r p o l y g o n s & g t ; & l t ; r p o l y g o n s & g t ; & l t ; i d & g t ; 7 0 3 1 4 6 0 6 8 8 9 1 6 6 4 3 8 5 4 & l t ; / i d & g t ; & l t ; r i n g & g t ; p _ 9 t 9 7 9 2 6 D 4 G q B q B 3 c n D l F 9 C l V w L 6 F h B n C u B & l t ; / r i n g & g t ; & l t ; / r p o l y g o n s & g t ; & l t ; r p o l y g o n s & g t ; & l t ; i d & g t ; 7 0 3 1 4 6 0 6 8 8 9 1 6 6 4 3 8 5 5 & l t ; / i d & g t ; & l t ; r i n g & g t ; m s h - h 0 q 2 6 D w C m B X y C M M V v D l F x B B G 9 C B I e G G r E B Y C p B G L E _ E Q Q H J y B 3 B & l t ; / r i n g & g t ; & l t ; / r p o l y g o n s & g t ; & l t ; r p o l y g o n s & g t ; & l t ; i d & g t ; 7 0 3 1 4 6 0 8 6 0 7 1 5 3 3 5 6 8 1 & l t ; / i d & g t ; & l t ; r i n g & g t ; j 3 x s k g _ y 6 D 8 p z W m s r 0 B 6 4 t C p q w S 4 n 1 B 3 p 0 N w 8 n B & l t ; / r i n g & g t ; & l t ; / r p o l y g o n s & g t ; & l t ; r p o l y g o n s & g t ; & l t ; i d & g t ; 7 0 3 1 4 6 0 9 2 9 4 3 4 8 1 2 4 1 7 & l t ; / i d & g t ; & l t ; r i n g & g t ; x z 5 1 6 y q w 6 D 3 9 O p 5 a r l Z m l g F k 4 Q i j p P m l t C z h d 4 s i C k i w C x z h H p s l E r _ n E x i d w 4 0 D 7 z K 0 9 l D h o o B r n F h 7 x B w t a - 5 2 C _ p u B y 9 R v j 4 B - - c x t G x 1 a g k m D _ u _ D m l P p 1 o D z m - B 2 g o C 3 n 3 G 7 i p H h m r J n h V q 0 C 7 x 4 C - 4 i B g w D x l K w k 1 B 9 _ a p v S j s K q s 7 B 0 k N 0 y n B r h d i x n B n m j C i - p H h m M 9 h 9 B 4 9 0 C k v Q 9 r I w _ r B h 5 e s 6 L y 1 Q 9 u S h 3 z D j r v C 9 m x H n h K 9 3 G m 0 X j 7 U q 6 q E y k - B 7 s E v 5 J i 7 X 3 z Y u h f 3 - m E 6 q k F 7 q O s s i D p 2 c h 4 0 Y l m n G 4 6 2 C 9 4 C y x 8 S 2 w M w v 8 L 7 i T z n r D 9 v V 5 8 3 B 7 w l D m 4 p C _ 8 E z j q C w h g B h v w B 3 r O l 3 E m 8 p B 2 w M 2 l 5 F v 4 t B 7 o - I r o i U h o p B 1 t E q j 6 C 4 5 F - 3 M q m 5 F y 2 L - y G k v 9 B i q 3 K z 2 C u 6 H y n G u 3 P 8 n 2 C 9 u F o h n B 0 v U q h I 9 _ K n g x B t i D 4 w G t _ M l x O - v g B z j H w u K 2 h P q h a 3 - b 6 m a q v w B h w c 7 v B l n P 5 y K v 5 z B 8 8 U 7 i O o p O 3 g 2 C k x r B 7 m J 5 n N h r G l 8 G j x j B p h P - x y B 9 _ 0 F s 0 w B 2 k 0 B m r _ C z p s B 7 i q B u u G 0 0 b z s g B l o S l 5 K g i i B 5 _ J v n V u k I 5 3 I h 2 7 E w t J 1 4 S 6 u Y l l g B r y v B t 9 k E t g F i j P q n O h - a 3 7 Z r v 3 B 2 3 N o o G 7 0 M 7 9 D w 5 O l k H l 9 Q 3 j J 8 h I l 1 M 0 v M r 5 X - i C y v Q i 3 D y 3 c q 9 p B t 4 H v m G 2 9 F v g w B 7 5 4 B v t P v 2 Y 0 z Q q 4 N m 8 - C g 0 j D 9 8 L z t f 5 m D t i q B - x Z w 7 O 9 4 J 5 l Q 8 4 L - 9 K s 9 m D n h r C p 3 M 9 v V r 7 D 2 s r B k h m C z p b h o h B y g v B k u G 3 w Q 5 z H m v h B i u r B w g G j k M w 2 R k 6 c w 7 Q m h m C i l q B w r X 3 y R 6 t H w 4 R i t K w y M g - T n 3 T j 7 E 6 h U g m T z 6 0 C 8 z G h i U s x y D x z D z u U y s o B v 1 3 E 1 m j C 7 n 6 B 5 u 0 B z 5 N o 1 N 5 7 p B u j 9 D 9 5 k U r w u C t l h C h u i C u h x M 8 z x B q 7 e k v s B l q x C p y N o p D o w S h 9 e 9 4 w B z 4 i e 4 n q C 5 k d z g M t v 0 B 8 _ t B r t m C 9 i j B x x D g w S x 1 H n _ R v 1 G 9 1 w C _ s 6 F l 3 T s w d s u q B 6 t W _ w d - 6 0 B y s x E 5 0 2 B p 8 n V & l t ; / r i n g & g t ; & l t ; / r p o l y g o n s & g t ; & l t ; r p o l y g o n s & g t ; & l t ; i d & g t ; 7 0 3 1 4 6 0 9 6 3 7 9 4 5 5 0 7 9 2 & l t ; / i d & g t ; & l t ; r i n g & g t ; z 3 u t 6 v 2 x 6 D V w C p D y C m B - B i B g E x B g B m M o e 8 n C g I P 0 F q F C S H Q - p B Q - D g O l C d Q d & l t ; / r i n g & g t ; & l t ; / r p o l y g o n s & g t ; & l t ; r p o l y g o n s & g t ; & l t ; i d & g t ; 7 0 3 1 4 6 0 9 6 3 7 9 4 5 5 0 8 0 0 & l t ; / i d & g t ; & l t ; r i n g & g t ; x n u 6 n - w y 6 D 3 B 9 H 0 C F T 5 E c e _ p B l S i B i K z B 1 B T B I I I B G i G E L N J S H C C N E E N E _ C H H D j E y B S a C H C g D j U 9 D y R & l t ; / r i n g & g t ; & l t ; / r p o l y g o n s & g t ; & l t ; r p o l y g o n s & g t ; & l t ; i d & g t ; 7 0 3 1 4 6 0 9 6 3 7 9 4 5 5 0 8 0 1 & l t ; / i d & g t ; & l t ; r i n g & g t ; j - o o 5 h z y 6 D m B V t F k B r D w C 5 B o B o B b O v K R R B G q D L G g B G G L L L W s D W n B C B y B n C n C d K D d & l t ; / r i n g & g t ; & l t ; / r p o l y g o n s & g t ; & l t ; r p o l y g o n s & g t ; & l t ; i d & g t ; 7 0 3 1 4 6 0 9 6 3 7 9 4 5 5 0 8 0 2 & l t ; / i d & g t ; & l t ; r i n g & g t ; p k v y k k n y 6 D u C V w C r X m B 3 O 2 G u E u E O I G I P P L P W 4 O W 7 C 3 Q O T F 9 B T B R e B B P P L - Q U U J D C K H K Q 5 D & l t ; / r i n g & g t ; & l t ; / r p o l y g o n s & g t ; & l t ; r p o l y g o n s & g t ; & l t ; i d & g t ; 7 0 3 1 4 6 0 9 6 3 7 9 4 5 5 0 8 0 3 & l t ; / i d & g t ; & l t ; r i n g & g t ; u 6 5 6 5 3 u y 6 D t F m B 5 B Z j D m C e B k G 9 G E Y u D 8 E 6 E & l t ; / r i n g & g t ; & l t ; / r p o l y g o n s & g t ; & l t ; r p o l y g o n s & g t ; & l t ; i d & g t ; 7 0 3 1 4 6 0 9 6 3 7 9 4 5 5 0 8 0 4 & l t ; / i d & g t ; & l t ; r i n g & g t ; 2 5 7 _ z 7 x y 6 D k B s E y G m B m B M O I B G B G G B G P e P G 4 B G L p B S C Q k B & l t ; / r i n g & g t ; & l t ; / r p o l y g o n s & g t ; & l t ; r p o l y g o n s & g t ; & l t ; i d & g t ; 7 0 3 1 4 6 0 9 6 3 7 9 4 5 5 0 8 0 5 & l t ; / i d & g t ; & l t ; r i n g & g t ; 9 u 7 g g 9 l y 6 D 6 x g D u k 6 H p 9 S n z j D 3 n E j 7 j L z 1 H x 1 Q r - z E 5 8 x B & l t ; / r i n g & g t ; & l t ; / r p o l y g o n s & g t ; & l t ; r p o l y g o n s & g t ; & l t ; i d & g t ; 7 0 3 1 4 6 0 9 6 3 7 9 4 5 5 0 8 0 6 & l t ; / i d & g t ; & l t ; r i n g & g t ; v o _ v q y s y 6 D z c T k E m G 4 u E s D w K 8 C d j M 7 p B & l t ; / r i n g & g t ; & l t ; / r p o l y g o n s & g t ; & l t ; r p o l y g o n s & g t ; & l t ; i d & g t ; 7 0 3 1 4 6 1 0 6 6 8 7 3 7 6 5 8 9 0 & l t ; / i d & g t ; & l t ; r i n g & g t ; o t i 7 8 4 n 5 6 D k B m B X M n T s C g B 3 K t H s F a J z C N U C C p B C w B f C S C f l C V & l t ; / r i n g & g t ; & l t ; / r p o l y g o n s & g t ; & l t ; r p o l y g o n s & g t ; & l t ; i d & g t ; 7 0 3 1 4 6 1 0 6 6 8 7 3 7 6 5 8 9 2 & l t ; / i d & g t ; & l t ; r i n g & g t ; i x i x w 3 7 5 6 D x F n I u y B y J j I T I B G R R F b I I t B l K v B c G E B p B r B r B Y B W P L L y B C j B p C 0 B Q d & l t ; / r i n g & g t ; & l t ; / r p o l y g o n s & g t ; & l t ; r p o l y g o n s & g t ; & l t ; i d & g t ; 7 0 3 1 4 6 1 0 6 6 8 7 3 7 6 5 8 9 4 & l t ; / i d & g t ; & l t ; r i n g & g t ; 3 5 g 6 z l r 5 6 D K D r D t D q B O o C i B o B F I r H e 4 D z Q 9 C 5 C E Q n C y B w B q H Q k B D K Q D & l t ; / r i n g & g t ; & l t ; / r p o l y g o n s & g t ; & l t ; r p o l y g o n s & g t ; & l t ; i d & g t ; 7 0 3 1 4 6 1 0 6 6 8 7 3 7 6 5 9 0 0 & l t ; / i d & g t ; & l t ; r i n g & g t ; o h l l _ p 9 4 6 D t F z F D 6 C M K X K D j G K K Z M q C z B T 1 D O 5 K k E k G c g C h B p C - r B 8 c a h B C D C f Q D & l t ; / r i n g & g t ; & l t ; / r p o l y g o n s & g t ; & l t ; r p o l y g o n s & g t ; & l t ; i d & g t ; 7 0 3 1 4 6 1 0 6 6 8 7 3 7 6 5 9 0 1 & l t ; / i d & g t ; & l t ; r i n g & g t ; s s 9 8 0 z s 5 6 D q E 0 G 0 G k B V u B H V D u C r D V x F O F T T I m C c W i C P P B B R G P P 4 B 7 C k C G I m C T R G G G B P L i I p U d u K D Q K & l t ; / r i n g & g t ; & l t ; / r p o l y g o n s & g t ; & l t ; r p o l y g o n s & g t ; & l t ; i d & g t ; 7 0 3 1 4 6 1 0 6 6 8 7 3 7 6 5 9 0 2 & l t ; / i d & g t ; & l t ; r i n g & g t ; 2 8 n g w u - 4 6 D V u E 6 G k J 9 j C F q C n I n I v D 9 B v H h D e G v B R B I - C m C R z C a j B o O J U E v U C S J 0 B S w H H u K y B H K K & l t ; / r i n g & g t ; & l t ; / r p o l y g o n s & g t ; & l t ; r p o l y g o n s & g t ; & l t ; i d & g t ; 7 0 3 1 4 6 1 0 6 6 8 7 3 7 6 5 9 0 3 & l t ; / i d & g t ; & l t ; r i n g & g t ; 8 8 u u 8 2 z 5 6 D p D r F 2 G 2 G 1 O x F 3 D B o C _ F 7 k B t E z C r N & l t ; / r i n g & g t ; & l t ; / r p o l y g o n s & g t ; & l t ; r p o l y g o n s & g t ; & l t ; i d & g t ; 7 0 3 1 4 6 1 1 0 1 2 3 3 5 0 4 2 5 9 & l t ; / i d & g t ; & l t ; r i n g & g t ; i - 8 7 g _ 7 6 6 D 0 9 0 B p s n G i 4 o B p _ l B h 3 3 J v s Q y h r B 2 x Z q 1 I g 5 4 B w q h B l u n G o 1 O g 5 o B i _ 5 O q i z C q l y I h s s D w 0 z M 3 p X v w 2 E z 7 1 C g _ 5 C k s j D 4 o B 8 8 h C z 0 O 6 _ J o 1 N j h _ B 5 r V _ 8 G l z U k u G y 1 u H 5 u Z n 1 p D 3 2 F t m x D p t L s 4 V 1 w H i x w B k y 9 B y 3 B s 9 U j i S i h 9 E j y i C z 8 m C 0 4 E 0 5 C g x W x 1 x C h x B z p d v v E h n D l l B z p E u 9 I 6 g D k u J 7 - w B l 1 x C s 9 b l 8 0 C 4 _ D u s M t v E & l t ; / r i n g & g t ; & l t ; / r p o l y g o n s & g t ; & l t ; r p o l y g o n s & g t ; & l t ; i d & g t ; 7 0 3 1 4 6 1 3 4 1 7 5 1 6 7 2 8 3 3 & l t ; / i d & g t ; & l t ; r i n g & g t ; q 7 9 v y m _ 0 6 D D X M o B Z q B F - B O m B o B T O i E h D e i C G P l V 4 B L Y N g C a J p C _ E d z P o E & l t ; / r i n g & g t ; & l t ; / r p o l y g o n s & g t ; & l t ; r p o l y g o n s & g t ; & l t ; i d & g t ; 7 0 3 1 4 6 1 3 4 1 7 5 1 6 7 2 8 3 4 & l t ; / i d & g t ; & l t ; r i n g & g t ; o 2 g 4 8 2 j 0 6 D - H 4 G r T x L _ I e v B 7 E i L y F i p B g D l C Q Q o E & l t ; / r i n g & g t ; & l t ; / r p o l y g o n s & g t ; & l t ; r p o l y g o n s & g t ; & l t ; i d & g t ; 7 0 3 1 4 6 1 3 4 1 7 5 1 6 7 2 8 3 5 & l t ; / i d & g t ; & l t ; r i n g & g t ; n 4 j m 8 l y 0 6 D K V M m B 7 B 0 C X F F b I F g E o C r H 5 E z C Y E 3 C 3 C S g D Q u B d u C & l t ; / r i n g & g t ; & l t ; / r p o l y g o n s & g t ; & l t ; r p o l y g o n s & g t ; & l t ; i d & g t ; 7 0 3 1 4 6 1 3 4 1 7 5 1 6 7 2 8 3 6 & l t ; / i d & g t ; & l t ; r i n g & g t ; z u 7 2 x - p 0 6 D s J 2 G 7 B M M M 9 B Z O O R T R R m C - C P G i C c 7 Z B 5 G J C S i D w B 5 I H u B d V & l t ; / r i n g & g t ; & l t ; / r p o l y g o n s & g t ; & l t ; r p o l y g o n s & g t ; & l t ; i d & g t ; 7 0 3 1 4 6 1 3 4 1 7 5 1 6 7 2 8 3 9 & l t ; / i d & g t ; & l t ; r i n g & g t ; 2 k 5 q o j 4 y 6 D z D _ f 6 G u E K r 9 B s l B j v B p L h v B 4 G 5 O y E T g B s j B _ F j O 1 K g B o B D u C u C K X X F T R q D i G T z B r K P c l B W t E u 2 C i D p G s P L E y 9 B x y C B 5 E _ B 9 6 C k F J V D & l t ; / r i n g & g t ; & l t ; / r p o l y g o n s & g t ; & l t ; r p o l y g o n s & g t ; & l t ; i d & g t ; 7 0 3 1 4 6 1 7 1 9 7 0 8 7 9 4 8 8 3 & l t ; / i d & g t ; & l t ; r i n g & g t ; u 0 1 l u y - x 6 D K r D K X F q B T g E q G i E s C b F z D 5 F b u M m E i B r O I b F Z O q B x D 2 C 2 C F o B Z M o B Z q C x 0 D 3 h B 3 2 B p _ B u a h C 2 E s B 2 e v S p F r I j 8 B F 6 6 C y E M M O F o Q i E 2 n D z F 2 J o B 2 J V h I 9 B k C 3 n B 4 U l u B p t C i K m 6 B s V p 2 D y C i z C F z D - 8 H y s B y s B l D i B F I R G q D z C 8 B Y N 2 B 9 i C l 9 C 4 2 B 0 D h H y D w D y h D s 2 D w i B N p R 2 B s S 8 p D z e n R p V z f E B j N x C i I Y 0 F u F k o B 0 F - G J C J H C p C i D h J D f Q H n C f S h B C r C D H u B D Q k B 8 E H f H p C 0 B t G h B f f 6 E X t D q B 7 B _ C n C l C 8 N j H w I J H l E S J 8 H N 2 B 0 D E N C _ B o D 2 D 0 D E i Y p B _ B r B _ B _ B N r B j B l H U J m D r C g C y L 2 D U C n B w D G w F Y z C W 0 X s D L 7 f j 5 B 2 L J t M k S Q H d H l C K d V Q r D t F u C 3 B j C u B V H 3 B & l t ; / r i n g & g t ; & l t ; / r p o l y g o n s & g t ; & l t ; r p o l y g o n s & g t ; & l t ; i d & g t ; 7 0 3 1 4 6 3 2 3 1 5 3 7 2 8 3 0 7 3 & l t ; / i d & g t ; & l t ; r i n g & g t ; i q 6 v 7 x j t 7 D k B g 6 B v F 8 M r o B j C k B V D w E 1 F 6 G 2 J i l B t c t L 6 J 8 Q x c y J M p 2 B k 6 B i i C 7 o B m J 6 D k C t h C Y 0 c W 4 c Y l z C o L k I n l B 3 5 B v l B r m D 9 j I x a E N H C & l t ; / r i n g & g t ; & l t ; / r p o l y g o n s & g t ; & l t ; r p o l y g o n s & g t ; & l t ; i d & g t ; 7 0 3 1 4 6 3 2 3 1 5 3 7 2 8 3 0 7 4 & l t ; / i d & g t ; & l t ; r i n g & g t ; t 3 z t l q y t 7 D s r b w 3 y F 5 g u E 3 u 5 S v m 7 D n m S n s - B m g 6 c 1 k n F & l t ; / r i n g & g t ; & l t ; / r p o l y g o n s & g t ; & l t ; r p o l y g o n s & g t ; & l t ; i d & g t ; 7 0 3 1 4 6 7 6 2 9 5 8 3 7 9 4 1 8 3 & l t ; / i d & g t ; & l t ; r i n g & g t ; l x h 4 0 i - g 9 D X K q B s C h F 9 m B x B I I I I - C - E - E m G o G x H g k D q G q C R g E O O 5 B _ C w H y B h B 9 D _ R z Y q H - K D X y C M q B j F j D q B 2 C D w E s B x H x H _ I _ I i B x B i J _ j D 7 _ C R x H r t B t K m G _ 4 D v H x B 8 D i G g G 4 D 8 L G z R k M v B r H g G B k I 6 F m O 9 P g S t U t U 6 i F 7 G N N 9 I f 4 j C D v 7 E 6 N 9 Y v q B k F 2 H j 4 B 3 t D 6 R j G l C 6 N q K u H _ C q H & l t ; / r i n g & g t ; & l t ; / r p o l y g o n s & g t ; & l t ; r p o l y g o n s & g t ; & l t ; i d & g t ; 7 0 3 1 4 6 7 6 2 9 5 8 3 7 9 4 1 8 5 & l t ; / i d & g t ; & l t ; r i n g & g t ; 2 l v 6 6 0 2 g 9 D u n N 3 t 2 B s h r B 9 x n B 3 x h B 4 o U 0 q P u - 1 C 8 u Z j u v D 2 0 p B r j 9 B v k d p 0 y E - t g R i 0 t B n _ h E & l t ; / r i n g & g t ; & l t ; / r p o l y g o n s & g t ; & l t ; r p o l y g o n s & g t ; & l t ; i d & g t ; 7 0 3 1 4 6 7 6 2 9 5 8 3 7 9 4 1 8 6 & l t ; / i d & g t ; & l t ; r i n g & g t ; 4 2 l 5 8 m x g 9 D p j u B q m b 2 - 4 h B 7 9 1 h B x _ z B m 8 n G 9 i j B k _ H - 3 j D g n N m q z F n t v B u y i B u z m 5 C & l t ; / r i n g & g t ; & l t ; / r p o l y g o n s & g t ; & l t ; r p o l y g o n s & g t ; & l t ; i d & g t ; 7 0 3 1 4 6 7 6 2 9 5 8 3 7 9 4 1 8 7 & l t ; / i d & g t ; & l t ; r i n g & g t ; u 2 g 6 m 1 1 g 9 D 1 O m V x D b I I m C z B F _ J 2 C 9 C P i C n H 9 C 2 Y P 6 D q D n B 1 C C U J C u B 0 b l e k t B & l t ; / r i n g & g t ; & l t ; / r p o l y g o n s & g t ; & l t ; r p o l y g o n s & g t ; & l t ; i d & g t ; 7 0 3 1 4 6 7 6 2 9 5 8 3 7 9 4 1 8 8 & l t ; / i d & g t ; & l t ; r i n g & g t ; w s - 6 x s 3 g 9 D 3 B 5 H w 4 B T h S x t B k M m G i q B t 0 B m q B o G h O h F x H x K _ I r H m I p Q 9 P g D h Q p M n G h w E w t B 5 Y 7 T m b _ E l G h Q g D g D _ E & l t ; / r i n g & g t ; & l t ; / r p o l y g o n s & g t ; & l t ; r p o l y g o n s & g t ; & l t ; i d & g t ; 7 0 3 1 4 6 7 6 2 9 5 8 3 7 9 4 1 9 4 & l t ; / i d & g t ; & l t ; r i n g & g t ; 8 i 2 x 1 l v g 9 D u C V F i B k J I x B x H 8 w B p z D v K 9 m B I o G o C x B R g B x B k U 6 Y 4 j B m C x B t q G 8 t D x H - R v H i Q m M _ D t W v K g E o 4 B x K h S x H h D h O h F _ D R 4 Y _ T t H 8 D 6 D R n K G G Y m F H _ R 7 Y l G 7 I 3 Y Q Q h e 9 P 9 I - p B 8 m B n e i F y K S w K g F - 3 B 1 w B 0 j C x - B s K u H x o F H 6 7 B 6 7 B 9 Y 9 D g O l U 7 w B Q u H 7 I 9 D w B & l t ; / r i n g & g t ; & l t ; / r p o l y g o n s & g t ; & l t ; r p o l y g o n s & g t ; & l t ; i d & g t ; 7 0 3 1 4 6 7 6 2 9 5 8 3 7 9 4 1 9 5 & l t ; / i d & g t ; & l t ; r i n g & g t ; g 9 5 t o j g h 9 D j L s Q 8 y B x D k H p O I 3 W z b v W 7 N 7 C t B s D 8 F h B 0 H i F i D h J j B U x C E 8 D i M v b 9 t B o e h F 0 j D 8 w C m e m k E v B v B G W r J y K k n B v w I n k D n e - o F n C p G l C u K w 7 B k B 7 T 3 B o E & l t ; / r i n g & g t ; & l t ; / r p o l y g o n s & g t ; & l t ; r p o l y g o n s & g t ; & l t ; i d & g t ; 7 0 3 1 4 6 7 7 3 2 6 6 3 0 0 9 2 8 7 & l t ; / i d & g t ; & l t ; r i n g & g t ; 4 z x j 4 5 _ g 9 D w Q w C v F x O y J l I q C q G 7 m B _ D 6 j B k M _ D v H - E o 4 B j k C 2 j D w 4 D r 0 B h S - 7 B v o D 0 w B 2 p B G 8 T 3 9 D q w C k C 9 E k G _ Y B g 4 B _ I _ I 7 7 B l t B R R l b t j C t H 8 I - N k M r b i G c 4 D N i D n C - j D u 1 C 7 w B l C 7 - B 1 v E Q z w C p - H 9 n C 5 x G _ N 0 s K u K q 0 B l G q W j 4 N 1 t D 3 p B 3 P 7 D 8 N y m B u C K K 9 L & l t ; / r i n g & g t ; & l t ; / r p o l y g o n s & g t ; & l t ; r p o l y g o n s & g t ; & l t ; i d & g t ; 7 0 3 1 4 6 7 8 0 1 3 8 2 4 8 6 0 1 7 & l t ; / i d & g t ; & l t ; r i n g & g t ; o o n 3 _ 8 g h 9 D 7 4 d - 4 s I m v L j 5 - X p v x L v r c x 8 2 n C y w _ I & l t ; / r i n g & g t ; & l t ; / r p o l y g o n s & g t ; & l t ; r p o l y g o n s & g t ; & l t ; i d & g t ; 7 0 3 1 4 6 7 9 3 8 8 2 1 4 3 9 4 8 9 & l t ; / i d & g t ; & l t ; r i n g & g t ; k p 8 w 7 r o 4 8 D g 8 C M n L o B X Z o B 9 O 8 I e l D s B r y D p m B _ H 6 B W _ B y D j V i I x C Y p B g C q K 0 G k _ C v 3 B & l t ; / r i n g & g t ; & l t ; / r p o l y g o n s & g t ; & l t ; r p o l y g o n s & g t ; & l t ; i d & g t ; 7 0 3 1 4 6 7 9 3 8 8 2 1 4 3 9 4 9 0 & l t ; / i d & g t ; & l t ; r i n g & g t ; s w 2 z v x n 3 8 D _ U 6 M 0 E M 8 J i H k Q 1 K n b 5 N r r B l V r E 9 G o I 6 F 6 F 4 m B x Y k B z d & l t ; / r i n g & g t ; & l t ; / r p o l y g o n s & g t ; & l t ; r p o l y g o n s & g t ; & l t ; i d & g t ; 7 0 3 1 4 6 7 9 3 8 8 2 1 4 3 9 4 9 1 & l t ; / i d & g t ; & l t ; r i n g & g t ; j 4 v o u h q 3 8 D 3 S m V b z D h O 6 L p H g I c 5 M g C j M n M 7 T & l t ; / r i n g & g t ; & l t ; / r p o l y g o n s & g t ; & l t ; r p o l y g o n s & g t ; & l t ; i d & g t ; 7 0 3 1 4 6 7 9 7 3 1 8 1 1 7 7 8 5 7 & l t ; / i d & g t ; & l t ; r i n g & g t ; 4 o w 6 g j 0 4 8 D y C s C M X o E u C - B t T g B t W i C o X z C 0 B 6 B E C 3 E D Q l C Q m D j B s J & l t ; / r i n g & g t ; & l t ; / r p o l y g o n s & g t ; & l t ; r p o l y g o n s & g t ; & l t ; i d & g t ; 7 0 3 1 4 6 8 0 7 6 2 6 0 3 9 2 9 6 6 & l t ; / i d & g t ; & l t ; r i n g & g t ; z z u v s g v 8 8 D X h I m B 7 B M 7 B F - B s B v B v B o L 2 F p B m D & l t ; / r i n g & g t ; & l t ; / r p o l y g o n s & g t ; & l t ; r p o l y g o n s & g t ; & l t ; i d & g t ; 7 0 3 1 4 6 8 0 7 6 2 6 0 3 9 2 9 6 7 & l t ; / i d & g t ; & l t ; r i n g & g t ; 1 z y n 0 9 w 8 8 D h I X r L w E x K v J s D l B 7 J l G _ C & l t ; / r i n g & g t ; & l t ; / r p o l y g o n s & g t ; & l t ; r p o l y g o n s & g t ; & l t ; i d & g t ; 7 0 3 1 4 6 8 2 8 2 4 1 8 8 2 3 1 7 2 & l t ; / i d & g t ; & l t ; r i n g & g t ; r u w v w 2 6 y 8 D x D F b g E x B I x H t H k G k G 8 I R - E 8 I t H k G g E v H _ D j D b I F z B I _ D i G 3 G G t B 3 G U N C N r E 4 I k C 5 G p C o W 5 D D o E k B 2 M t F V k B k B u B 8 E l C d u B w B d _ C l G u H - D y B C Q 9 D n C H H y B j G - D s H o E & l t ; / r i n g & g t ; & l t ; / r p o l y g o n s & g t ; & l t ; r p o l y g o n s & g t ; & l t ; i d & g t ; 7 0 3 1 4 6 8 3 1 6 7 7 8 5 6 1 5 4 3 & l t ; / i d & g t ; & l t ; r i n g & g t ; x r v y i 3 j 1 8 D t F p D X 7 B - B q C z B g B I i B M 9 B v F 4 G s B 7 E F i B q E 5 D w B w B H g D p C g F p D q E F v D z F z F w E v D h C _ D j F B - E M b l I 0 J p D w C K w C V z F i G 9 E v J g E v B e t H 4 D u F k I 5 G L l B i C 1 G B s F p E W t B 4 D t G - L 7 I D 7 D Q 5 D 1 C w F N N r B L t E 1 G G 4 B P l B c P w D p C f f f f H n C _ E H H g D K j C & l t ; / r i n g & g t ; & l t ; / r p o l y g o n s & g t ; & l t ; r p o l y g o n s & g t ; & l t ; i d & g t ; 7 0 3 1 4 6 8 3 1 6 7 7 8 5 6 1 5 4 4 & l t ; / i d & g t ; & l t ; r i n g & g t ; v x 7 o w 4 p 1 8 D v F 3 B 3 B 5 D w C K K 3 B 4 G q E r D O Z B 6 L 7 E g G m C e c v B w F 7 C 6 D L u D w D r E l G 6 E - K & l t ; / r i n g & g t ; & l t ; / r p o l y g o n s & g t ; & l t ; r p o l y g o n s & g t ; & l t ; i d & g t ; 7 0 3 1 4 6 8 3 1 6 7 7 8 5 6 1 5 4 5 & l t ; / i d & g t ; & l t ; r i n g & g t ; m o o 7 z 3 2 0 8 D p D D u C q E - E I R - C 2 j B k U 6 D e v B v H u F N N p C l G u H s H D _ E Q n C 6 E p D K & l t ; / r i n g & g t ; & l t ; / r p o l y g o n s & g t ; & l t ; r p o l y g o n s & g t ; & l t ; i d & g t ; 7 0 3 1 4 6 8 3 5 1 1 3 8 2 9 9 9 0 7 & l t ; / i d & g t ; & l t ; r i n g & g t ; o j u 5 k 3 4 u 8 D q E 2 G v D 1 B q C q G m G l D i B z B T 4 e 9 B M q B 4 C s B 9 E B 7 C 1 G z C w D 3 G 5 G c l B t B R t B v B 7 E 7 E k C e 1 B z F q E o B M i B F e m C W v C u F t E B E u D 2 B 0 B j B j B a N j B k D p C n C H d _ C 8 C q H h G 5 D r F 8 C p D o B 0 C q E _ E Q g F g F 0 B i D g D y B f V 3 B & l t ; / r i n g & g t ; & l t ; / r p o l y g o n s & g t ; & l t ; r p o l y g o n s & g t ; & l t ; i d & g t ; 7 0 3 1 4 6 8 3 5 1 1 3 8 2 9 9 9 1 1 & l t ; / i d & g t ; & l t ; r i n g & g t ; 8 j g m p 0 6 u 8 D p D 2 C M 2 E g E l D k E 1 B F b q C 7 E 7 C P l B 3 C C U C h B C S p C f f - D p C i D j G & l t ; / r i n g & g t ; & l t ; / r p o l y g o n s & g t ; & l t ; r p o l y g o n s & g t ; & l t ; i d & g t ; 7 0 3 1 4 6 8 3 5 1 1 3 8 2 9 9 9 1 2 & l t ; / i d & g t ; & l t ; r i n g & g t ; 2 u 1 k p 7 8 u 8 D p D X v D b F 1 B l D O O s B o B M q C o G 1 B m G g E z B v H R - C p E 6 B n B W 6 B U C n C f H 7 D l G D i D C h B r B k D J r G i D H g D 6 E & l t ; / r i n g & g t ; & l t ; / r p o l y g o n s & g t ; & l t ; r p o l y g o n s & g t ; & l t ; i d & g t ; 7 0 3 1 4 6 8 4 5 4 2 1 7 5 1 5 0 1 0 & l t ; / i d & g t ; & l t ; r i n g & g t ; i 3 4 4 _ v 5 s 8 D v F 5 B 5 B n I 9 B 7 B 0 C o E H 9 D 8 C u C D o E j I o V M z F _ G q B v h B Z w V 1 B F i B z B T z B v B v B h D I g E h F p b v H 9 E 4 D 7 E L 4 B l B W v E Y 2 F a g C h B g F g D d 1 C p C i D a C N J U C r B r B 1 C L 8 B _ B w F u D W E a p C r F v F k B u B S H x E q D y F y B 5 D & l t ; / r i n g & g t ; & l t ; / r p o l y g o n s & g t ; & l t ; r p o l y g o n s & g t ; & l t ; i d & g t ; 7 0 3 1 4 6 8 4 5 4 2 1 7 5 1 5 0 1 3 & l t ; / i d & g t ; & l t ; r i n g & g t ; 5 o n 2 7 l m s 8 D u E 2 J j I j I y C 7 B y J t D m B 5 B m B V k B f H U C 0 B V k B j I D z F 9 B Z g B x B k G 9 E k C c - E G e t B 7 E 6 D v B 6 T 9 E B 2 - B 8 I m C x B 9 E 9 E t H p H 4 D q D B u F 3 G c l B g G 7 C t E g F i D N J _ B H y B y K H s H 6 E V k B p D u C q E 2 G t F o E k B V 5 B w C w C X K r D 5 D j C Q 0 B r E 4 D 7 C 6 D B 9 C x E j G 5 I 5 D v F o E C H a o L g C H y B z C 0 B p D & l t ; / r i n g & g t ; & l t ; / r p o l y g o n s & g t ; & l t ; r p o l y g o n s & g t ; & l t ; i d & g t ; 7 0 3 1 4 6 8 5 2 2 9 3 6 9 9 1 7 4 5 & l t ; / i d & g t ; & l t ; r i n g & g t ; p w _ o p 8 _ o 8 D m B y C - B h D o C v H m G 2 P e g I w D j J s W - L x P & l t ; / r i n g & g t ; & l t ; / r p o l y g o n s & g t ; & l t ; r p o l y g o n s & g t ; & l t ; i d & g t ; 7 0 3 1 4 6 8 5 2 2 9 3 6 9 9 1 7 4 9 & l t ; / i d & g t ; & l t ; r i n g & g t ; 4 j j l w p v p 8 D M y C z D x D o N q B l D t K 3 N v E 0 B v E _ B j B C U J J - D 8 E 6 E & l t ; / r i n g & g t ; & l t ; / r p o l y g o n s & g t ; & l t ; r p o l y g o n s & g t ; & l t ; i d & g t ; 7 0 3 1 4 6 8 5 2 2 9 3 6 9 9 1 7 5 9 & l t ; / i d & g t ; & l t ; r i n g & g t ; 9 3 _ 3 4 z s p 8 D p D M x F V 5 B o B Z i J v H 4 D q D E o L J N 0 B l G V u B & l t ; / r i n g & g t ; & l t ; / r p o l y g o n s & g t ; & l t ; r p o l y g o n s & g t ; & l t ; i d & g t ; 7 0 3 1 4 6 8 5 2 2 9 3 6 9 9 1 7 7 2 & l t ; / i d & g t ; & l t ; r i n g & g t ; 3 p i 4 t g n p 8 D - 1 V 7 y s B u 1 d u m M h u R p t x B 2 k I 4 r b t l E _ - 4 B y u u B t w J h - K v l Q g j U 1 r c t y c 0 2 d - o C _ i H n z O g g 3 B y 2 E m q Q 9 u o B w 0 Y k r M l j u I & l t ; / r i n g & g t ; & l t ; / r p o l y g o n s & g t ; & l t ; r p o l y g o n s & g t ; & l t ; i d & g t ; 7 0 3 1 4 6 8 5 2 2 9 3 6 9 9 1 7 7 3 & l t ; / i d & g t ; & l t ; r i n g & g t ; o 6 4 0 p i 2 p 8 D 0 C X z F F b T F v H e c 8 I 9 E 7 E r E w D 8 E n C - D a h B J g D k B V p D 5 D & l t ; / r i n g & g t ; & l t ; / r p o l y g o n s & g t ; & l t ; r p o l y g o n s & g t ; & l t ; i d & g t ; 7 0 3 1 4 6 8 5 2 2 9 3 6 9 9 1 7 7 4 & l t ; / i d & g t ; & l t ; r i n g & g t ; w z 7 v t z _ o 8 D r F g N T i B G t K 6 D k C 5 E u D r C 8 N 8 E d & l t ; / r i n g & g t ; & l t ; / r p o l y g o n s & g t ; & l t ; r p o l y g o n s & g t ; & l t ; i d & g t ; 7 0 3 1 4 6 8 5 2 2 9 3 6 9 9 1 7 7 5 & l t ; / i d & g t ; & l t ; r i n g & g t ; _ m i t - 3 2 p 8 D 6 G K r D F b 2 C u E M 1 B 1 R v C u F 4 D 6 B W _ B p C _ N j C K 8 E & l t ; / r i n g & g t ; & l t ; / r p o l y g o n s & g t ; & l t ; r p o l y g o n s & g t ; & l t ; i d & g t ; 7 0 3 1 4 6 8 5 2 2 9 3 6 9 9 1 7 7 6 & l t ; / i d & g t ; & l t ; r i n g & g t ; w m 8 u n q l p 8 D s B B i B 2 C 2 C i G 7 C _ F c P e t B n W 7 E R i C P l B _ B s K 8 E 1 I 3 B K u B 3 I j C K 8 N 9 D K u C & l t ; / r i n g & g t ; & l t ; / r p o l y g o n s & g t ; & l t ; r p o l y g o n s & g t ; & l t ; i d & g t ; 7 0 3 1 4 6 8 5 2 2 9 3 6 9 9 1 7 7 7 & l t ; / i d & g t ; & l t ; r i n g & g t ; x 6 z 4 4 l k p 8 D D s E O 1 D O Z O O g E m C e P c w D t C 8 H f l C p D & l t ; / r i n g & g t ; & l t ; / r p o l y g o n s & g t ; & l t ; r p o l y g o n s & g t ; & l t ; i d & g t ; 7 0 3 1 4 6 8 5 2 2 9 3 6 9 9 1 7 7 8 & l t ; / i d & g t ; & l t ; r i n g & g t ; 9 5 v q r 3 x p 8 D 3 B K 5 B y C p D h C b F 8 D I u F r E v B e p E N J K j C - D 9 D & l t ; / r i n g & g t ; & l t ; / r p o l y g o n s & g t ; & l t ; r p o l y g o n s & g t ; & l t ; i d & g t ; 7 0 3 1 4 6 8 5 2 2 9 3 6 9 9 1 7 7 9 & l t ; / i d & g t ; & l t ; r i n g & g t ; _ w 9 9 8 z o o 8 D q E M v D - B z D w E F q B g B T m G 6 D g G n H B g G n H 7 C k C P e k C 8 I 1 B T I j F _ D - C k C k C G r B y B 0 B r B i S Q g D l C V y B Q U U C H - D h M 7 D k B - F 3 B V 8 E s H p D j C K & l t ; / r i n g & g t ; & l t ; / r p o l y g o n s & g t ; & l t ; r p o l y g o n s & g t ; & l t ; i d & g t ; 7 0 3 1 4 6 8 5 2 2 9 3 6 9 9 1 7 8 0 & l t ; / i d & g t ; & l t ; r i n g & g t ; x q z t s 5 r o 8 D x D I - E k G e 8 D 9 E e v B c e 4 D 7 C R k C v B m C 9 E 7 C 4 D k G r H k G t H e 9 C P v B p B L l G j G h G 6 0 C 5 D q H 6 E q H s H 8 E o E D p D u B w B u B w B s H p D & l t ; / r i n g & g t ; & l t ; / r p o l y g o n s & g t ; & l t ; r p o l y g o n s & g t ; & l t ; i d & g t ; 7 0 3 1 4 6 8 5 2 2 9 3 6 9 9 1 7 8 1 & l t ; / i d & g t ; & l t ; r i n g & g t ; s z v p u u 8 o 8 D V V t D y C t F r D u E x B e R 9 C c m G c G 8 B 2 B 2 F i D & l t ; / r i n g & g t ; & l t ; / r p o l y g o n s & g t ; & l t ; r p o l y g o n s & g t ; & l t ; i d & g t ; 7 0 3 1 4 6 8 5 2 2 9 3 6 9 9 1 7 8 2 & l t ; / i d & g t ; & l t ; r i n g & g t ; q t 8 l 0 k x p 8 D p D 4 G 2 C 0 E h D i C 4 D q D s D B r B U C u H 6 E & l t ; / r i n g & g t ; & l t ; / r p o l y g o n s & g t ; & l t ; r p o l y g o n s & g t ; & l t ; i d & g t ; 7 0 3 1 4 6 8 5 2 2 9 3 6 9 9 1 7 8 3 & l t ; / i d & g t ; & l t ; r i n g & g t ; 5 _ 3 s y i 6 o 8 D 5 O 0 J 0 G u J h L - B 9 C 4 d j b k C B x C U U g F k I z C n C 8 C & l t ; / r i n g & g t ; & l t ; / r p o l y g o n s & g t ; & l t ; r p o l y g o n s & g t ; & l t ; i d & g t ; 7 0 3 1 4 6 8 5 5 7 2 9 6 7 3 0 1 1 8 & l t ; / i d & g t ; & l t ; r i n g & g t ; g 5 3 j - l i t 8 D t D 6 G y C I O v C l B r E l B 7 C H f V u B l C & l t ; / r i n g & g t ; & l t ; / r p o l y g o n s & g t ; & l t ; r p o l y g o n s & g t ; & l t ; i d & g t ; 7 0 3 1 4 7 1 4 4 3 5 1 4 7 5 3 0 3 1 & l t ; / i d & g t ; & l t ; r i n g & g t ; k 0 2 h y _ z k 8 D p D y J z F u E 1 F 4 G M l I 7 O x F X 0 J 0 J M t D m B t D 3 O i V q C W P i C B G i C p H 6 D I 4 D 6 B W 6 B n B p B Y N p B p B E w D N E n B j N 8 O 5 G z J n B Y p C & l t ; / r i n g & g t ; & l t ; / r p o l y g o n s & g t ; & l t ; r p o l y g o n s & g t ; & l t ; i d & g t ; 7 0 3 1 4 7 1 4 4 3 5 1 4 7 5 3 0 3 2 & l t ; / i d & g t ; & l t ; r i n g & g t ; p 6 2 - h j 9 k 8 D w C V X u E Z 9 B 0 C 2 J j I g N x F D M z F 5 B y C 8 G 4 G j I u E s C Y z C u F W w F 3 G B t E k I r E G L q D m L l B 4 B j V x C W x C 3 G s D B 3 C V k B k B k B 7 D K _ C Q o E & l t ; / r i n g & g t ; & l t ; / r p o l y g o n s & g t ; & l t ; r p o l y g o n s & g t ; & l t ; i d & g t ; 7 0 3 1 4 7 1 4 4 3 5 1 4 7 5 3 0 3 3 & l t ; / i d & g t ; & l t ; r i n g & g t ; 2 j 7 z i l j l 8 D t F 4 G 2 G r D m B t D v F n I u E w E x D 0 C M v D 2 J y C 7 B M v D 2 C M o B m B X 2 G t F 3 B 5 B 9 C 4 D w F 7 E P t B P v B 4 D t B G E x C 6 B L 1 C 2 F p B E 1 C 1 C E _ B 1 C N Y 1 C v E 6 B W q D z J S f & l t ; / r i n g & g t ; & l t ; / r p o l y g o n s & g t ; & l t ; r p o l y g o n s & g t ; & l t ; i d & g t ; 7 0 3 1 4 7 1 5 4 6 5 9 3 9 6 8 1 3 0 & l t ; / i d & g t ; & l t ; r i n g & g t ; 4 1 r j u r r m 8 D 4 G z F Z O 1 B k G 8 D c P q D G s D N Y p C 0 B s H 8 C K d k B & l t ; / r i n g & g t ; & l t ; / r p o l y g o n s & g t ; & l t ; r p o l y g o n s & g t ; & l t ; i d & g t ; 7 0 3 1 4 7 1 5 4 6 5 9 3 9 6 8 1 3 1 & l t ; / i d & g t ; & l t ; r i n g & g t ; - j i - h i 7 k 8 D y G 4 Q l L K o H 5 D q E l I o E k B 3 B h I K 3 O X x F 1 B x B h D s B s B I i B x H 8 I 7 C 6 T P x R 7 U G t J 0 S 6 D 6 D j W t J 1 G B L t B 2 P n K L 0 O 7 M g L G i C p r B t J t B 4 B J J l C d p D o E j C 3 B 4 N s K 9 T q H 5 D u B 4 N 2 N K 6 E 8 C 5 D p w C k B j C r F & l t ; / r i n g & g t ; & l t ; / r p o l y g o n s & g t ; & l t ; r p o l y g o n s & g t ; & l t ; i d & g t ; 7 0 3 1 4 7 1 5 4 6 5 9 3 9 6 8 1 3 3 & l t ; / i d & g t ; & l t ; r i n g & g t ; k r q s _ p q m 8 D q E v D 4 C z B F k G 9 E B B q D v E p B E J J K 9 D 7 D D p D & l t ; / r i n g & g t ; & l t ; / r p o l y g o n s & g t ; & l t ; r p o l y g o n s & g t ; & l t ; i d & g t ; 7 0 3 1 4 7 1 6 4 9 6 7 3 1 8 3 2 3 3 & l t ; / i d & g t ; & l t ; r i n g & g t ; 7 1 s 1 s u r m 8 D q E 2 G X w C v F 1 F 1 B F z B 1 B q C G - E i G 7 C L i C 7 C 6 D 9 E 7 E t H P t B 5 G w D S w B 9 D f g D w H g D D H j G q H s H j C u B & l t ; / r i n g & g t ; & l t ; / r p o l y g o n s & g t ; & l t ; r p o l y g o n s & g t ; & l t ; i d & g t ; 7 0 3 1 4 7 1 7 5 2 7 5 2 3 9 8 3 3 7 & l t ; / i d & g t ; & l t ; r i n g & g t ; n 5 1 1 v i y k 8 D u C M x D b F - B q B M g B O t H i G 4 B W t E C r B C U i D C n C 7 D u B u B & l t ; / r i n g & g t ; & l t ; / r p o l y g o n s & g t ; & l t ; r p o l y g o n s & g t ; & l t ; i d & g t ; 7 0 3 1 4 7 1 7 5 2 7 5 2 3 9 8 3 3 9 & l t ; / i d & g t ; & l t ; r i n g & g t ; s r 4 j v 6 z j 8 D T q B i E - E B k G t H 8 D x B 9 C 7 E v B i C v C E 3 G u D n B Y N S f 7 I D 3 I 3 B V k B 3 B z S t 3 B & l t ; / r i n g & g t ; & l t ; / r p o l y g o n s & g t ; & l t ; r p o l y g o n s & g t ; & l t ; i d & g t ; 7 0 3 1 4 7 1 7 5 2 7 5 2 3 9 8 3 4 1 & l t ; / i d & g t ; & l t ; r i n g & g t ; 7 3 1 t o n w j 8 D t F 1 F 7 B o B 2 C F - B j D t H 6 D i M m G 7 N v B m C v B e t K g B g B b O x D x D t W 5 G y F v E u L C a J g C r C D 7 I 3 I 5 I 7 D K 7 I j G K s K 9 I w H s K & l t ; / r i n g & g t ; & l t ; / r p o l y g o n s & g t ; & l t ; r p o l y g o n s & g t ; & l t ; i d & g t ; 7 0 3 1 4 7 1 7 8 7 1 1 2 1 3 6 7 0 7 & l t ; / i d & g t ; & l t ; r i n g & g t ; x - 5 v 9 7 g - 7 D h I l L n L 5 B y C j I y C m B - H w C q E 0 G y C w C 8 M h I M h I u C w C 3 B k B r D m B V w C t F q E o E D r D q E o E g V K D w C 0 C o B R T 4 D 1 G x y C 4 D L B 7 C c P w P 4 B c 5 E z G q X u F u F W q D c i C P t B w P G 0 I 4 D s F P p E s F 4 D g I 2 I p H 7 E 6 I B e i G 7 N t H g B T g E 4 C o C o G B k G 6 D g G 9 E 7 E p H p K i G I 9 C k C P s Y r _ E p E B v C q D h B S - F o E 5 D h G r F h I 3 u B q E w Q u C D K p D h G j B y F E p B y B S f g D Q 8 E j G u H i D H n C f f 9 D _ C w B s K i W w y D 1 I h L m B w C j C D D _ E 6 E & l t ; / r i n g & g t ; & l t ; / r p o l y g o n s & g t ; & l t ; r p o l y g o n s & g t ; & l t ; i d & g t ; 7 0 3 1 4 7 1 8 2 1 4 7 1 8 7 5 0 7 3 & l t ; / i d & g t ; & l t ; r i n g & g t ; 7 h z o 8 g i g 8 D k B k B k B k B q E y C y C 8 G y E I o C h D - C g G _ F 7 G S h B S J 1 C N J C J & l t ; / r i n g & g t ; & l t ; / r p o l y g o n s & g t ; & l t ; r p o l y g o n s & g t ; & l t ; i d & g t ; 7 0 3 1 4 7 1 8 2 1 4 7 1 8 7 5 0 7 4 & l t ; / i d & g t ; & l t ; r i n g & g t ; q 8 6 v 2 w 8 - 7 D s E X Z Z u E z F s B h C g B T r H c c u F 1 J L t E Y Y r B p C s K K 8 C 3 B K K H & l t ; / r i n g & g t ; & l t ; / r p o l y g o n s & g t ; & l t ; r p o l y g o n s & g t ; & l t ; i d & g t ; 7 0 3 1 4 7 1 8 2 1 4 7 1 8 7 5 0 7 6 & l t ; / i d & g t ; & l t ; r i n g & g t ; 0 q 9 7 5 p 1 h 8 D k B 3 B p D K y G w J 2 G t F r F H r F - H u J z F n D B m G v B - C r H e 9 C k C 9 C 9 E k C t H i G g G v B k C 9 C 6 D n H s F u F s D 4 B P 8 B 6 B y B H S - D n C f y H w H g F 6 E 9 H K 3 B & l t ; / r i n g & g t ; & l t ; / r p o l y g o n s & g t ; & l t ; r p o l y g o n s & g t ; & l t ; i d & g t ; 7 0 3 1 4 7 1 8 2 1 4 7 1 8 7 5 0 7 7 & l t ; / i d & g t ; & l t ; r i n g & g t ; 9 j r j q v 1 - 7 D r F t F j L q E y G k B w C y G h I q E V X r D h I 5 B 5 B 2 G o E K u C _ G 4 D 9 C B t H t H k G x B z B - E x B h F z B T q C h D I 9 E m C P v B k C _ F u F u F 6 B l B v E N Y N a _ B 5 C N U p C f g D r B v E n B z C J J Q 9 D & l t ; / r i n g & g t ; & l t ; / r p o l y g o n s & g t ; & l t ; r p o l y g o n s & g t ; & l t ; i d & g t ; 7 0 3 1 4 7 1 8 2 1 4 7 1 8 7 5 0 7 8 & l t ; / i d & g t ; & l t ; r i n g & g t ; v r - 4 l 1 s h 8 D V K q E u C u C 5 B j I 2 C l D o C I s C 1 B v B e 7 C q D 5 G Y n B 1 C _ B 2 B U S 8 E & l t ; / r i n g & g t ; & l t ; / r p o l y g o n s & g t ; & l t ; r p o l y g o n s & g t ; & l t ; i d & g t ; 7 0 3 1 4 7 1 8 2 1 4 7 1 8 7 5 0 7 9 & l t ; / i d & g t ; & l t ; r i n g & g t ; g w s n 2 0 r h 8 D i N l I l I t D 5 B u E X 3 D M 9 F w E m B t D p D H u C o E w J m B 5 B x c q E D y J m B x F r o B y J w J K s E y E z B m C m C t H 5 R m C k C x H q B z F s B F 1 B R - C c q D 6 B n B z C G E p B C U n C S p C p C 9 D _ C Q H y B E 8 B 1 C v E B v C 6 D R - E R k C g G F 0 I t B P p H s D B B r E 4 B P c t B 4 D B B 7 E q D w F 1 G 1 C p C E p B l B L 5 E s D W L n B g C w O i F D p D 4 G x D l I q E f y B J 2 B U 2 B f f l G 0 B S S 5 D & l t ; / r i n g & g t ; & l t ; / r p o l y g o n s & g t ; & l t ; r p o l y g o n s & g t ; & l t ; i d & g t ; 7 0 3 1 4 7 1 8 2 1 4 7 1 8 7 5 0 8 0 & l t ; / i d & g t ; & l t ; r i n g & g t ; 0 z g k t i 4 h 8 D r F r D K q B q C k G B t H m G o G v H I 6 I c P G i C 4 B l B k I j B C r C Q g D 7 I 5 I s H p D o E 8 C p D & l t ; / r i n g & g t ; & l t ; / r p o l y g o n s & g t ; & l t ; r p o l y g o n s & g t ; & l t ; i d & g t ; 7 0 3 1 4 7 1 8 2 1 4 7 1 8 7 5 0 8 2 & l t ; / i d & g t ; & l t ; r i n g & g t ; 1 m k i g 4 j g 8 D 0 G w E 0 E s B h C b O x H 7 C 5 E u F p E 7 C e 7 E 9 C c G i C W x C 5 G v E _ B 5 P s H V 2 N V j C q H o H k B K u C u B V & l t ; / r i n g & g t ; & l t ; / r p o l y g o n s & g t ; & l t ; r p o l y g o n s & g t ; & l t ; i d & g t ; 7 0 3 1 4 7 1 8 2 1 4 7 1 8 7 5 0 8 5 & l t ; / i d & g t ; & l t ; r i n g & g t ; 5 7 v 1 6 2 1 g 8 D o E v F 9 B l D T F b O n I o B s B 6 D p E 5 E 4 D q D E 1 C j B _ C Q u H H g D t G & l t ; / r i n g & g t ; & l t ; / r p o l y g o n s & g t ; & l t ; r p o l y g o n s & g t ; & l t ; i d & g t ; 7 0 3 1 4 7 1 8 2 1 4 7 1 8 7 5 0 8 6 & l t ; / i d & g t ; & l t ; r i n g & g t ; r 6 u h 9 9 j g 8 D F F v F O q B O i B O i B 1 B j F 8 I t H 6 I R 9 E - C v B 4 I B g G 4 D s F l B P 1 G 5 E g G G G 7 C e c 6 D e t B i G u F 9 D 9 I j G h G q H o E s J u C D K V V 3 I D p D _ C d u H H g D l C f w B w B l G l C l C 7 D K u B p D p D D & l t ; / r i n g & g t ; & l t ; / r p o l y g o n s & g t ; & l t ; r p o l y g o n s & g t ; & l t ; i d & g t ; 7 0 3 1 4 7 1 8 5 5 8 3 1 6 1 3 4 4 1 & l t ; / i d & g t ; & l t ; r i n g & g t ; - _ 4 s 5 l z j 8 D t F u C D j I w E q C 6 D - E i B O x B m C 9 E 4 D x C L 1 J C U 0 B H y B f l C q H k B d & l t ; / r i n g & g t ; & l t ; / r p o l y g o n s & g t ; & l t ; r p o l y g o n s & g t ; & l t ; i d & g t ; 7 0 3 1 4 7 2 5 7 7 3 8 6 1 1 9 1 6 9 & l t ; / i d & g t ; & l t ; r i n g & g t ; _ n m 5 z h v - 7 D 5 B u C y C u E 4 G o E 0 G o E o E 8 C K D r D 4 G - B 2 C h G j G u B k B K w C j I z F 0 J 8 E l G u B d 6 E m B 5 B 4 G q E q V w C X V u B X t D z F 0 C o B 6 G y C t D p D 6 E - D S y B Q 9 D i D C g C r C D g F 8 E t F 6 G O F T o C q C q B F 8 G 6 G w E x F q E - H M n I h C b l D j F F z B b O T r K e v B i G k C t B G 6 D c l B u D h E p D u B u B f S J h B U J y F y F r B 1 C W 6 B 6 D R h D b s C m G 9 C B 7 E g E 1 F 4 C 3 R 9 C R 6 D z G L u D w F E 4 D k C R k G P 8 D r H 8 I B g E e k C 4 D 7 C 2 I 0 I u F r E i I c P i B T o B M 0 C X 7 B t D F 0 C z F y C m B n L - B v H q D w F p E P v B i G i G G 7 C r E L 6 B 3 G G 7 C e k C i C 7 C P k C 6 D G n H 4 D B P t B L s D U N S 0 B n C f l C f w B w B j B S U a a y D U N - D S H _ B m I 3 G n B 6 B i F h G y G h I o H q H l G u H i F U J 5 C 5 G i I _ B U H y H j G s H k B u B & l t ; / r i n g & g t ; & l t ; / r p o l y g o n s & g t ; & l t ; r p o l y g o n s & g t ; & l t ; i d & g t ; 7 0 3 1 4 7 2 5 7 7 3 8 6 1 1 9 1 7 0 & l t ; / i d & g t ; & l t ; r i n g & g t ; i 4 z i l x - - 7 D h I - B 6 C z B F B R m C - C e e t B q D l B W p B E y F l C w B l C d 9 T o H & l t ; / r i n g & g t ; & l t ; / r p o l y g o n s & g t ; & l t ; r p o l y g o n s & g t ; & l t ; i d & g t ; 7 0 3 1 4 7 2 5 7 7 3 8 6 1 1 9 1 7 1 & l t ; / i d & g t ; & l t ; r i n g & g t ; p y m s k 8 z - 7 D 7 B O F s C e x B 1 B b O i E B g E i G 5 E 4 D p E 3 G Y C C y B _ E Q j G j M 7 D Q u H h G j C K & l t ; / r i n g & g t ; & l t ; / r p o l y g o n s & g t ; & l t ; r p o l y g o n s & g t ; & l t ; i d & g t ; 7 0 3 1 4 7 2 5 7 7 3 8 6 1 1 9 1 7 2 & l t ; / i d & g t ; & l t ; r i n g & g t ; w 1 x v 1 y 8 - 7 D 2 M m B r D F F Z o B O F s B F z B x H m G 7 E _ F t B i C q 3 B 7 E G 5 E p E y F J U h M j C - F 8 C V 3 I Q h G q K s H q H & l t ; / r i n g & g t ; & l t ; / r p o l y g o n s & g t ; & l t ; r p o l y g o n s & g t ; & l t ; i d & g t ; 7 0 3 1 4 7 2 5 7 7 3 8 6 1 1 9 1 7 3 & l t ; / i d & g t ; & l t ; r i n g & g t ; r x k 9 s j 9 - 7 D 9 H h I p D V u C 0 N t F t F t F o E u B k B 4 M X j I 2 G s E j I y J M j I 4 Q _ M j I y C 0 C 8 M p D o E 2 G t F 2 G 0 J X 7 B 4 G v F 0 J n L l I o B M o B - B M i B g B R e v B v B 7 C p E r E _ F 4 D P 7 N I g E B 9 E 1 G 4 B s D q o B - M G i I W r E W n B t B W 5 E k G 1 B 4 E q C t H s F W x C y F W Y Y x C s D v C s D W W q D t B l B k w B 6 T - V u F m L 7 G p V 8 B 8 B Y z E s I N r B J 2 B H - D l C l C k B u B o E 8 E p D 8 C p j B 7 L & l t ; / r i n g & g t ; & l t ; / r p o l y g o n s & g t ; & l t ; r p o l y g o n s & g t ; & l t ; i d & g t ; 7 0 3 1 4 7 2 5 7 7 3 8 6 1 1 9 1 7 4 & l t ; / i d & g t ; & l t ; r i n g & g t ; 3 t q 6 u k 3 - 7 D h I j I v F m B 4 G b O 9 C 4 D p E 7 C v B e O T 0 C M O O h F W c t K I P m C v B g E g B T 1 B h C b l D 2 C q B q B F s B j D 9 E i I y F W 6 B t E w F l B l B i C r H t H 9 C G r H k I _ E Q s H p D 7 I h B _ B r B j B g F Q _ C j G d 9 D 7 I w B g D j G D u H u K l C 6 N Q _ C j C _ C - K & l t ; / r i n g & g t ; & l t ; / r p o l y g o n s & g t ; & l t ; r p o l y g o n s & g t ; & l t ; i d & g t ; 7 0 3 1 4 7 2 6 4 6 1 0 5 5 9 5 9 0 5 & l t ; / i d & g t ; & l t ; r i n g & g t ; 8 w n t 5 1 7 7 7 D o E t F 5 B 5 B k l B 7 B 7 B l I j I D X r D k B V o E q E v F 8 G I z B 6 I p H 3 G 1 G B 9 E g G i C 0 I u F r E L k I 0 B l G Y 8 B k C P 7 C i C B w F 2 B Q n C d u B 8 C K & l t ; / r i n g & g t ; & l t ; / r p o l y g o n s & g t ; & l t ; r p o l y g o n s & g t ; & l t ; i d & g t ; 7 0 3 1 4 7 2 6 8 0 4 6 5 3 3 4 2 7 3 & l t ; / i d & g t ; & l t ; r i n g & g t ; 1 q 1 y j w g - 7 D y G n o B 0 C s C g E 8 I 5 E t B P u F r E z J p B E 0 B 7 I 8 E r F & l t ; / r i n g & g t ; & l t ; / r p o l y g o n s & g t ; & l t ; r p o l y g o n s & g t ; & l t ; i d & g t ; 7 0 3 1 4 7 2 6 8 0 4 6 5 3 3 4 2 7 9 & l t ; / i d & g t ; & l t ; r i n g & g t ; 2 _ 3 x h 2 _ _ 7 D 2 G 1 F Z 8 I k G 4 D 7 E P t B r E 8 B E Y Y - D u C u B V u C u B 8 C u C K & l t ; / r i n g & g t ; & l t ; / r p o l y g o n s & g t ; & l t ; r p o l y g o n s & g t ; & l t ; i d & g t ; 7 0 3 1 4 7 2 8 1 7 9 0 4 2 8 7 7 4 5 & l t ; / i d & g t ; & l t ; r i n g & g t ; m m 2 p w m 5 4 7 D 0 h C o m D 3 X u l B w V _ G m B 3 D F h S h S 3 j C v K 5 h F - x B i Y j k B 2 F v y B 1 C 9 I l C p C 0 W 3 Z q L h Z w J 9 n C n J o W & l t ; / r i n g & g t ; & l t ; / r p o l y g o n s & g t ; & l t ; r p o l y g o n s & g t ; & l t ; i d & g t ; 7 0 3 1 4 7 2 8 5 2 2 6 4 0 2 6 1 1 3 & l t ; / i d & g t ; & l t ; r i n g & g t ; z x u h r 8 2 6 7 D 7 B y C 2 C i B 4 C x F M M 9 B 9 E B k G 6 I - E v B v B 9 E 7 E 7 C h N k I 0 D h B H l G g D w B l C 8 E k B u B 5 I K 7 D 3 B u B & l t ; / r i n g & g t ; & l t ; / r p o l y g o n s & g t ; & l t ; r p o l y g o n s & g t ; & l t ; i d & g t ; 7 0 3 1 4 8 4 5 0 0 2 1 5 3 3 2 8 6 5 & l t ; / i d & g t ; & l t ; r i n g & g t ; 2 t _ 4 g s o k 7 D 9 5 q v Q 5 t h i X g 2 8 v N p k 9 0 B s k w P k m a u k 6 1 K g 9 q 9 B q h 8 n B 5 x m r D h s _ z X 0 h - h B h r 9 - B h h w y B k _ W i _ j j D q 7 m 7 D 0 j j j C 8 _ h s C 2 t 6 8 B 4 t o b j x j E z s n K m 9 v 7 D 8 6 0 o X i l M x 2 w i B 6 - u c w 4 h u D v h o n P q p 1 U o j s l B s s 7 6 R 8 6 p n D h h 0 x F p w t v B 9 r 0 x R _ l n 9 F p y 5 u D o x p y G g j i 9 s B o t w g N w 0 k 0 i B s 3 5 g C v 1 _ W - y v F o n t 6 K z t o 7 B h p w w i C q v o o a g s t U r _ x - C _ i _ q X j w g m U w 8 t 4 s B j v 7 R k i z L x _ q K o m 9 I 5 1 x g B m n n u C u y 5 Q 9 g k R v 2 k c m r p s B p 8 h T q u 7 J u x y l B 2 o z W 4 8 4 d q t h g B j o o s G _ 5 3 j D 1 m 7 8 H - - T 8 q r 4 F 5 9 u 9 B q u p C q 6 X p 8 z B p p p C v 5 d u 4 4 H z o p q Q p y q I v h v J _ 0 x O 6 i O l 8 v G 2 9 2 _ D 7 6 v y B n q - 2 C w 9 t D i v 5 I 7 7 x G 6 o o C m 8 - x D m x _ l B j m 3 u B 6 x _ J _ j 3 P g g k T w i i M 9 o 0 d g 5 i F s 5 p v C 7 6 3 B s r 1 E _ u h Q 4 p h G m 6 r v D o 7 h p E t - j V n p s h C - u w w B n 5 2 O q 2 o h D x h 8 v C h g w P 7 2 w E y u s X 8 7 q e n l y U 1 r y B i n H u y R g s g C i 7 z D w h P o z x F r o o I n s m C p - F g 1 i F k t g a h t u Q t n j Z q r r C t 0 P 1 n M 1 l v B 7 y j B 5 8 I x y M s - J 0 v Q s _ t F k g j B x r Q p 4 O w x j G h w d 6 h 8 D w 0 e m o Y q z K q t 0 B y h a h u V l g 9 D - 1 R r q - C u l K m o i B r z b 4 h Q 2 i b q 4 0 D 6 v H r p 3 B 0 8 K 6 _ w B m h S - m K w k P 7 9 w C z 1 0 w C v k - h E o 3 w w C n s v C 9 i n j E r 8 i C h l u B s j P r h n B u i f k 9 o Q 1 p h E _ 0 6 G w z T x 7 U m p n r E g t 7 r C g 9 r g B t y 1 p D j r 9 D s 4 o B 1 g x H 9 s q D 7 y q N q g l F y 6 _ J u n j B 5 - D _ 5 w D z y 4 p C 1 i m B j 9 k K t i k t B m n v O 0 v - E z z n d 5 _ 1 D _ z - D 1 h w i B w h w H 5 j 1 k B 0 g h C 4 o m I v u l I 9 6 x E w z o U g l u d 3 p t C s 1 y _ D g h _ O 0 m r s B p x s g C g 7 y 3 C q 2 _ F x r 1 D t 0 w G o l l B - u j B s y k N 5 8 Y 6 z k m B _ 9 o y D q h m G r w j F p 5 w F u j q m B 5 m 2 W r u q F 3 n m f t u l 7 F y 1 J 8 j m D m 4 5 B 7 l 1 C m 6 5 B y 9 p C 4 w p D l m 4 m h B 8 u j n 2 B 0 7 9 s 4 B q s h q E z j h I 5 o x D 4 4 7 6 J 7 h 5 2 C o q 8 k B r 3 i D 3 g l O _ q c h p 6 C j 3 h B t 5 p F 6 n g C 8 x J _ t y V v y f 4 - 9 D k g 2 D 0 y z I r 7 7 o B v l r 4 B 2 4 x k C l y q T x n _ I - o v W s 5 h O g 4 u M h l r 4 B 0 p 4 B 8 p j z u C 1 l t C 4 9 s u P 0 m z J u 6 _ 1 F 2 u _ 9 u B j 1 3 i M 0 q 0 D 1 _ m E 5 w l E 0 2 p B 3 p Q 1 w 0 B _ 1 i D - p U s _ 6 G 7 u 8 B r i k F u v P z r m F o s k t P 2 t 7 B - j s G v h l E 2 8 h F t 0 W k k t B m - t C 7 0 t D h i r P g 1 l D y u 7 B m 4 5 F _ 2 p H _ y q E z 8 g E s 7 k B m p L q 5 5 F 1 v f v n i D 2 z P o h Z 6 v K j 6 l C n - h I - 8 3 B 9 s g B 0 j 0 B z m P 6 n O n k q B i i h B z h z B l t h D y 2 _ F u g 2 B m 4 t z T t u g h K 6 s 9 q E _ s l B 3 x t I s 5 g l F i 9 p v E r t 0 q C r s 9 D _ o x 1 B 9 1 7 d t 1 N q w g D 2 z 2 J 5 m 1 W r 1 - F k _ g U 0 v g C 3 z 9 t M 6 6 n H x 2 7 S m 1 m 2 C 9 p u E 5 k - W o g i B v v r b y s y 9 B k t x D y 4 8 P o 4 t b g w h G 1 m h C h r g V m t g J o o z E 6 w v z B p w 5 D k 3 y i B g 2 w Z w i 6 i B j y 1 W 4 5 g E v n j C 4 z p B l 4 h L m 0 8 C p 5 6 W y u 2 V 7 r j m D o x i E j p 0 o C 7 _ 8 Z u s 7 j C _ v e i m k 6 F 6 9 2 o B u 4 z e o 3 7 2 G u _ o N 3 y P q 5 p D 3 g 0 1 G g w h u B 2 v k l B _ 9 2 c v p s D t x 2 E w 8 9 X m h n m D 8 i E x 4 p P 0 l m Y 1 _ 0 a 7 9 6 B 5 8 n g E 6 t x T u 5 p 9 C 1 3 z F 4 r 1 l O j x 4 x E x 2 1 9 K 9 0 l p r E r 1 j B x 7 I q l Q h u E l i U u z G m x O - 3 t B 8 w u B q y p C p 7 _ B x 2 a s r o C w g J l r H w t V 5 6 k B 0 u M k r N m 4 0 s F y l p 7 M v h 2 K j g x N y 0 p E 2 0 g B l y L 2 5 2 D l - j S i 5 w B 6 i V m h 5 F 4 h y F v _ P m z d 9 y O - 6 u C - o 3 E q 8 y C i 1 u B s g J 7 t u C 0 g k B - m G 0 0 t s K g 8 h r I 5 - n 0 C u 6 r k K - q x _ B z p t q D 5 y k r H v _ q H i 4 u v B h m 2 z D l - j q B m r g B 3 z x I j q l C m n J 3 2 7 B y h 0 C 2 r - 3 I t q 6 B j 2 4 I l i x h E 9 r o E p 3 u Z o x - 7 B 6 l 3 D r 7 5 t B 3 1 M _ u V u t C _ 3 w C 2 6 r E h x I m 1 U 2 o q B 6 9 M q z X - 5 n B 3 q U - x P x p V o r J z g l H 9 m h C i 5 c s 8 a 2 u M k - G w 0 g B 4 z N z 6 Y r n z C m o u N q 4 - I _ 5 h B y l Y l 0 - B z i 4 C 9 4 Z n p p B n q E w 5 _ B u z 6 p B 0 t u D _ _ r B o h H n _ g S r 2 z C p t v D v 6 y b 5 p 6 B z 6 4 P 6 1 x M p g p Q 3 h v T t l L 1 2 2 2 B x 5 9 Q g v h L g 0 j Z n 9 8 B j t h k D 7 4 y 9 B x s j 3 C n l w F 2 s y p B 6 n 4 m O 3 0 t 0 B n 4 t 6 B t 1 p z B - 7 o C 2 j 1 F o j b 4 l W 5 j Q _ 6 F l h q P 8 j - K 4 k i E g y y U 9 4 g U 7 z y j B i 9 n E 4 t q l B t 9 3 9 F - x 5 1 C l u m - D w m _ r B u o 5 s B y u 9 w O _ k 4 s J 2 g 9 S - x n D t p q J y _ 9 F g q g P 9 y p u E m u h F n 8 y J y v z m B - g g i B 5 1 i K t 8 w 4 C k m 3 P q 4 3 B t o u m C n 0 q i C 8 r 1 C q q 0 V n - Y 2 0 6 J x t 3 W 7 5 y D g 3 s B s 6 P m 9 M n i H 7 w i B p g r E u h z K h m i Z v 1 0 v C m j g h B k v h D - r n u B n _ q q B 4 2 r Q 6 0 r N m q 1 V 5 p g K q x y e m 0 1 D 5 q b s 9 h j B g x v C 3 q 8 U 3 6 l B i 4 o F 4 o j E m u L n j T _ i v B u g K j n u W g 8 - L k x 1 C n t 7 B o v M q m s H w 4 8 C x 7 6 D _ 6 y B 8 y v C l 2 Y u 1 v C k 9 x F 3 6 - B q v D y p c u h H j 6 - B q q a 7 g m N u s a 7 7 4 D q n u N z 8 v q B w 8 4 f 2 o j D 9 v 1 _ M x k p e y x g b t 2 2 5 B r i 8 h D k 5 q K s k 4 i N _ 6 _ B s m - Q w w S y u 2 k B t 2 y c 6 y 1 2 M m y j F 2 u 7 Y 4 5 9 N 2 o s B s h S w q m I w 0 y F - m - o B i l 5 J 0 8 t 6 B 4 n h n I 7 5 k e 0 v 4 m E h - _ p C y p x h B r 4 z 1 C g s y s F 9 m 4 6 m B 9 1 g 6 C l t g D 9 p o M g u w O 1 j y O t 9 2 q B 2 t q 2 B 5 8 x B q 1 z C 7 7 q F l 3 2 i J - p 5 J i 2 - P s r - Q 9 k l l B h v F v _ o 1 B _ q w W x n l M l 8 u D k v p G 6 u i 2 B h y 0 X r 9 v 0 I v j _ 5 B 0 r 5 u B m k Y g v x k B h _ 3 B 0 m l B l 4 h Q 2 m x t B n 7 8 D 1 j v W 2 _ h S x 8 3 x B h - o 2 w B k g 6 r F 1 v s v I 3 l 8 R 9 z g 9 B k _ i z C 9 0 0 s K i i 7 b 3 - j w W 1 4 o o B v v o e 6 1 0 c k 9 I q w v U o _ 4 m F m x 7 - B p _ 0 r E p q _ N 6 g 7 j O q 4 t 2 F v 6 v 8 O 0 l s k P 9 i s 5 D j l x l O w q z G n - R n s y 1 C 7 1 z M - l n S 5 n u T 5 8 3 a x j 8 D h x 2 M r 3 M k n U 6 z 1 3 J g s g M 9 s i S 3 u 9 z B - 8 t W k 4 e - i i x B 1 m l C n q w 7 C 1 - k t E n s 2 5 C r v 6 h F z j z M 0 w h B h 5 q X 4 0 7 R g s _ j B z w 3 W w 2 K n i j r B s g k C y t v H 2 i g x E r s 0 o C 5 k y P 2 0 V l x e u 2 w C k - 8 K k 7 3 d r 9 x M u g 2 V 4 u 5 m B 6 s 8 R r z 9 O - 9 _ x C 4 2 k 9 D 3 t 1 F z 5 5 5 F 6 y 0 _ L h i 4 b 2 z t o B 0 w K q 8 1 M y _ h K j 3 o V q l t X o l 3 Q _ j 4 y B y l h q E o h 8 D 1 v u Y - s 5 m C 7 7 w F 2 z o 1 E n o 0 o H j g 2 g G z 7 2 T 1 w u 6 D u 1 j 2 B y r 7 b 8 w h C h z i x C 8 4 3 O q t 0 H t x j B h 8 n k I v m _ H 0 3 - P m j x C m x j F 7 x k E l m 1 E p w 5 E q l 3 C g 2 k C 1 u j k C k o p E 1 i w h C l 5 v C y n - L 3 l y K m 7 l 4 B n p r 9 B x i p T 7 m 5 F 6 3 l V 4 t p Y j x t B w o j H j g h I o z i g B s z d m 1 o C 8 u g K 7 6 y C y j h E j n m O s - q e 2 u k K y 3 h G g y i k B 3 1 0 G 2 i a 8 r w T w m Z 9 q k B j 1 8 K v v l C q l 4 - U g 9 1 m J 9 k 9 3 B g i 8 k B x z k 4 B 5 h 3 w M n h 4 p E p y i H - 8 y J m x g N 5 v x C _ 1 h O q z N z 4 3 5 B _ - m D x y 7 v D g 2 z n B h s u F k 5 w k C z t p O u w 4 Y t 5 2 M m 9 0 O j p z w B z q 0 D _ 6 _ B 7 l J 6 l 9 9 N 9 n i Y 3 o u I y t 7 d s j v 0 D v _ 9 B - k z 6 C g 7 d 4 t 2 N 4 y N 2 x V t 8 D r l y B z 2 z z D w I 2 r W 2 h 1 B x h d t R _ g R q x q B 4 9 Q s m s F 0 1 t D _ 5 E v 0 G p 0 H q y t D - k l B u y x E m q i P 9 j P j l V o 0 F 3 6 K n g H 6 3 l B 6 2 R w u X z 7 - D z 4 W z 6 q B p x T l p U j i i B 2 5 z T g s l F k 1 R 2 2 P t s 4 B 6 0 9 C n l m B t u Y p 9 t B 5 h J 9 t J 5 2 E p 3 d o r R g 3 H n 4 E z 0 w B 5 v I s 6 D g p D z q D j t O n k G n n n D i s h C y r G v - G u 4 i C 5 z X w i D 5 9 R 4 v F - g i C n y y B 8 4 B h - c h 3 S y 8 N s i F u 0 G 9 n C 2 m G q 1 E x x J z 1 X l r 1 B q 1 C v n E 4 5 Z g q D 1 _ g B j p G 7 n K y 1 K 4 _ N v y H 6 6 G 1 k t B 3 v K l l m C h n L o 1 Q q w L 3 0 F 1 u J i y c z _ u C 7 q I i x T h 4 r B s x n B v t x B n 1 9 B i v a w w M 2 6 X l z V k j r B p r J g u j C 5 _ 2 B 1 o H j _ k B 5 m l E k w g E - z V l 5 s B _ 3 I i j k D 9 q Z w r M y 6 Q x j L g g Y 0 _ K _ q I t 6 C 6 o t C j 9 g B y 0 R 5 w S j 8 k C u - m I u _ g D 5 g 6 D k 4 u C p k q E s y O q u v D l 7 5 G n r 0 C w r E g 0 k D t 9 3 B h h a o k E y o u O y x u B _ 4 4 B j m R q z O u 3 v B 1 i l B 6 y Z 3 0 K 5 m D 8 t 2 B - o X r l o B 4 l - F 9 s 4 B 7 0 h B 8 l k C h o 7 E n z G y s j K m l 7 D 2 9 n B 0 s P y i g C w w L 6 i U t p Z l - l E 1 y v B i 2 L _ p r B 9 m k B n 8 r B u m j B m 8 L j 3 V 4 m I 1 q Y t k u I u n 9 D 5 - L n y L t z C r 4 w B 3 i L k p I h r w D w p H q k 8 B 8 9 d _ u C v h d l o O 2 0 u E i m 5 B l p j B y g Z 3 4 R 8 g X n _ i B k q n C 7 _ N 8 2 U 9 6 _ E y h i B m y - B 3 - k B l t 6 B i j e 4 m O 4 4 d 8 - 5 D x n o B h 4 p C - j Q q 0 7 B 0 s L _ s g B w l 9 C h 3 b o 3 x C x 3 w B 8 0 J z 0 - E t n D x _ 7 D 2 x x D 6 y k B l w m B o 0 3 B n 2 K u z 9 B 5 w W r 6 d j 4 Q w j J t 1 J y 4 7 B 2 0 D h j 4 C y h 9 C j s X g 5 C l _ W 6 6 T k 0 F v r Z 4 m E 4 l U 8 - 4 B 5 s 7 E - t 0 C _ 7 T 6 _ O 6 i T m y K 6 1 k B 5 s l B j v n C t i e w 4 v B 0 p J 1 y Z m x X q 9 - B r u c l z p B 9 l H u r R n n V 0 8 6 D g o M u 0 U 6 5 q B t k l D 5 z e 9 7 b - i F m h k B 8 q a p j 0 B v m o F 8 n S o o 4 D 0 g y G 4 8 1 B y x U - 9 Y 3 1 P w p 5 F _ w Z g l j B 3 r v O z u 4 F w k M o 0 H q w s C 3 z 4 B i 6 W t r K j s p B s 9 f 5 - O - 9 u B m 0 q E w 3 I t h 0 C l g i D m u H w 4 j S v j j C m 4 I 9 m Y 8 x 2 C o i p B 6 m m C 3 8 x K h 1 0 C v 8 g B x q d x _ R j 0 C s x 9 B i g r E x m z e u x Z y m X i 9 V 1 n d - k b l 9 v F r s y D s n h B 8 y R 1 0 s E 1 y P y s K r j m E y 2 O x o R 1 7 a 7 h Q 2 x 8 S t 3 5 B 7 7 _ G 8 h k S o _ 7 Z _ u U 0 k M n x w D q 2 _ B x 1 1 B n k G k u v B q p M 8 2 I 5 g I t r j B v 7 3 C 0 3 V - w M j 8 r B 9 n E o p x B h s 8 F v l l B w - M j _ f u - L 6 2 g C 6 5 M - r X z i b _ p N _ - c x 1 D 8 r Z h r 8 B t 7 K v 4 S t 0 M v 7 u M w 9 M o t x X 4 3 2 B l z G q 0 t N 7 9 j K p 3 S 8 r t E q 9 l C 9 0 I - 0 F q u S l 5 8 C k z W z v 3 H t _ 3 C t v v B _ 3 R 9 w i C 4 - T l 3 i B - i _ F p s O y 5 x B u 6 2 C x j 3 B p m H 0 - m E 0 o p G k 6 8 F 8 w W n - q C y 8 J u p G s _ l B 7 2 O u 4 L 0 4 j L 1 y p B i 4 p C l x 0 B 0 n 8 C 6 h D o q S x t 1 B 1 l g C 4 s e j 3 J 9 8 x B u 6 v E s x c 2 3 d 8 g p B v h n B 9 t o B 8 k e 4 _ W i 8 1 R t _ x B n l N s 7 o H x 6 7 C v q k B 0 0 1 E n w 1 D r p P 6 y D - o 0 J s m Q i 8 n B q 6 h B o n K z j N 0 o R 1 p T 7 9 q D k y h G z y X 0 j F n 4 - I 6 j F z 1 L t u R 6 2 r D v 8 L k s N j 8 z H l 0 - B 7 0 - C 9 h w C s x c o u U x 3 G 3 l i B s 0 X 1 8 D h w v B y k 7 D o z l B 3 v o C p n g C i t P 4 l 1 B 8 t J j m i B x g e r 6 Q z v R u 0 D t g t B 4 o p C l r 7 C s q M q q 6 B - n E w u I v 9 g B 7 n u I 1 6 r C q o N 4 u g B o - 9 D x z q C n n I r m f x n m C 0 i 1 E 6 k 1 E g k D n w r F 1 y t B u 4 S s z l B - r 6 B n z 6 C v y - E z o I t 2 h B n r 7 M 6 7 y G k h n C m 8 3 C l s H 0 k s E k 2 i J 8 8 N x 3 n G v i 3 G v n 8 C v j P z i R 6 w u B q y M t q _ G z u y C g 8 T p g a - v Q i o e 3 s o B x r 5 B l 5 7 P 1 k 0 W v k g C 6 w h B 5 1 Z s s 5 S o t 3 H _ l W 4 _ i B 0 y Z y x l B n i L n 2 9 D z l R x 6 k G 5 o q F m p V 2 9 F n p w D 0 y m B y u V 4 _ W m 2 R 7 z M z w G o r J s _ E i k 4 C 9 2 U n n s B y l E 7 p Q 8 3 P 0 k B 1 0 x B 9 g U v m v B 2 0 V 9 5 r C j n u E i u z B 0 y Z g q R t 8 W p l u D v 8 V _ 1 Q g k T k k I 6 3 X x 4 h C 7 4 P x 3 V n q K q w w C s w O p 3 s B 1 t N 8 2 n B q j K 7 l 8 B 3 n H 2 _ B g s J r n 1 C r j H r r h C v p I _ 2 O l z N x m n D k 8 0 C o 0 T j 1 N k u _ B 1 y F s w F p m 3 C r m Q 0 w - B x s r B 1 h 8 I 2 n y B w 2 q B P m v S p w V 1 _ N - 7 3 B w m f - v i B 8 s R l h L 7 s 9 D o b 0 x 3 B 6 0 k F s 2 R 6 _ N z w G 7 p I 2 4 F 7 v T 1 8 a t q g D x g q B v 9 q D 1 u R 5 t v B n p G o s g B q 4 t C 5 3 j B h 4 - C g 7 J 5 i Z k n p C n 1 j F 5 9 J s 2 a j 3 d k 3 T r z c r t y C m 6 D q s N 3 8 Q 8 p r B t 6 m B 8 i H 7 6 B s l W 2 y t B 9 3 h B v t o B 5 m F y 3 M _ s N j l d 4 m r B o l z B 9 h K q q W p s 4 C t - t E h y o D s 5 I g 4 M s w m B 0 u D 8 m I x p p B _ q j C t 6 K 3 t N v 9 P y r p B 4 4 u C u 7 w D n l 3 B 3 6 m D u 5 J - 8 D m r K 9 5 K w y D _ r Q 2 _ Y r w l B 2 k S q 5 D 6 r S j h l B n 3 t E 7 - - B i 1 U 3 w W 3 y V n 5 b - 5 I t g p C 9 u G l p v G 9 l 0 B w r R z i a g 1 x C w k Q z z n C u v w B 4 6 Y p 6 R 4 x R 4 j L t 3 W y j Z w t M 8 z N 1 7 L h z I t w J x 1 H l h i B 6 n J z n h B m 9 3 B 5 u q D j s K 5 6 R n k P y n G p g J r 8 _ B v v 4 F 3 u h E q - u D - 2 D 1 g 8 B u g O 2 1 4 P 9 0 j D 2 8 N k 4 W k p c - o n B 0 j W 8 5 p D 5 2 u G r y n M q p r B w q 6 D i l w Z y k 9 C m 7 - B 3 x K _ k q B 6 r l B 4 9 i F q u m B 4 0 i F 6 m e 6 l z B p o Y g t o H s t n B m j 9 B h 0 p B 6 q o B 8 3 3 K 8 m f 4 6 5 O 7 m 1 D 1 _ 5 K 5 h Y u 7 g D 8 t q G w 9 o B x 5 z D m z i C i 7 v B y v i F 4 j 1 F p g s T x q z x B - v g K r v y C - q J 3 x N k v H n m T - 7 s B 2 7 0 C j 9 Z 2 o N 5 4 l B 4 n e 5 6 x B l 6 s B j m X u 5 y F x y w B v h 0 G i k d s p z C 0 o z J k x - B s y z B u g 9 B 4 0 Q 8 m t D l x 1 B p w W w k r B 8 r L 8 j 3 B y w U 9 i Z o 6 9 B 4 s p D 8 6 m H z 2 P v w Y h 8 f k q - B x u 3 C 3 j 6 E q p R o r V u u 5 C t 4 h B 7 3 O 0 r h B 7 s 1 B _ 0 X s o V x n X r h R i y p B p k U j 4 a g 1 G 0 i P 0 h W v h Y o 4 x C k g J p l y E p y F k 4 O t x S w i f 8 k J w 0 K o r d q 6 1 B o i r D 9 x S i - r B r 2 r B l q I x y L 9 8 y B v r E k o u B 2 v l C o i W - x s B _ 3 4 B 7 n p E g V _ q a q 7 D 6 o F x i L 8 u D 2 u I g m d 9 - F 6 i j B h 6 i B 6 j N l s p B r - F m 2 u B x r 3 C u q a l v S _ - P 4 n U k g I r j H s z g C o 6 D 2 m H y o O m i w B 4 r L l 8 L o o r C u 1 H 4 4 W 4 u k B k y 2 C v 2 h C h _ I 2 o P s 1 O s o i B l g P q w z B 7 m - I 6 j J 2 r y B s l z C 9 n U u s o C - _ R k u m E l 7 v D u o f t 8 l B k q W _ 2 Y z o n B w o K 0 r K i p V z l 8 e 1 r 5 B 5 3 E _ o D u 6 K y 6 Q t 0 z D 7 9 1 C p 8 y B m r w L 0 j M 6 p E w o N r n U k u 4 D 5 - 6 B 4 8 S u 2 m B 6 v - G m 9 N p h L p 9 E u l k C i s 7 B 0 r i M w n y B 0 0 a 7 m 2 E 2 q 5 n R 2 m p a l h j P y y 2 M i w 9 r B i y l 3 B k n k 9 B v u 3 a t j j D 5 i z L z u y E j z h C i x m E y 3 I _ 5 8 B t 2 F o o O u w V m r i C 7 n s B w t N - m K o l Q 4 _ 7 B h g C z i R q g Z x o v B t 6 L 6 g x B 5 x v F l m X 5 _ I - 3 u C l o l C 4 8 I y v E 5 4 L m u f o r 7 B 3 - c s q a s r r B 8 l E 8 w m B 6 j G w w Z r n q C r q H 8 u s B o z P l q k H t w u B r q _ B x u u D j y y M i j Z 7 - g D g 5 c x 2 p X 6 6 Z z 8 h F r g o G - 1 m U 1 m y M q y z C o l q H p s r 9 V z o p 4 D v y 0 G r 7 V o w F 0 _ j L 7 r 6 B 3 h H 3 5 5 I 8 6 j 1 B 9 - n C w t f w w u B w 1 4 w B u u w H 5 m n C r r 6 4 B x v J g 3 5 B u 0 o C s 8 J 5 l 5 F _ o N o u K s y l H g 6 8 F i n j B 1 h m B 7 q B j _ J j m z B 1 m 8 B z h j B _ m d w 2 x B h k V y o M 0 s M w r S x - 7 B o 6 j B t 5 W i p H o r K p g g B z v 0 B 4 2 B p 3 N 2 0 1 F j v B 9 k Q y 2 g C _ 3 G m c k t B w u R i n I i v G z j D 4 o E 9 u D o 5 G _ _ M l x B l r H q k H h 9 I z t C r k F 2 s V m q P _ 1 F o 9 C t u O k s I t k D 1 5 F 7 h J g t E 2 j B 7 6 D 7 y J z 2 J w 2 L 6 v B p v I 6 6 D 5 _ B u y B i i T u 2 I j y F z 7 i B l r R 2 o E 9 _ E g u B 8 0 C t 3 C z w C 9 q D g v L t 0 p B z n G - o J 4 q I j p E j 2 J 5 t O 8 s O 2 4 j B 0 o B 6 s 6 B n l F 9 h L 0 o G x 1 K o 0 D v u I n - E z y U 8 m g D 6 p B 3 f z - R z l P w 9 D j 1 V - 5 C t 7 a 2 g G q 7 E n s B 5 g J o h C y h E o i j B 0 s J o w e 9 p N h q R 0 3 o C z u w D u 3 I n t C q o o K _ s F - 7 B j l F t g f v 5 S n _ H s 4 H 4 q F 0 g C 8 q F 8 n K g 1 C - 2 G h 8 N i h B 9 m K 8 l 1 B o u P v X u k c p p B n w C t w E g z D u k X 2 x s C x 1 L 9 n L t p M l l F n 3 D u 8 S - u l B q 9 H 5 v a g y b 9 6 H q p N 6 0 G 8 o J g t X 9 o C x w J s 5 F s n B 5 f 2 s J 5 u d 9 j C t r B _ k C m 8 Y _ q I g x F k _ E y - K y p C g 8 H j v H h 2 K u 9 K z 6 H o 4 z B q p D 6 7 V u 2 D - _ D 7 r C 1 5 F w - C 9 - G 7 l F k i F y h E n q B h v Q y 8 F p _ H t 7 U 6 r D w 6 U j 2 K t n L i n G 3 k I 3 w v C q y L k 8 t B j v _ E u i 0 D - m K u - R n q S h - E 0 8 F m T o s m D m t P 8 v B 9 a m 3 H z - h C 6 m l B r r D r 7 E y v N w _ K 8 4 I 6 l E 8 o B l o C w u F u 0 F 3 u H p r C 9 q H j x D - 3 B l 7 I i n C 3 j B s h C r 6 B 9 0 F y 7 J - - G z w S s - M - 3 N y 7 C h 4 C m 4 G z z H g w B n 3 S o j J l v G 6 _ B x 7 G 2 p T j 2 8 B k Y - x G j 1 F m 7 D 2 2 H u t C 1 k 0 B r - W z q B _ y D 4 r 7 B t 6 K q 8 a 1 w D g k C s 0 Y x z O 6 k C m j C l 7 H t e v m a t 6 T 2 l F w t K 9 s G z 5 F l Z s m K h n D 2 0 Q z 1 Y h r B h 7 V 3 _ E 8 m B 5 g U r n P y i K 8 1 L 2 - K l y P z 6 C r g J z u H - m K h - K 7 6 Q o 2 D n 3 l C r 2 E y g D 4 t K 2 2 H l n D 9 _ h D s 7 J t v B 0 h h B _ 3 O w d 2 n J l m G l n J w t D p q C p o q C k u p C g 7 r D w q 1 D t o z B 3 n x R 2 n H z 0 P r 1 k B y u u B v x e t _ F t v I 7 2 F 6 l G t r F - 0 X o p S r l B r 2 H 9 5 K r z G - - g B s i B w 7 E j R 0 x s B 4 2 a 7 n G z y Y 6 0 J v 6 N z 7 L 0 l C 5 k E s 5 G q y I s r M 2 s G w t S 7 u I x k I 5 z 0 B k n 5 C k w 6 B j 1 0 B 4 i h E 1 m S _ 0 B s p E n 4 Y w 5 k D v 1 M s 0 W 2 s S s u J l u Z k q O 1 j e i 2 D 5 p _ B j u 7 B z r V 6 n M - 2 J j h z J r z z B s X 5 5 M q j E q 3 R 3 i T z u i N _ x F m i F m 6 Q s 7 _ M 5 t 4 B y 2 D k l F h 5 B n 9 j C s _ J q n B 6 w 9 D - U w 2 F _ l F 8 3 E t l t D _ 8 I u p I j x m B 7 i C m x K p 7 j C 1 7 F 0 - J o 1 f 6 3 C k - B w h a g i U _ 8 G 1 x Z t j _ B w _ k B l j 9 C 0 _ K j a u 0 V p m D - j E 5 8 C k 6 b x 6 C k h D 6 4 L h 3 F p 9 W 1 u M k u B o 3 C 4 p D l k 2 B 9 s R u 7 a - x C s v F 5 l B r 2 H h y n B u z P 8 r M m 7 I 9 6 C 1 8 S p k B t 6 H o 8 H n j C g 9 k B 0 5 I 7 s e j j I 5 7 E _ o B 9 x b 0 g E 4 0 N x o d - n J l u 7 B x n J 5 4 F w u E h q c 8 8 D 6 1 F 9 k B x 7 D 6 m C w m v B m z P 1 j C 8 z C 6 p B 9 0 Q z q N r k H t l D l w d n 8 C v n J 9 o P 7 s f 8 k o B _ h G l o h C r m G q t X p m B q n C _ n B o t 9 B m 2 t C k n 2 E 0 9 k B _ j l B i k U i 1 h B 0 q 2 E 2 v J o h V j p l P 9 j M 5 y L h k s B 3 1 F 0 g a v 9 w B y 5 c 7 r N s 8 t B g 4 e 2 u I 0 5 H n v - J r 5 z B p r t B t z r C r 9 N v r j G 1 t f y x f 1 4 p C j - f i i E t s f y i D _ o U w y K m x 6 P 0 6 y C 3 m D u 2 S 9 y j C 7 o N y o n B w 3 b 5 u o B r s r D - h g B l x w G 6 6 V 8 4 i B l v 8 B q p j C 5 r g F - 0 j J m g o J 6 y h S k o 6 H v 7 K t 5 J x 5 P v 2 H u 8 J 5 5 0 B 8 2 q C v 2 p B 1 1 2 B h - o D l l z L g g 3 D 6 q - C _ 4 K _ n t C m o 4 F 7 g m E 2 j a m l y C _ 7 9 T 5 x G 2 o m C u j u D u 7 d v o e 2 6 E p 6 0 D r 0 G 0 h F i _ H 0 5 c 9 - V 5 t R 5 o c 6 v m K 5 q f y n l C g w d 5 l K t 7 K j k S h i H n u i B j u t B - 7 o B 6 u h B k l y L 8 j O l u i E t q 2 B o 3 f 9 t V 6 n a 1 v 7 B q x p B 7 l 7 E t k 0 B t g h C z 9 j L s w u F h h T m k 8 I y h 2 B 6 q 6 B o 4 H s m u B _ 9 G v y H - h w B - j v D j w J n i e 6 l n B 0 v c 2 w F y 9 M 8 j P o 8 y B s p Z v x 7 C w k a r 3 0 C w 3 g F _ k T o 7 0 g B 7 o G i 6 Q 8 u P z 2 J z v M y r X t l G 2 j X _ s F v g d v x O j i d z s w B 2 i k B 4 r P 2 v D i q D t 3 c 2 5 I m x R 1 p V 9 - s B - 5 R 3 i O p 1 P 4 r R - j G 2 2 y D t 2 F v j H 2 0 U 3 8 L 3 s b 3 5 S m p M p o z B 6 q I t w I q t f 1 r i E - 3 Q r p z B g z 9 C v x T 2 4 t C 5 l g B - 4 o B i 0 L x n 4 C x s g E 5 _ V - t m B 6 k D y l o B g w G t t O 5 k _ B l s K 2 6 7 B m 6 i B 1 g 0 E x - w B 3 m 6 G 8 - v B _ x d v - P 7 t v B 4 - t B i 3 D u i 4 B 9 m S 9 y J k x 9 D k p Y n 5 0 B 6 s Q i 7 j B 5 - 9 B t j x B l 6 v B r j P r r U v t L o 8 e u - x O 0 k z C p s I _ r l B p t E n 1 D 2 3 4 B 7 v B q g M r s Q p g i B u s Q q s G l u O h p S o v G 2 - F s 0 B l 8 7 D 4 k W _ 4 N j j o B 8 h Y q j C l l F 3 - G x w H _ u U v t D z 9 W 1 z C h u s B 2 5 P y 3 C g k N 6 q T q 6 Q m _ k E 8 k T u t E m i L - p W r 9 C g x j B w x E w 0 M j - B i i E - o R n 9 D r o K 3 u I 3 i L 8 l M 6 m F w q G - x D u 0 K 0 g E x y X _ z F y l X l 2 Q g 7 E t p N n 7 r B i 8 j B h z J k q O v w C o r T 8 r K 7 x C r - W g 0 D m 7 H q n v B 8 5 z B p p u B x 1 B 8 t B n y p B n _ H g r G o _ K w T - l E _ p Z _ 1 2 B g 5 G p z B 7 n a g 3 I 7 o T t - B 7 8 E r - x B l y C y 2 D y 2 a 2 _ T 0 7 B 0 y C 0 j F t j c m 2 D - i D x 5 F r n I r g M k 7 T 6 o N w 1 a - g H w i I i - M o p E 9 6 H o i D 0 3 m B t 8 L 5 3 W 3 y I 3 j c h n K l u D t q C w o D 1 r F m 3 l B x _ E 6 t D h 8 C j k N 0 0 E i h P w 2 B _ n L l w D y T h 4 D g n C - i G 7 t 7 B t 5 o B t - F u h p B t i k D g u B 4 0 C q 4 C s 8 V 3 4 F 0 5 d o h n B n 7 F l g t B 2 2 U r v e w - G 5 1 I x x J k w S l z B s x G l 0 O j K - r E p y X x r F r 6 C 6 g - B 5 y G 2 x 1 B y x L z 4 0 H y q S 3 7 C x z E 9 7 C 9 p Z 2 r I s 8 F x i C h x W u j F s w j B 9 m D 0 x O i d - 2 8 B 1 _ t C 4 4 L v k H 1 n F j q c 0 t B o q C y 2 H r 2 G y 1 B x u H 8 k W o _ E n v H q 1 B v v H h p N w n F 7 p F _ i Q x w E m y C - f 4 5 K 7 2 N s u C 9 7 F 2 r X l l J i 3 F m 9 B t s F 0 h H q 2 D 7 z B h p I w 4 E - o C 9 y I 0 l E u 5 C n 0 H u k C l n G 3 k f m x D p 9 Q 1 v R 8 o T q x W v v H m z F g 4 a s - I 7 8 Y 7 j z C 0 4 M q - D y 7 F 8 1 E g n N 3 w M 5 u l B v j D n 8 D q x O h v H w r E y k Q 5 k D u u f y 0 E p k D y n O _ v B y 9 u D v t b n w C t h C t o C j j K y 9 f r 7 X 3 - L 2 v C k s v B 0 g 8 B t 8 t B r 8 k C 2 o j B _ z l B y _ c 7 9 S 3 1 r D x n o C 4 k 6 C 9 s C v _ Z r s O z z E i o K i z K r o g B l j K _ _ B q m K w 2 C p v Q v l H 6 n J _ _ O o q Q x 5 p D g v q D 2 u j D i w h D w n I t 1 O 6 6 H i k O s _ M w 1 E l n i B p j V r z B g q M 5 8 V n q V 5 5 9 B k x K y q E o i N 5 3 J s 9 B l p D x - P - j J x k B _ m H h h H - n x B 0 k D - r 6 B 2 o B p 7 Y k 2 D x 9 D 8 2 D y 3 P h o H i 3 R 2 y g C 8 7 H - w B - q l B - k c t 4 G o r H 9 m I u l M z f l o D 9 l B 8 _ R k 2 V z z b h 3 J s _ H 3 0 G p 6 J p s P n 5 X 4 0 B o _ J v - h C h j L z _ H n p Q 2 u J y m h B p z E i p J 8 g 1 B t p V m 3 B w 8 F j 9 B 0 2 J 4 i W q m Z 0 q F k q E 1 h m C j 2 _ P 8 k 2 B n j M t y E p o L 0 - C v u m B m - D p v a o _ H z 6 m C 4 9 J i x d 2 o T 5 8 E l 3 I 0 - F 0 n H 8 z Q 5 2 F 7 2 N 6 l n C i l C 4 y N l z G k q M z q B n 7 L s z F - s 7 B 2 - R o h a o t h B s 4 Z r o C _ l E m j O k u M h g B r 3 I i u K i g M t _ H w 7 J _ 3 G z M s i W s 2 J 7 q X v 4 B 8 q I z M 8 h F _ S r k D _ 2 a z u d 4 - F 4 j q B 9 z 3 C p _ o E - z y D t 4 X i 0 b 5 0 C y 9 B _ z F 7 u 0 B y v B m _ D 3 1 B l 8 B x X m i O g z P v 6 B t n C s 7 D r n g C n w H x 3 N u s C 6 1 D j Z l v H 7 l C n w B j g B j w H y 2 I s o H q l D m o P x j b 1 g R j z B i 1 E 0 - J v 7 L j m _ B v 3 N 8 K x v o E v y I j n G z m N 6 8 F l i N 2 h R 0 h B i 3 I o h B - n F l - G y 5 F n v E o z F 7 0 G s 6 M t 9 R 7 w B p h P t _ M v 4 B z o M o 1 U - w I 3 u U n z C n o C 0 i B 4 - B k m a y 3 R v m b 9 u E 0 l C h g J 7 J w g t B 5 o C 9 2 H p p c o 6 H z s i C x G o 7 B y _ g C j 7 E l g I u l C 0 8 F v N _ x n C 1 u H 6 _ B t 6 H n n D 2 _ D 2 1 J k i T 3 8 I q k C 9 _ F s 2 D u 1 E k s E o 2 C s o B i u P 9 6 T x l J t v H l H 7 0 K 2 1 J l q I 0 _ w E 2 - v D z 0 Y s h B 2 9 B m O 1 w K 4 7 B _ y N s u X 4 v h B o h E q 0 K g _ B 7 j E g 5 J 9 t D k r D 4 v B q 6 H t z D p j C 3 h C n 0 C 0 h Y l 6 B z p B 3 u O x r B r 7 Y m 5 j B 1 M _ l R 9 6 1 B y l D 7 g f 0 m K 6 9 I z 2 J l 1 G s t D i _ J v 2 S 4 3 h B n m S t s B j 8 E r n E k q D n v E l x D 8 p E k i E 7 g I h y J n w U 0 m F 2 q E t 5 F - z C k 9 k B j 6 F u t B m v J 9 z M _ r M u h R u p D g 5 L k h U u 8 B 0 3 C - l G 3 w D l k B k 1 E p 2 L s o I 7 1 Q 1 2 K x - W w 4 U v 2 T w u f h k X v Z s 3 H s 9 B k 4 C 5 l G q 2 C i q G 6 7 U 4 s T 7 r C q O 8 4 R m t H o z D x 4 T n s R 7 - P h w m B q p I 2 9 s B u i u B s 6 I 8 8 I 3 1 H 7 o i B m _ G r t b 3 8 D m 5 i B - 0 Q 4 r D j o d k 5 E l k D q u I t 9 E 4 n L 9 1 E q X i s D 9 i G q S _ p M v Q q 9 B 7 0 M u 0 F q - F p x D h u D g g G 6 q G 2 2 D 0 n k C - j K z o S j q P 8 q X n y G o 9 G 2 W z 1 0 D 5 l S 3 r L 7 k D m x N 3 8 S m i 6 H 4 p 4 I 5 g R 0 _ D k h D 6 9 n E 6 n H l 6 - D p s E - l B h k G u 9 D h H 0 k F v y L 0 - s e j j s V q y L q 8 I 2 1 P y x N n m D 0 3 N _ t M p p r B r 7 i J q k H 5 T k 9 I h o D - x y B 4 1 D v 2 3 B - _ B x m D 0 b 1 g p D j k E 6 9 T t 6 B 6 s K u t C s u J w 7 H m n F 1 z I i r G n y C j - C o i N 4 y Z i t c p 7 G t - L _ s E 4 5 M z n h B 0 s C y 8 G k 6 e k 6 R 5 _ K p r C 8 r C q n B 8 o Y h y J u r Q o j F u g G s 0 D y y F k z D u m Q m w J s z P 5 8 C v - H y i a p - I 2 b 5 2 H y q H g 8 F q n F 1 8 0 B k 6 O w 3 I x x R l k I j l G _ j L s v F g h D q v p B q g N y 3 C t x J j z I 7 - E p p C 5 j E t k H 8 8 J n u R i 3 E i o o B 0 h y D - o h G - 7 0 I o g K z y O 6 n B h s l B n 8 5 C u m X y 7 v D _ o k C j 8 7 E 2 _ m P g 3 f y i b w y 4 E r 1 4 B p l G o i N 3 u R 4 s q F 7 l I x u E _ - F 1 3 0 C l n z G p p w F n 1 o c 6 y o O 9 6 N t x o Y y n 2 F - 8 s E s y N h n V r g w H l x O m v N 7 y s N k r 6 E i p m C 4 l i 0 B p j l B 2 2 2 B p _ i 4 E n m g B 8 j b x u O w t h E r 3 v B n z U h r c k _ H j w 3 F v 8 r F i i R u 3 D s u F 9 q m G 8 6 3 f 0 p u m B x 7 j h B x y 9 m B r 4 S v 5 J r n g B - w o E p 0 9 G w y p B s h Y y 5 _ i B 2 s H 4 2 t o B 5 l X - 4 N 9 p k H y p 2 b y 3 q I h 5 - G n 1 T 4 3 g M 1 _ - W g h s c w 2 C u _ 8 J p 8 g I 4 x v g B x r k B v 0 T w w - D p v 6 D 6 z 5 N u t h C p m G 8 0 D o - I o h I 2 _ Z q 6 E r h _ E 8 3 U - 4 F 1 u I n y O s g U p r F v 4 3 F y l p Z 5 o g B g 3 i B 7 z 8 B 8 2 f - g i B k t x J 4 v j B t 0 6 C 6 x l E p 1 o B p y U w x j B 6 g V q - M x 2 q g B 5 y h C 3 4 r W _ 2 9 l G l l r - C 9 1 j l B 0 2 2 T r 5 6 b r k g z B & l t ; / r i n g & g t ; & l t ; / r p o l y g o n s & g t ; & l t ; / r l i s t & g t ; & l t ; b b o x & g t ; M U L T I P O I N T   ( ( 2 3 . 8 5 3 5 2 0 9   5 7 . 8 6 4 5 3 3 9 ) ,   ( 2 5 . 3 0 7 1 9 0 4   5 8 . 7 5 7 0 2 5 2 ) ) & l t ; / b b o x & g t ; & l t ; / r e n t r y v a l u e & g t ; & l t ; / r e n t r y & g t ; & l t ; r e n t r y & g t ; & l t ; r e n t r y k e y & g t ; & l t ; l a t & g t ; 5 8 . 9 1 0 3 0 1 2 1 & l t ; / l a t & g t ; & l t ; l o n & g t ; 2 5 . 6 1 8 0 6 6 7 9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1 8 2 6 7 9 6 5 4 2 6 8 9 2 8 3 & l t ; / i d & g t ; & l t ; r i n g & g t ; _ r i v s 9 1 m g E w k 9 9 I 9 2 0 8 G x g _ j B s 8 S u x o i J 1 3 q 5 J k 4 0 a l s 0 - C 5 2 e j j - H q k z 2 q C w m z C t r 2 h K h 2 g 0 G 5 m 7 5 B v h l L w i j p B q w 3 5 H y h x Z 5 9 l r K 5 7 q c u _ n 4 G 0 6 x 7 K y y g Q l r n P n k 4 2 M 6 2 v J 0 v 1 u N i p 6 t E j 7 j u C 2 v 1 u N 3 y x B m 2 y o D 4 j 5 B q 0 n H s v v m E _ q i 5 Q s k 3 r B z z 6 l C x m 3 y B 4 2 p l D 8 8 s Y u n s o O m x i F _ g q o C h y z _ F 7 k C 1 i r s G s 0 r D m 6 y l B n P 9 q z p B 1 2 h _ C 7 y 9 8 F q 7 4 e l j h 7 B v r j P _ 9 g D g p y v K 9 _ c w y c q 9 j 7 R w l m I z 6 4 w Q u j h 7 G v 4 m j C 2 j l P m 6 z 3 H 6 j 3 F w m n H 6 q t 5 J m s p P 8 g t w B 9 q q I _ 0 7 q K _ 0 7 q K 9 0 e m m u z F 2 7 q E t 6 q t B z z o s D x 8 V 0 9 9 v C i s l o D o l 3 L w x 4 l K u x 4 l K _ z 7 E o y - h K 6 n y v B x 4 3 2 N i 7 q B n 6 s g F 9 w _ h C 5 p l x B s h i j F o q r 3 C 4 m l p I w h 0 3 D j - x D l 9 4 4 Q j m r Q p u 9 N r l 6 - D t 6 9 o C 4 - 4 l G 6 s - 2 I 1 x u F r 2 u V 1 s h l J 3 0 - c q 5 u 6 F 6 m _ 0 O v K _ - z u G 1 6 0 7 E 1 o - w W p i u L 0 x k H l m 2 n V t 6 u w B v 4 r I x j n g n B 6 _ F m q g m R q 5 o s C h n 5 y G p 7 q j C x 1 r q G 5 y l 1 G m 3 - 0 E - g n N h r h 0 B s m l y C 6 1 j 3 B r n g s B t t m m B k k i l N l 9 I x u 2 E x _ t t K 3 w p q C 4 v h _ M 7 _ t Z r 1 1 y J 9 2 6 o E z 3 r T l 7 9 C n r y v H v 9 9 W h t h C i i i j D k u i i E _ 9 g O 8 l r 2 C g 9 h 3 F m 5 q p N w 1 4 8 B m z v 5 B 9 s _ p B 3 n 5 W k _ g z C 2 x h r D z g s 9 D h 8 z C j i 8 i C 1 0 4 5 C o 8 w 3 I s p s 3 C 0 w _ a x p j - B r _ k 1 F k x h 9 B m l s 8 C o o w x B q 3 k X 8 i 3 S q p 1 l D 2 5 y o C i s 4 8 G y p l G x u m 9 H 7 8 v j D 9 0 j i C l t l o K s r 8 n K i o u 6 F u x 1 b - 3 3 j D 3 o l i E o 6 4 _ J 8 p q I s t n u J _ 8 v y H o _ 6 F 8 h i 9 Q 2 r i W h y m 6 G 7 x x w C - t v a v 3 w N 5 4 6 4 E 3 n 1 E 1 t z r N z w 3 g H m 1 7 x B j _ E _ q t 2 H 9 i _ L i j 4 u L 6 9 7 o H - u 2 O 3 5 - t s B - p 4 G j k s z C i g w D k 3 g 3 B - s 7 i K s i m f r p 9 y O 6 y b x z l G t z v 1 U 7 m q 6 E z x p t I 4 - 4 1 G z _ s l J g g 1 n C j - 8 6 B j y y t F w m 8 v B o w 5 G u u z p D 0 q 7 7 S _ u 9 B 6 i p X w r j y H l 9 k t B r 6 6 T u m g K i y p 2 S l j i 1 K j n E h t j 1 T s 8 3 h D u k p H 0 8 n M p u t - F 9 m s 6 I 5 u 7 _ B j 5 0 t B z l x 1 I j 9 p q L m l x o B 8 5 4 k D 8 6 u - B y z 7 w C 1 x l D k 1 w H h h 2 v C 7 3 k h E g h t n C 5 4 x g N 9 l m X h w 5 n H 1 9 _ 9 C u 8 j M 4 w m - D 0 5 z r B u y m 4 D j 0 z y D _ 4 s 5 E 5 j - m C q l s 4 C 0 n g q F k y z y O v 6 x 0 B - i 3 B 7 1 8 Y _ k w _ D 9 m 2 6 J 5 q p x F 5 z n D v - o m N 3 3 q w I 4 6 3 p F 6 o g N _ 1 L g l 4 y F v r 1 u G x v 4 O s g 0 W s x l l O l q 0 F l v v y F j o r s C k 3 4 M h s 9 h G n t s q D 7 m 3 i J - z 6 _ C l u t q D v q - s B n o v E 7 p 4 o H m s 8 B 4 m C - k v u H v x j c q w s B 7 j N p 3 r _ b s p k _ B i 7 m D y u 5 n B i 6 4 1 V m n 3 P j u p P t 6 0 9 L 9 _ m p B q u s 7 I s i q B 7 _ r j K 2 _ 0 j K 6 t r _ B o h t x F y n 0 k G _ u x - D 8 s h t L y D u t 2 8 D v t m I l t q y H u j 9 e w 7 9 U q 9 2 8 G r - u r K 6 n O z v 2 x B 2 u u k B j _ p 0 L 8 y z 0 L j s O m p 4 y Q i 9 - B 4 3 p y K i 7 t 6 D q w i 0 B y 5 y L 6 w _ h D 6 6 t P & l t ; / r i n g & g t ; & l t ; / r p o l y g o n s & g t ; & l t ; / r l i s t & g t ; & l t ; b b o x & g t ; M U L T I P O I N T   ( ( 2 5 . 1 9 4 7 8 9   5 8 . 5 9 3 8 8 9 ) ,   ( 2 6 . 1 7 3 1 1   5 9 . 2 8 6 1 0 8 ) ) & l t ; / b b o x & g t ; & l t ; / r e n t r y v a l u e & g t ; & l t ; / r e n t r y & g t ; & l t ; r e n t r y & g t ; & l t ; r e n t r y k e y & g t ; & l t ; l a t & g t ; 5 8 . 0 5 0 8 1 1 7 7 & l t ; / l a t & g t ; & l t ; l o n & g t ; 2 7 . 1 7 1 9 0 1 7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2 0 5 2 5 7 4 5 1 7 7 2 3 1 4 0 & l t ; / i d & g t ; & l t ; r i n g & g t ; y r p 7 m m u - j E 5 o g t I 7 p l l P 3 4 m D 3 m y j B w - n n G s l s u D 0 j _ k C l o 2 o s B g 0 _ i B h 2 r u E 0 j w u J 8 j o y H 1 v W 3 h e 1 h U K n n o B i u s E 2 1 x C q l 4 D 0 S i 8 6 Q n g D O 2 v a l q H x _ g H p 3 o F h U u 4 U _ n y B l 7 f o 4 w D n 9 2 F l g H z t p C p u o D 8 3 7 B 2 t 3 E p L 6 m x D z l u B 8 M t i s C 9 2 S 0 3 C 7 o N _ y R 2 r c 0 p P 0 r x E - 2 N g - y J m t y I r v x F p h 4 D n 5 2 B _ y l Q k 7 j C j o 9 L 6 _ g C w h C q 9 w B u u k B _ u o E 9 z j D 2 t r S u j 6 B n u k O q x 7 B g 0 9 C v w G t t n K _ 9 K 2 r J s 1 o B _ l i B x i p B y p i D l g k B 8 p g C 1 t p O x s J r k 4 B p - m B 7 1 r B 4 x z C k v b t g 5 R 7 z t K s 4 g F D h x 9 B u _ K 8 g o B 8 7 3 E w t 7 H h p q F g 4 Q z 3 c x - u H x v r R 5 6 x H s 7 2 C y 9 w B w 4 p K - 4 l J g 5 8 B w 2 8 B - 1 v L 8 - o G n g f q 9 y E x i L z q 9 D 1 v 1 B m r t D 9 i r F 8 7 Y 4 r p F 8 g 1 B 6 2 u E 9 5 2 H g 1 k E u 8 N s 3 i D v 5 s B 1 u v C z 2 7 G l n 6 E y 7 m E r s n C 0 _ P h _ M l s 3 H q 1 q k B 2 k L j y G 0 1 z C _ 8 p P u 4 m I 3 1 0 F s 5 r C q z b v p 2 L x n r I 3 - q D 3 6 4 B r i k B 8 r k J x x G q 5 3 E o h - p C w 7 l 8 D 9 w S m z w r B 9 1 4 G j _ x o F 3 2 8 I r o l G q y 1 H - 1 z D j 8 s B u h t L 6 6 s 7 B h v n 4 B 5 - I 7 n 0 R 2 5 W j i o D - 4 m B w v I 0 i g D _ _ f o q K 9 u h E _ _ 9 B z 3 t C 7 8 d x 2 t C 2 J 1 2 w C q 4 n B _ k s B x 3 i B t t m H r 5 6 c u 3 6 I s 8 o K 9 3 2 B 0 r V 1 h 8 B z 5 s B l k O 1 w t J w v a n 6 z G h y W t i E v - k E 3 _ - C i i 0 I 7 x f 5 q 4 G h 2 z E 5 z t C _ 1 8 W i 9 p B 5 5 _ E r o s T u 5 - I 1 g o g B t m 0 C m 0 x _ B o s R 4 h x D - p z F x 3 l B v _ z E y 1 n U g 0 y S r 0 _ g B 9 - 4 B s 5 r J 5 v z J w - x E L v t i q B z y k l C 4 0 r H - q j h C 8 3 p y B 0 0 O o k u F 3 k q G 1 r i C 0 m n B 4 8 s G m - H u 1 v Y t z _ 2 B 2 7 q l C n p w K _ 0 l O 0 3 2 c 6 k 6 L 0 3 p H r y 4 V m 8 l D z 9 B 6 u 3 g C m 9 K _ o w D n 3 7 j J u 4 P p h k c x s k k B m o t m C 1 n 7 V k 7 _ h B 9 x 1 0 B x D 4 4 o d 4 0 h v B g n n D 4 2 s R 4 u 7 W w 9 o U 7 k u J 1 x 6 C - 2 k S z i r I w t m _ C 1 1 j P 2 V m j m D 6 - R z t x D 2 _ 3 N v _ B 4 D p i r S 4 1 g P r 0 w k B w 9 4 d o 1 j j B h _ y B n 5 9 w B z s k L v 0 7 H 3 o j R u w M u 1 3 C h 3 U v 6 d p v n K 2 - q C l m 1 C 2 7 k C v - v C t 4 j C 9 6 n B 1 p J s n W u n g B w v j G h n 2 F 1 m F s 1 v C y k o a 3 v 1 F _ y 6 Y r 8 6 D j m k 3 C _ 8 - H 2 v 1 J n q G 0 v 2 L 1 o 2 Z y - 7 I 9 w 6 H _ 8 Y 7 7 5 E k 5 m B 9 0 u C h K n - u M i 3 k G 6 m n B k _ q P g 0 j B - r 9 G q z o U k 8 t L o 2 x h B v w 5 b q t 8 b q _ u J 6 4 y S t 4 k f n o z J t 8 t G q w m U s n 5 L _ - y o B 4 r D w i D r h h J 1 s l N z l - J p 2 u K n 6 5 B _ 6 r C o - q M k r D 0 w q I t z q J m 0 9 L - w 4 T i o o M v i 9 T 4 w l N x y 9 B r s _ J 2 s k T 8 k _ i C x h w E 0 k q m B x y 1 b 1 8 q b 7 s n E 8 5 B 7 x r L h h 0 J 8 s t F 6 x k R j r 8 V v r x B 4 _ x H r 6 u H n 4 9 S w g 9 B w k o I 7 y v D 7 z n K w g r C m _ - P q g D 7 3 t F 8 m 1 J s t w E t 4 u F r _ r G 9 2 E o 3 0 H 7 5 0 J y x 7 B j 8 o i B m q m O h u 4 F k 7 y K g m u O 2 i 2 V w h 8 K s m b n 6 7 B g 8 o T g 6 1 B 7 y t N u v y J 5 9 y I 9 v u U 7 h k X n 1 w W i 9 w E i z q E m B l 6 v V 7 l o F 3 3 q I q v j W r q i N 2 u H g k z X 1 i t K h - 2 O 0 z 8 c j y y y B q n U h _ 3 Y k 6 s R l j q M s 0 O t 4 4 F q m y I 7 7 4 P g k z X 4 o s L 7 q 7 B m 1 q Q 3 n 8 T o o h d o 3 h O u w _ C - 0 9 C v 4 n X h s n M w l p Q y v R 8 z 3 E 5 7 M 8 _ 8 C x z L 7 3 q J _ 5 8 J 4 2 _ U x p k c h 3 m f 6 w w G u h 6 U s 7 w U p q 0 W v 6 7 B v g 1 L o l o Q s v u n B 6 g 4 a t s S i 8 x T w - n k B i 8 x T r q u Q z 2 p c v 3 o C i g t G p l Q o n l g B 8 q q E k w o i B g 4 w 8 B r z 6 p L 7 9 j h G - v - p C 1 - l 8 C w 1 7 F 9 i u h E h v 3 1 B i 7 p 2 B s 5 y C 1 q _ I 9 o _ v R k - h B 2 m 6 n G t l z s B 3 o 2 9 w B _ 8 t y F l r 6 4 B p 4 i C 9 4 j N q 6 F p l g t F i z w U k 8 x q I 3 g 4 6 B r o 3 D i n v M s l l z I n 6 2 2 J n h l w B 1 3 w 1 B v 7 k W s 6 1 M z o p 5 B n j y 7 C t p h l B - l l n B 6 8 s j G y r w j C 4 0 S o r D g s _ 3 B r 8 _ 9 E v p 3 v J w 9 p i B o o u n C u p x z C o g k 5 K h i j n B l t n 5 B w 4 8 5 C q s 0 E 3 6 6 s J l h 3 4 D j 2 s J s t w E v 5 Z l _ 4 8 C 0 3 1 h G 6 9 g H k t r 6 F j i z i B 9 j o S - t X l u w w B 4 g j p B w 0 o R u 3 S w x 0 9 J _ 5 r p J y p 5 G g r y 8 C 6 4 x M m l z y E z 2 j B 1 5 4 _ D s B _ 9 9 r D u i l - D i u s 4 K 8 u m b 4 2 5 p B i - 9 7 K 4 o j C k p h 4 G o 4 r h J k 9 w v C _ n j 2 B k 7 o 7 B 4 h h 2 C k 8 3 n J 6 v j 0 D 3 w p x D - 4 6 i C 3 o o 4 G r p 5 7 C w 4 s y J y v 9 1 D 1 _ g j F j 9 3 p K w 4 _ Y w 8 x 6 B o 9 r n J 6 - w t O 2 w 6 5 H i u B j - j 0 H o - j 0 D j 7 7 9 C g r k 3 C i - o B o m o w F w s x t D l u j J s w o 7 K x 3 h w E 6 3 _ m B 6 9 1 G g 4 - w E q 0 h V 1 _ i 3 B o 2 4 z K n 7 1 j B i g p X 1 s x 9 E p z q k E 5 k q 6 C 3 z z 3 D x u o o E t l g z C s h h 2 B s 8 _ c 6 k h r B o y s 5 B v n h Z i 2 8 k I 3 y o r C t q t 6 L t u 9 6 B l g - v B z s k i E - o 6 _ C t m s K 9 - i 1 B l o S z P h 3 7 v D r n _ 1 D 3 1 X 3 u k Z 9 9 g - C y q i s E o - h _ I 3 7 x j B x v 9 k K i w m l K g w m l K s x 0 D u z 5 x H m 3 o k B _ 0 k h G m p 5 _ B q n m g B 1 x u 2 C h w v 2 D i 2 v 3 K p 2 8 - G 7 o v r B w 5 r C s 9 i u B 2 9 6 k H h w j r C o z 3 g E 7 m t w M w h j 8 H 4 o m k C - i h M u 5 m G 9 r 6 r B 2 k i w E v 2 - 6 7 B y j t D - o m r R p m _ 8 C 3 p 9 M 9 v l r C 4 r _ 1 B s 8 o j B 2 6 5 q C s k C s g i - K w o o m G x j i e 4 p r 5 O o h w u B m - y y B n 7 6 k K 0 - x B z 9 2 4 O g 2 8 x I u 1 _ j E 2 1 1 k E 4 q t w Q y C 1 4 o l R m t j z C 1 p l u G 8 1 5 - G p 3 1 1 E - j B q 4 C 5 - y T v w i D s m v E 1 _ 9 j K y - y Y w n 4 6 J i 5 n y F i 2 l m C 2 r w 8 D g 7 4 m C g l w m O n h s c 7 k 7 E w 3 G _ - 3 8 C 0 y z _ D x k D 9 u m g F w - m E - j 9 - I 6 j m N - p y g B 9 x i _ B n t n 0 H q k 2 F 8 z h m Q 1 4 4 P p _ 7 w H t 3 5 w M 2 t m j I 6 7 s 3 J x t n j B l l 4 k B x 7 i t F _ q 4 G _ m 5 o M l s i m B & l t ; / r i n g & g t ; & l t ; / r p o l y g o n s & g t ; & l t ; r p o l y g o n s & g t ; & l t ; i d & g t ; 7 0 3 2 0 5 9 6 1 8 2 6 4 0 8 8 5 8 0 & l t ; / i d & g t ; & l t ; r i n g & g t ; s 0 7 k x 0 7 w l E n 2 s F 9 r h L w j n F 5 v q L h 9 W 2 8 t B 0 4 1 D v 1 8 B & l t ; / r i n g & g t ; & l t ; / r p o l y g o n s & g t ; & l t ; r p o l y g o n s & g t ; & l t ; i d & g t ; 7 0 3 2 0 7 4 0 4 9 3 5 4 2 0 3 1 4 0 & l t ; / i d & g t ; & l t ; r i n g & g t ; r 3 9 y 9 w 3 n l E z z y C - x _ O 7 1 j C 1 j h M & l t ; / r i n g & g t ; & l t ; / r p o l y g o n s & g t ; & l t ; / r l i s t & g t ; & l t ; b b o x & g t ; M U L T I P O I N T   ( ( 2 6 . 5 6 4 7 9   5 7 . 8 1 8 2 8 8 ) ,   ( 2 7 . 8 1 8 9 2 0 0 0 0 0 0 0 1   5 8 . 2 6 2 0 1 1 ) ) & l t ; / b b o x & g t ; & l t ; / r e n t r y v a l u e & g t ; & l t ; / r e n t r y & g t ; & l t ; r e n t r y & g t ; & l t ; r e n t r y k e y & g t ; & l t ; l a t & g t ; 5 8 . 8 0 3 2 9 1 3 2 & l t ; / l a t & g t ; & l t ; l o n & g t ; 2 3 . 8 3 9 7 6 5 5 5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0 5 2 7 2 7 6 8 2 7 5 4 1 5 1 0 & l t ; / i d & g t ; & l t ; r i n g & g t ; h 2 z q p l 2 r 8 D r z y m C q 7 g T _ n k U g j r F z m h U k k n Y 9 y 3 3 C 4 i 4 z E l z t D h j z s H t 8 0 S 7 t 4 - D g g t h B p 5 m S j 1 _ o E o q 3 f 3 x q w B r q 0 F - - 4 l C l 3 m x B 3 7 o F m z j K x 0 9 L 7 t x k B & l t ; / r i n g & g t ; & l t ; / r p o l y g o n s & g t ; & l t ; r p o l y g o n s & g t ; & l t ; i d & g t ; 7 0 3 1 2 8 0 7 5 1 5 3 0 2 1 3 3 8 2 & l t ; / i d & g t ; & l t ; r i n g & g t ; 8 s - h g h 9 p 7 D m 6 r k C i 0 3 I v v 6 a v 4 0 w B h - 2 Y i n n G u u 4 I 6 x 4 C k 5 t g B & l t ; / r i n g & g t ; & l t ; / r p o l y g o n s & g t ; & l t ; r p o l y g o n s & g t ; & l t ; i d & g t ; 7 0 3 1 2 8 1 3 3 5 6 4 5 7 6 5 6 3 7 & l t ; / i d & g t ; & l t ; r i n g & g t ; w 4 4 5 l z w 8 6 D 8 x 2 C 6 o 3 T u y 6 D 1 7 r D 9 1 z g B 8 6 h s B _ - 2 O 0 7 7 B & l t ; / r i n g & g t ; & l t ; / r p o l y g o n s & g t ; & l t ; r p o l y g o n s & g t ; & l t ; i d & g t ; 7 0 3 1 2 8 1 3 7 0 0 0 5 5 0 4 0 0 5 & l t ; / i d & g t ; & l t ; r i n g & g t ; 1 k n z 6 0 p _ 6 D 3 6 g O 1 9 m y B p 9 3 b & l t ; / r i n g & g t ; & l t ; / r p o l y g o n s & g t ; & l t ; r p o l y g o n s & g t ; & l t ; i d & g t ; 7 0 3 1 2 8 1 4 7 3 0 8 4 7 1 9 1 1 0 & l t ; / i d & g t ; & l t ; r i n g & g t ; u p g o p _ t - 6 D p m j P v k 0 B v o 6 E 7 - z T s - 3 z E g m n q B m t v _ B 1 6 q S h 6 u 8 B - g s C s t l a m 8 r r B l p v 4 B & l t ; / r i n g & g t ; & l t ; / r p o l y g o n s & g t ; & l t ; r p o l y g o n s & g t ; & l t ; i d & g t ; 7 0 3 1 2 8 1 8 1 6 6 8 2 1 0 2 7 8 9 & l t ; / i d & g t ; & l t ; r i n g & g t ; n y k v 6 5 w j 7 D 8 3 N l g m 6 D g o g q D u 6 9 R s q m S z 0 j H m 8 i c 5 8 i i G 8 _ r 4 D u z p J k h n L m v 2 m B 9 o l 1 B o _ y k B m 1 m 7 B m r z Y 7 s 7 v C j 9 i V 5 2 o L i 2 q f v 6 3 O u x w q E h k 8 d 1 _ B n 8 r z D 7 0 z C p - 0 7 E v 6 5 r D y x h v B - h y C v k Q 4 0 n l D l j n 5 C r _ v q D l D l 9 v W v t s F x g g U 8 l l J 4 - r x B r 4 h o C 2 i z S k - r k B 5 n o u C 9 u w w C m l y L m s - u B s - n a u h 4 k C - m K o 1 l 4 C 3 x g w C v p l p C v x y B 6 x 6 s H g x n T 2 z m U o 5 4 8 D u r t a j s K 5 1 8 j B 2 2 0 x K k k g j D 4 m n D 5 x o t F 7 o t 5 C x v z B g q 6 x B m w u 9 B v q h X t q k Y 2 z 1 Y 5 g 8 U x - r B z l o Q q 6 k O p 0 u a n j y l B i y u u D q 8 j o C x j 1 q D j y 6 Y u p i X i v l n B 5 g 3 N _ 5 6 4 B v h 8 3 C x t 1 O z _ 6 3 B n q 8 F 5 s 5 o C q u n J - w 3 r C m j x u C l s h y B x s n B t s s t C 6 2 x V 6 1 m m H s z 0 3 B u p - 8 D l v p C i m x q B 8 x 5 - C 5 2 y w C x 1 - b 1 6 u F 5 2 s 4 C 3 _ o C r o n k C m 9 4 m C g o _ Q r i _ 5 C - w C w 0 1 0 B j q o - D 0 7 Q 3 0 v u E t t y 2 D 2 9 u d 4 - 3 o F t u H & l t ; / r i n g & g t ; & l t ; / r p o l y g o n s & g t ; & l t ; r p o l y g o n s & g t ; & l t ; i d & g t ; 7 0 3 1 2 8 2 2 6 3 3 5 8 7 0 1 5 7 3 & l t ; / i d & g t ; & l t ; r i n g & g t ; 7 3 y q 9 0 - h 7 D 6 j i X w n u n C 8 q 3 O 0 4 z 4 C & l t ; / r i n g & g t ; & l t ; / r p o l y g o n s & g t ; & l t ; r p o l y g o n s & g t ; & l t ; i d & g t ; 7 0 3 1 2 8 2 6 0 6 9 5 6 0 8 5 2 5 3 & l t ; / i d & g t ; & l t ; r i n g & g t ; j i 5 m _ j l w 7 D r 6 k O 8 v o g D x p 5 K 1 8 3 a p - n a & l t ; / r i n g & g t ; & l t ; / r p o l y g o n s & g t ; & l t ; r p o l y g o n s & g t ; & l t ; i d & g t ; 7 0 3 1 2 8 3 5 0 0 3 0 9 2 8 2 8 2 2 & l t ; / i d & g t ; & l t ; r i n g & g t ; w 7 9 0 _ n t o 7 D 4 l _ h K i g O _ m q l B - 4 x s B 2 k 0 B z g h B 8 x d i 9 q R o 2 o S s 2 o y B j h q r D & l t ; / r i n g & g t ; & l t ; / r p o l y g o n s & g t ; & l t ; r p o l y g o n s & g t ; & l t ; i d & g t ; 7 0 3 1 2 8 5 2 8 7 0 1 5 6 7 7 9 5 7 & l t ; / i d & g t ; & l t ; r i n g & g t ; g n y k q z - 8 6 D 8 - 6 N m k j S 6 2 j W _ q p C 4 l 6 o B 4 9 1 W x u 0 q B & l t ; / r i n g & g t ; & l t ; / r p o l y g o n s & g t ; & l t ; r p o l y g o n s & g t ; & l t ; i d & g t ; 7 0 3 1 2 8 5 5 2 7 5 3 3 8 4 6 5 3 3 & l t ; / i d & g t ; & l t ; r i n g & g t ; h 3 s v l r h 9 6 D h z o O 1 g r I g m n q B w n r L 2 6 g l B & l t ; / r i n g & g t ; & l t ; / r p o l y g o n s & g t ; & l t ; r p o l y g o n s & g t ; & l t ; i d & g t ; 7 0 3 1 2 8 6 4 5 5 2 4 6 7 8 2 4 6 9 & l t ; / i d & g t ; & l t ; r i n g & g t ; m i 6 6 r q z v 6 D q 5 u I p m 0 x I 2 - s Y s v m j G s 4 s h E 7 t 3 5 B p y u W h s i F 0 o 9 q G 2 g D l 0 j 8 B 9 n s M & l t ; / r i n g & g t ; & l t ; / r p o l y g o n s & g t ; & l t ; r p o l y g o n s & g t ; & l t ; i d & g t ; 7 0 3 1 2 8 7 0 3 9 3 6 2 3 3 4 7 3 0 & l t ; / i d & g t ; & l t ; r i n g & g t ; - h g w 3 r _ h 7 D 0 6 v H h j - o C v t _ H k y q Y x 7 k 0 B 8 i 3 f & l t ; / r i n g & g t ; & l t ; / r p o l y g o n s & g t ; & l t ; r p o l y g o n s & g t ; & l t ; i d & g t ; 7 0 3 1 2 8 7 0 3 9 3 6 2 3 3 4 7 3 1 & l t ; / i d & g t ; & l t ; r i n g & g t ; y q i 4 r - h g 7 D j q 7 l B 1 w 0 m B _ w 9 t C n 0 B v h h D n s 3 v C k q y g D 1 w 5 O - - q Z 0 u j x B - D i o k C 8 0 8 u C p 5 0 x B x 7 n v B 6 9 K q v t s B & l t ; / r i n g & g t ; & l t ; / r p o l y g o n s & g t ; & l t ; r p o l y g o n s & g t ; & l t ; i d & g t ; 7 0 3 1 2 8 7 2 1 1 1 6 1 0 2 6 5 6 5 & l t ; / i d & g t ; & l t ; r i n g & g t ; v - g _ t 2 w h 7 D l h 0 V s t g R - i y t E w n r L _ 6 j g C & l t ; / r i n g & g t ; & l t ; / r p o l y g o n s & g t ; & l t ; r p o l y g o n s & g t ; & l t ; i d & g t ; 7 0 3 1 2 8 9 3 0 7 1 0 5 0 6 7 0 1 3 & l t ; / i d & g t ; & l t ; r i n g & g t ; o 0 _ x m q l g 8 D s o p a 9 _ 8 f 5 _ _ N j 0 i L & l t ; / r i n g & g t ; & l t ; / r p o l y g o n s & g t ; & l t ; r p o l y g o n s & g t ; & l t ; i d & g t ; 7 0 3 1 2 9 0 0 2 8 6 5 9 5 7 2 7 4 1 & l t ; / i d & g t ; & l t ; r i n g & g t ; o j k j g r s 8 7 D r - 4 F i 3 w R l 5 y F t 5 9 k B & l t ; / r i n g & g t ; & l t ; / r p o l y g o n s & g t ; & l t ; r p o l y g o n s & g t ; & l t ; i d & g t ; 7 0 3 1 2 9 0 0 6 3 0 1 9 3 1 1 1 1 0 & l t ; / i d & g t ; & l t ; r i n g & g t ; n p v 2 9 m 8 9 7 D 6 2 x V n t m b _ t t _ B 6 u v O & l t ; / r i n g & g t ; & l t ; / r p o l y g o n s & g t ; & l t ; r p o l y g o n s & g t ; & l t ; i d & g t ; 7 0 3 1 3 0 1 6 7 6 6 1 0 8 7 9 5 0 1 & l t ; / i d & g t ; & l t ; r i n g & g t ; 6 3 4 9 g z h y 6 D 7 7 l p B 8 8 0 P m t m K i b u 3 K x z d 8 r v I n 2 j L i q x K n 0 g l D & l t ; / r i n g & g t ; & l t ; / r p o l y g o n s & g t ; & l t ; r p o l y g o n s & g t ; & l t ; i d & g t ; 7 0 3 1 3 0 1 6 7 6 6 1 0 8 7 9 5 0 2 & l t ; / i d & g t ; & l t ; r i n g & g t ; 3 w v k 1 s m y 6 D r m n W _ 6 n P 1 p 7 B s 4 3 B & l t ; / r i n g & g t ; & l t ; / r p o l y g o n s & g t ; & l t ; r p o l y g o n s & g t ; & l t ; i d & g t ; 7 0 3 1 3 0 1 6 7 6 6 1 0 8 7 9 5 0 3 & l t ; / i d & g t ; & l t ; r i n g & g t ; w m y q l s r y 6 D 9 m 8 H l r i G 3 h i I h r h I 0 _ R 9 r _ H n 3 1 Q w 7 b 7 3 o B s s _ G p q s J _ 3 g F 0 2 3 B 8 z 4 H & l t ; / r i n g & g t ; & l t ; / r p o l y g o n s & g t ; & l t ; r p o l y g o n s & g t ; & l t ; i d & g t ; 7 0 3 1 3 0 2 0 5 4 5 6 8 0 0 1 5 4 2 & l t ; / i d & g t ; & l t ; r i n g & g t ; y _ q 7 m p u w 6 D h - n L 8 6 p J 2 7 h N o q r F y 3 w B j t 9 K q 9 z P 8 m 8 H - s p I 8 i B 9 q 2 D l x m F 4 3 q F 0 w 5 B 2 1 9 G & l t ; / r i n g & g t ; & l t ; / r p o l y g o n s & g t ; & l t ; r p o l y g o n s & g t ; & l t ; i d & g t ; 7 0 3 1 3 1 3 1 5 2 7 6 3 4 9 4 4 0 5 & l t ; / i d & g t ; & l t ; r i n g & g t ; i x q v t t m m 7 D j u t S 4 1 o 9 O l m _ 0 B i j j p C 0 v 7 w E 1 i N - 2 7 h L - t 5 H 9 9 v _ L q j - F 6 u m v L 6 p z u L w q q u C 2 w h 5 H t x x x B x 9 q - W 9 l w 2 B l q i 0 M 2 5 w _ J 8 n z C 4 3 4 s d j 8 r D - _ p I 0 j o D - g g _ B 3 r q t H q w z 9 Q 9 m u q H m 6 5 7 C y 2 l g G h q u y D x t 5 q H y g C p 8 y - O v s t z D _ o 0 z C y 5 _ u D z 8 q d - q 7 1 B w 6 3 x B k 7 0 x E k p 3 n B o 9 j i H 3 4 n I u q s K t k u M 2 j q 8 I 6 x l j L 8 w q j C - u 0 l F x 6 o z E g p 3 m C 0 v j n B k 3 y i C o k n m M _ k j 9 B k 9 y h H r j 4 o B j 5 0 o G _ 1 2 H h 8 s 8 R 3 G w r k m J 8 r 4 9 F k - x k B m h y d 0 0 r l D O j l 2 E r h w y H l 3 h y B j w 9 v E p m k k H z y h o F z w 7 s B j j u g F q 5 r 8 C i 3 r w F g q x _ D m 7 5 I j u n i K 9 x - I i q h s D - 2 o J y 5 h _ J 4 3 1 r G 4 h 1 p C u l s 3 B o 6 z P _ 2 5 G n 4 l 3 M - - r 9 C i v 9 l D 6 m s N z 6 x h D 1 l 3 i B t n u r E 9 j z f 9 w i M u l z 7 L s o k H h 4 k j B - l 4 s G 1 6 _ h C 2 m w X 8 m t h B l o z 5 R - j v 9 G s u - B y 5 5 Z z 3 h 8 E z g r 0 E _ z o i C i s w 1 Q w l J i w v h E - j k g D z 2 w J h w r Y l x 7 g D 6 - 0 F 1 - y p M p 1 0 i B o 8 z 1 U 4 n g y M p 5 j g B - m 6 z B s y x z C 9 8 6 k K 7 o - L u r x k B _ h n g C t l m n J 1 0 s B q 1 m _ E s p s y I y g q 6 E g l x 3 B 1 m x 0 C 2 1 g 0 R 2 1 g 0 R t 9 - N 0 0 7 i B 7 0 u 8 C v r l 0 K v 9 y z K 5 8 t t B s w n h F r 2 t l F q r k z B h o r x M s 5 r g G i 8 p p C g i r t B v u y _ N n 1 5 q R h l 1 S t g _ p G w r m x D j j q 3 O l u u F - i r l J p 7 r 0 B u 5 i j B j v y n L v 2 R j 7 k p C 8 l u 6 J t i j g D l 4 3 0 M 7 5 3 x D v i 3 C s u 6 j B 9 l m 7 C - s u m C 2 w 6 C - o 9 b r 4 l z E x 1 0 L l w j 1 B i 4 s y C l s C 3 7 z l B 8 9 5 L r - 2 u B 3 t p z D h 8 z 0 B y i R x g 6 B n 0 i q D p p r 3 B - p 7 N 7 x l l B - k i 4 B z l 0 z D u g 4 B 4 1 h g F k u l h C 0 O z 1 o h B m 1 u _ E 9 x n D o g n y E h 9 T 3 o l r B 1 l M j 2 u v C w 0 h v G w 9 e - 5 j a y u K 0 9 o S p i C k j R 4 k 6 q B x x 8 1 F o q r V m 3 t S j 4 _ r B z z q s B o 3 j 2 D x 4 N l - u 1 B - g 1 K 8 n 8 3 B 5 l h q B m n k C h l s x C y 2 s m B u l k O l 7 i j D n _ g s C n m p 1 C 3 p g k K i x h B t 6 C y 3 - q E v v j m B n o _ v B k i j C m u z q J 5 7 x P o m 3 S l p 5 _ G l g y Y 7 q 9 g B k r I 5 p j h H j p 7 7 B 4 v y 5 B i o 7 x E k 2 m 0 D _ j 2 4 E j n q T q q - E _ 5 6 4 B o v n W h 0 _ l B l v 4 l B 9 j K 6 i n p D o m p z D 3 4 g C 2 m l b h 7 3 N g 5 g B w v k 5 B g _ h 3 F 5 q _ O 4 n 6 s C 1 g z w B v 4 1 5 B 0 3 5 W o u 3 0 D s o n p D h Q o 2 y n C n o L 8 1 2 x D 6 h s _ B 7 8 i s B 0 l 3 _ D v g 4 y B h l k _ C z _ 4 v D 4 r L n - m p E p u h n D 3 O 2 - w u H i - 7 h C x v T p o C q _ l 8 B z r y W t v l _ E g z n B 7 5 r p H n u n r D o 3 F p - 6 O w 2 2 l B q 4 t q K 2 l - Z 4 z 0 D l 1 1 1 E 1 8 3 a 2 k 1 v C l x w D t p 5 Z l s o n B 2 1 i - D 3 p 8 x D x o m B i q - k B y 6 9 1 D q x 0 B m y w m D l 2 E 5 2 t s B r 7 6 v B - s q I _ 1 9 r M l - R 4 p - L 0 k 9 _ C s w 4 g F m q 5 r B g 4 1 D 2 h 6 v C w 5 h L w t n f r n x x B h 2 r - B 9 4 - x G 3 k n o D 2 1 x K z g 6 a p 7 Y x q r D n t j b m q 2 x C 5 2 j D 7 q 8 F z 3 5 k B 7 j h p E j g 1 v C 5 1 J r 5 0 B h 0 o _ E y u 4 h G 9 t n i B t 4 7 h B 5 3 I k w t u J v n h x B t g 3 g B s n 2 h B s 4 q e h i v 4 C m v 1 D g s _ o F t J l t 6 8 B t _ q g D r 5 p L g o x l C 3 k n o D 8 _ k C o _ - y E 9 z i g B l 5 g z B 9 x - G 9 x 5 - C 6 o 8 k B 4 3 j 6 C 2 q r E 0 - g w B 2 2 h m B z i t 8 C 5 8 v J t 9 g X 3 k v H o u z g B i q z u C 3 i q 2 B h p w b - 2 n b y 8 x q C q 0 v - B 4 4 R 8 r 3 h B 7 k g X l u 0 C 8 u - 6 C 2 u - 4 F h l 3 G 2 6 k j C q o i 1 D r n i C - h l 6 B r r q l B k m k I 1 l v r B w - i x B 5 p 3 r C h j N 2 l 4 x B o w p w C 5 9 4 h C p v o h B g k 0 g C w n r L m y u z D 5 0 0 x E - h _ z E z q q b k t k H 8 m p j C 0 o a g g 7 k G n 9 - B l i k p E g 9 p p E p z M k g 3 j C o 9 i 7 C g g g O s 1 z 4 C 4 x L v 8 6 1 C k q l v C j k y W n r 6 V j s i L z r q E n s l K n y u W r x k B 6 - j m F 7 _ _ N - h g z B o q g w C 2 p z O 0 p H 9 m g u F n 0 2 M o l 7 r D p _ y k B 4 6 g l B r i s m C r w v L r g s U w y y h D 2 x 2 x B v _ t D 6 h m n E j 4 5 x B t q 5 l C - o z 6 D 6 M v 5 l u C o i k r D j s l D j z r z E m k 9 i B 5 t 4 t F i j q _ B g 4 k F 1 t y C q 7 p g C 1 - v v E 6 Z v l h 9 D 6 g l 8 D 8 w l z E k j g K y q h _ I j j k P z o 4 J n 7 D _ x 3 K _ k w p C _ w s m B i 2 3 V m u 4 _ E n 9 2 y B v p k L x q k I 0 w n u B h s j E m g p I 8 5 - 0 E o i v j B y k 4 b 6 o t l B 6 u y n C 2 o s N s o 0 g D z 7 g D 4 q u v B n 3 l X s 2 k x C w u 1 _ B 6 7 G x o - k B m i t f s x n v C k n - u B - - s L r t - h G 9 k B 5 n 9 y I s j k K j i m i D z s _ l B k 5 u 4 B q t Y t 6 v f y 7 v g D g m n q B 6 3 k I 6 o q m C n r k 7 B r 6 1 n B 3 k n o D z 9 k E s 4 1 0 C s 8 - S u - t _ C 3 R 9 v v l E j v 1 s C x n 6 F 1 x 2 x B u 7 r g C i 4 H n x 4 K i 7 l g C j 5 v g C 0 2 a j z r z E p v 3 g C t w r N _ z k r D 2 w s B j - j Q 4 9 0 4 B 3 k n o D k m 3 r F k o s o D j 0 _ h F z 9 7 Y v v m B 1 3 z b j _ 8 I q m x p B q r m V g 2 z r B m w u _ D 1 h J 6 3 k p B i w F 9 z 6 n B 3 x u E 6 t j P 7 l t H t 5 _ V 6 5 1 Q 5 o 6 L t 2 3 L 3 q N n h 6 F 3 _ p a 4 x h y B q _ 3 B r n y x C j 6 g D r _ y G m _ g 6 B v x 3 S v r j y B 9 3 o a k p y P 9 k i j D z z p g B 9 h j G u n z O 6 x r J 3 _ p n B i 5 3 D m z 9 N x t u f 4 m _ E 1 u T 3 j 7 E n 9 z P o t g H 9 q 2 D x v i K 2 o s L p 2 v B i 4 z H t v r C g 0 p j D u 1 2 j C h 4 p z B y _ z R n g z E w 8 u P i 2 g S n j q J m w x 5 B m m z l B p t 8 B g 0 h M 3 o 8 M 6 j h G 6 0 p L 2 1 9 G u r v E x 3 y Z 7 k c 2 j i Q t 9 8 H k 2 g F v k - P u g m N v p 9 M v o g D k l 5 C r 6 v K g x z J 0 u l H y C u j - N p q 6 E s l c r _ m V m w t B 2 i 0 L z g 4 L u k k B 9 u j B s p l O s 7 5 B 0 t m I p v 8 R x h n B h 5 k C n 9 u s B v 6 f 7 u w O u 7 2 E 3 m v T v u h B 1 g m W 7 9 l H n u i G v 5 u P l C k v s S q h 1 L 0 4 i N j s 1 m B - o 0 q B - - 4 l C 2 _ m U m v 8 H g p l J j 4 - G 8 5 k B i v 1 L 2 _ 6 K - 1 g X 3 3 h M 6 t _ G q l q F y 8 1 P _ s w M z i y E 7 T _ 0 G w q r S t n k Q m w r B 8 g u E t o l H k n r c m w z I u w 8 5 C l w w E 4 2 - V g 0 p W 7 - z J m 8 z Q 3 5 i 6 B g 3 6 H g i x F 7 z 5 z B 8 1 j O s s _ H r 9 6 L h 4 - U l k m k B v u D o p D 9 y 6 E y x z x C q q v T y r v E y y 2 M q y i d z x v v E u 2 z 2 l B n v u j C h x g 0 C x q H g k X l m l y K 5 2 n n M 4 7 2 8 H & l t ; / r i n g & g t ; & l t ; / r p o l y g o n s & g t ; & l t ; / r l i s t & g t ; & l t ; b b o x & g t ; M U L T I P O I N T   ( ( 2 3 . 1 1 8 6 8 0 3 7 3 0 0 0 1   5 8 . 5 2 5 9 9 1 ) ,   ( 2 4 . 1 9 5 7 1   5 9 . 3 0 5 1 9 3 5 8 4 ) ) & l t ; / b b o x & g t ; & l t ; / r e n t r y v a l u e & g t ; & l t ; / r e n t r y & g t ; & l t ; r e n t r y & g t ; & l t ; r e n t r y k e y & g t ; & l t ; l a t & g t ; 5 8 . 7 5 4 8 1 0 3 3 & l t ; / l a t & g t ; & l t ; l o n & g t ; 2 6 . 4 4 9 9 9 1 2 3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1 8 6 5 9 3 2 3 6 8 5 7 6 5 1 7 & l t ; / i d & g t ; & l t ; r i n g & g t ; o t t y l u k n i E 2 6 - 0 E r t u k U x u u H 8 _ P q 5 M 4 k k l L y z 9 H o o 5 x H 4 s 8 9 B g y n O 3 9 r h O 0 x w m B x 9 4 n K x j 0 v S 9 8 2 w B 7 w p 9 E 8 x 6 I 2 7 l 5 O 2 7 l 5 O 3 g h 0 E - 2 - 2 C 1 z r h E x _ _ t C 3 5 o j B 5 8 o 8 B x 2 y C k i v 6 D 0 z w 1 F o o 0 h B u - j 2 E _ t p V h v s u B 3 h 3 k v B 9 w v m D w 6 x - B w t k k F - t y z F l s g q K g 3 j 5 H 9 q 5 Z k s 6 6 L q t G o 2 n P 2 j X w w u 9 K 3 7 3 9 K p 5 w 3 B z 2 y _ E p 9 s G r i _ 5 C u j 0 i F k 8 g 4 D o y p 6 C g 8 2 u G o u r 8 G 9 8 - l B 6 q 1 m C k o L v 4 o 2 C t 2 v l E 4 s 6 V 6 i 2 M 6 o 6 L v 4 3 P 7 1 x W 4 k 0 c 5 i 0 f g l p c p z 1 T 8 o x f 5 i 0 f k 9 1 R 4 0 J t 7 r c 6 o 4 g C l n r Q x l v L 8 v 8 y G 4 p G z 4 7 v D 9 n 1 2 F p z 0 5 N _ r 4 s B 4 x 2 p L o t w J y - i _ F 5 9 1 g C 3 l u _ B n m j 0 F 7 x x o F i p 5 w C g i I u h y - H _ w 3 B i o p N o 9 3 r B y 5 i 6 G x h 4 h B _ h k j B p 2 h - P i g t - P o p 3 x B n u r N 9 p v o M q 1 i 0 I 2 t m K o _ 1 l T 4 l 9 k T 1 _ 5 L _ m v r K 5 5 w o C z 7 v F 8 i x 3 L i n 7 w C 8 4 s z C 8 _ h G 8 1 2 9 D v s 3 _ C v p 5 C w w 5 7 L i 7 v B j z i y Q j j t z C 4 k x V 2 t r 5 D u m g u C o 7 w x B k o h r C 6 z 2 y E n t 4 L n z q J 4 8 o P t r q o M z o l g C q 8 k h I s 3 3 L k t u a - s 6 9 t B g 7 0 v L - 3 q u B 0 i _ m C u m 9 H 5 m x j B q r u B o x u 7 K x m 8 h C 0 t - y B 0 7 - H q m h m I - q w h B 6 s - 0 C w n k F k g x 0 E i 7 x w B 2 v E i q - n C q s _ k E k 7 r Y _ 3 2 F h m 3 R o y l 4 G 6 w w g B r l g i K g z w V x 6 g y E 3 i x n B j r s 1 D _ 0 5 B x h 1 h D k 8 o m B 4 n s w F s 8 x w D z - - B i h y w B w z y v D 9 i h w C 0 n p J 2 g s 2 D 7 4 - 8 B q t x P j z g - C v o q k F 4 m - 6 H 3 4 t J 7 0 0 c 6 8 - r L - 8 1 w D z w 7 i m B m 0 g 3 H 7 n 5 J n y 7 l F q s j z D 9 x p r p B n 0 s Q 2 5 _ y O 4 j o E 4 m g o J 2 v 0 D 4 3 y t B i 8 k i F q q v a i i 3 U o 2 9 q H 8 w 2 L o 5 h 9 B u 6 u u C u 2 l u B g 9 _ v E - u 5 _ B h 3 5 i D 3 3 p l D p l 8 s C 9 u i p F z l r 4 Q _ 7 7 l M o 0 1 L z l r 4 Q j V 8 5 r 3 L t j q z B n t x y C 8 h 0 l F 1 g r 8 L x 0 t 2 B 3 u m L 6 g p z E z 7 r p C m w 1 k H o z 6 v D k - 3 r E 4 3 k B 7 z l o D 1 0 n 9 D y 7 7 0 D _ y 7 i B 0 5 o w F h 2 1 K _ z 0 4 J 7 g 6 i C 7 g 6 8 E 5 8 t p C 2 7 j s B z 4 - z B 3 y h x D 4 6 n g C _ k w 2 C 3 o g e h v u Q 6 t 8 1 D y 3 2 w B y - r g G 2 j 8 4 B w u g v F 6 i p 8 B _ w 5 h D 3 h p y J 3 _ i 6 G 2 k k p G g u j X 2 q 5 o L 2 q 5 o L 0 q 5 o L x w 1 O o i 9 o I 4 0 m 3 C k 1 7 i F 1 5 h x B h v 6 h C m 6 s g F h 7 q B w 4 3 2 N 7 n y v B p y - h K 2 w 6 E 2 w v l K 4 w v l K w u 1 L 6 o g o D 0 u 5 v C y 8 V 0 z o s D u 6 q t B u 6 p E _ v n z F p l e _ x y q K _ x y q K 5 8 o I 0 x p w B 2 t n P 5 q t 5 J v m n H 5 j 3 F l 6 z 3 H u l j P r 1 i j C 2 2 5 6 G 3 q t w Q 4 3 k I r 9 j 7 R x y c _ _ c h p y v K - 9 g D r t h P p o 9 6 B p 7 4 e - 2 2 8 F x 7 8 9 C 5 j w p B r N n 6 y l B t 0 r D 2 i r s G 6 k C g y z _ F _ 4 l o C m t h F 2 x h o O 8 t q Y 4 1 k l D 1 0 z y B - t 2 l C j r l o F n r j 3 C r y 6 7 L j - n e m m y x G w h u g L 1 8 y W 8 l x l C j s y y Q g 3 r h O 5 y y Y z 6 B q o v 9 B o l z H m m m - J 3 y k I 1 v 7 6 J 4 z y 6 J 1 v 7 6 J 0 r k 7 J 1 v 7 6 J q t 5 E n 4 y g K u l q h N r s 0 h N o i 9 B g 9 5 J y h t 5 K w - i o F 0 v i 5 B s w r n B u v V 4 n 8 8 Q h y r N x 2 w x J 7 n u x D 8 p t g F g q 2 0 B 0 _ r m F 0 y v D p t l 4 C 5 t n i G 9 8 o 7 S y q w 2 K s 5 0 k B 9 8 o 7 S 1 r x i F & l t ; / r i n g & g t ; & l t ; / r p o l y g o n s & g t ; & l t ; / r l i s t & g t ; & l t ; b b o x & g t ; M U L T I P O I N T   ( ( 2 5 . 6 9 8 1 4 8 2   5 8 . 4 6 4 0 7 2 7 ) ,   ( 2 7 . 2 6 3 0 5 2 4   5 8 . 9 6 6 3 2 4 2 ) ) & l t ; / b b o x & g t ; & l t ; / r e n t r y v a l u e & g t ; & l t ; / r e n t r y & g t ; & l t ; r e n t r y & g t ; & l t ; r e n t r y k e y & g t ; & l t ; l a t & g t ; 5 7 . 7 6 0 4 0 6 4 9 & l t ; / l a t & g t ; & l t ; l o n & g t ; 2 6 . 9 2 8 0 1 4 7 6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2 1 3 5 4 5 0 2 2 3 4 4 3 9 7 1 & l t ; / i d & g t ; & l t ; r i n g & g t ; g l g y u g 9 u g E s y l 6 M _ j r 3 D h o w I p z _ 8 B 9 1 y f 2 w v v H 7 6 1 M 0 9 D 2 h 4 j G t i 7 Q 6 s 4 p D k k J g r n m S w x U 6 7 o U 8 t 9 9 K o u x t R r 2 r H 0 v o u I u 5 0 4 K u 5 0 4 K g w v 7 C y w D 1 _ x s F o j h Z m o 1 _ O 1 q D 1 p r y L q 4 F 0 0 p L x l n 5 J 0 J t g u 7 N 7 6 - n B q 6 9 c - l v F u h _ 6 R l v B t s 1 x G 9 6 k y E 4 M y s 6 h F y 7 k j C n y w g B 1 m 6 H i g s o F _ m 3 R v l w 6 H 7 6 _ t B n x 9 5 C v v - r C 4 - g z I s k 9 B z 1 v u E g 3 k l F j w s C k 4 8 r T o 5 M u i l 5 D 4 x 6 n H x _ 7 D l y 1 1 T 0 k M 9 1 t o B s - r z H t 7 w O 9 4 0 l K p 0 t 9 L 6 _ o E _ h _ _ L o u k j C 9 - j t B 0 q - d 1 5 v Q 4 6 n g G _ q i K r 0 r g H o 7 j 7 D _ v D r 2 y 5 B - 8 q j I y - k M i v q g D 1 l o x C 4 - 5 y C w l h 0 D q u F u v k D 4 k D - k - D j 9 9 J _ x 0 G k 0 - J r - l H r 2 7 B v w V m 8 y G t 8 u B i 9 R i 4 r J i j l C y 7 _ F 1 - z O k s k M t 9 i B 1 D _ i 6 B k m u C i g n d 3 g x F 8 4 u f z t t E 4 x u D m 9 0 l C h h p w B 2 g w C j 0 f 8 - - T j g 8 O h u E 7 w 1 2 G 3 v 4 F 7 1 L g j 4 - D 3 7 x B u o h I j t 0 G g i C l 8 x h B s l t Q n - 7 - C p 1 x B h x g B q y t B h _ - L n y 3 O s i l H i q 9 G 6 D z r 2 B o g q B z j j H y l y J m - c t m I q m n v C s s l Z 8 q 6 0 B p x h D i 8 5 X k s 8 F h 7 n W 8 I w 9 h D y U 3 k p B 6 0 0 5 B 0 i m S s m 2 C j 1 1 B l 0 W x t t g B i 8 h E 1 g 2 E p p 5 G h o 7 M r K 2 f u 5 3 N 0 x 6 9 B s p P h x x E q 8 1 i B r H s l t B 0 1 M k w D q s i C n 6 d q j v M 3 0 B 6 u z C F 1 m n E p k 4 B M y j M 9 p X w u r j C i u 3 N _ - 0 D 3 g u D 7 x F _ i 6 B l g V v t m D w 6 o I n n t C z 8 m B w 1 v f 7 w p H z 1 L 7 7 4 C 2 z 7 C 6 q m B h 9 2 H 4 k _ l B h i i I z 4 g B o 4 1 G 3 v v b 3 0 B r o 9 R l v n U k r G m K - o 9 E 0 w g D 9 s D 8 r N t 9 7 L 8 y 3 N y t t B h u v F 8 0 t B 9 k - H - 7 - h E 7 g l D _ 8 s C n i i I 1 6 y N z t 0 p B 1 l m E 9 x i 3 B q 7 9 M g q m L 1 i u K s x _ C x _ 6 K s 3 w D k w g D o q 4 b 5 q l D - u 7 a l u h E _ o d v s y C l 4 k I y o v B v k 9 P z 0 p C x g 2 1 E q 5 w S x 4 r z B k p 4 C 7 1 v I p 2 h D s 6 _ M 7 r m F t h x O 6 2 t H l 9 5 V _ q g E 0 i l K 7 g l Y y k u R 5 _ l B l _ l C o k P l j y C n q 5 V y 5 h X - s 4 B v j 8 H o w 8 6 B z 2 2 G g o v K n x r r B m p g _ B m s p C k _ 4 E j 1 n F k s 4 H x 6 h B z 2 t N q 0 j G x 8 z J h m w F 1 6 0 2 B 8 u 2 G 0 o y D w 5 n H 0 m _ X l _ q 5 B n _ w J q x y E 2 h 2 g B 5 k 1 3 B q v h H o _ 1 C u r i D 9 2 q R y o F x 8 h L 5 l x F s l 9 Q g 2 0 I m 8 P - - y O w w _ C p s X n h g C 4 5 o R k o 3 C x 2 k Y 0 4 - L j p g K n u w B _ w B 6 7 9 B m x h N 2 - s P p z p O _ - n Y 5 3 6 B g r l C v x 0 i B 4 m n J x 6 o G _ n n O 2 l q H k o s M t - v E g g Q i _ _ N n g o B p 8 1 G q q F o i 0 L h 8 3 O i l k Q z o h W x 6 _ P 9 n u E i 0 0 D 6 9 - B n n s D 4 8 K h _ _ D 6 2 0 E y - _ F k i q B - 6 h I h 9 v i B - r 4 E g t P y 2 H - k Q 9 r i Z k p 1 b 9 i 5 m B 4 0 t R w p 9 K x 9 L - h q E 0 2 6 D 2 o S o 1 F l 3 j E 8 q g y H s t n u J l 3 l u E h 0 _ i B m o 2 o s B 1 j _ k C t l s u D x - n n G r n v j B j 8 l D v p 6 k P t i 4 s I m s i m B - m 5 o M - q 4 G y 7 i t F m l 4 k B y t n j B 7 7 s 3 J 3 t m j I 5 3 j x M 1 2 j x H p 4 6 P k g t m Q y q 3 F r n v 0 H h w m _ B r l 1 g B 7 j m N g k 9 - I x - m E _ u m g F y k D 0 _ t _ D _ l z 8 C o w G 8 k 7 E o h s c h l w m O h 7 4 m C m 5 q 8 D i w h m C j 5 n y F x n 4 6 J z - y Y 2 _ 9 j K t m v E z s j D 1 m 1 T i 9 C g k B q 3 1 1 E 9 1 5 - G 2 p l u G n t j z C 2 4 o l R 6 B g 7 h w Q u 9 v k E 2 9 4 j E o t 0 x I y 9 2 4 O z - x B m 7 6 k K u t v y B p h w u B 5 p r 5 O y j i e o n h m G 0 0 4 _ K t k C 3 6 5 q C s 9 l j B 3 r _ 1 B _ v l r C 4 p 9 M q m _ 8 C g p m r R i m s D r 6 p 6 7 B 2 k 8 v E h i 3 r B v 5 m G g j h M 5 o m k C w j 7 7 H 3 m j w M 4 9 x g E t l - q C 2 r z k H t 9 i u B x 5 r C 8 o v r B 9 m 1 - G y t m 3 K 9 h q 2 D 2 x u 2 C y s j g B u q 1 _ B - 0 k h G n 3 o k B 2 6 x x H 8 y z D w v 9 k K y v 9 k K l v 0 k K r 8 u j B p - h _ I z q i s E _ 9 g - C 4 u k Z 4 1 X s n _ 1 D i 3 7 v D 0 P n 5 p q J w 4 r u J x k 5 q G s 4 9 V _ 4 x v P o z k G 8 z 7 m I s m 8 C z 2 2 g K - z o h K 4 _ 3 B m o 5 0 I - w l m D v 7 s W 5 m 4 a t y l 0 E t t 2 - G 7 z k s B q y 9 8 E z r 1 k F y _ v s C 1 s m I l j 2 1 B 8 x 1 s T 4 x m 6 J k s 4 z B 2 6 1 X u 2 9 V i 2 l x L 3 9 9 1 D j x t - I 1 j v h F r - r s D z 1 q u S 9 t 5 C p w 6 N 4 j r l J x k g j B 9 u l p B - 5 8 I o m 6 a 2 7 m v O y p o 5 M 7 o p L v - s b w v _ n I o u 5 D 4 t x s F l j 6 u C z 1 i q B 2 m p i D g z m s K j 6 8 C k g h n B k 0 g m D w w o n I l v g 3 C y - K u n 2 z C 9 h y _ B - h 9 _ Q 0 r g c q t r x Z 0 y 4 x C u r l l D t y 3 v H z x 8 4 Q s p x w E w 1 j h C 0 m i q U k 4 7 s D x 5 B x 2 7 w L u j - 6 M s k u G k z h E x q x Q j 6 m o I k z r J u q k J x 9 k K s i 0 l B y s 9 2 F m 9 v r J 5 5 l m D p 9 g p B s - m l B o w u w H 7 q 4 B & l t ; / r i n g & g t ; & l t ; / r p o l y g o n s & g t ; & l t ; / r l i s t & g t ; & l t ; b b o x & g t ; M U L T I P O I N T   ( ( 2 6 . 3 8 2 6 9 0 0 0 0 0 0 0 1   5 7 . 5 1 6 1 8 ) ,   ( 2 7 . 5 5 4 2 7 0 0 0 0 0 0 0 1   5 7 . 9 5 4 5 0 8 ) ) & l t ; / b b o x & g t ; & l t ; / r e n t r y v a l u e & g t ; & l t ; / r e n t r y & g t ; & l t ; r e n t r y & g t ; & l t ; r e n t r y k e y & g t ; & l t ; l a t & g t ; 5 9 . 2 6 2 5 8 8 5 & l t ; / l a t & g t ; & l t ; l o n & g t ; 2 6 . 3 3 9 5 4 2 3 9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1 0 7 9 6 0 9 7 2 2 4 7 0 4 0 3 & l t ; / i d & g t ; & l t ; r i n g & g t ; 0 - k w m 5 w j n E 5 9 m a w j x B y s p P 1 i s f _ k w k B s i 8 Z k o n I & l t ; / r i n g & g t ; & l t ; / r p o l y g o n s & g t ; & l t ; r p o l y g o n s & g t ; & l t ; i d & g t ; 7 0 3 1 0 7 9 7 1 2 8 0 1 6 8 5 5 0 7 & l t ; / i d & g t ; & l t ; r i n g & g t ; y 2 t i x 7 1 j n E g 6 o q B 1 q 0 E y y _ L v 5 t w B 1 l z k B p o v H i i n I & l t ; / r i n g & g t ; & l t ; / r p o l y g o n s & g t ; & l t ; r p o l y g o n s & g t ; & l t ; i d & g t ; 7 0 3 1 8 5 6 2 7 7 2 4 8 5 4 0 6 7 5 & l t ; / i d & g t ; & l t ; r i n g & g t ; g 0 q h n 4 _ l k E 3 j _ i C _ u 9 4 J t q 3 K k u v w F 9 y 7 i B x 7 7 0 D 5 n t 9 D n 3 q o D 5 3 k B l - 3 r E w 8 - v D m i 9 k H 3 k w p C i j v z E r k o L 1 q x 2 B 5 4 0 8 L 8 v 6 l F m t x y C s j q z B 7 5 r 3 L v X n 4 2 4 Q g r 3 L _ 3 l m M n 4 2 4 Q h - o p F 1 x g t C 7 4 u l D l 2 _ i D 7 t 9 _ B - 8 _ v E t 2 l u B t 6 u u C l x r L 0 g n F 5 1 7 8 P i 6 1 K o z 5 3 N s 0 k 3 N 5 i L p h y q D s 6 1 3 I - y w K - 2 h y G o 7 0 v F 9 x x M h s s j B m 4 s u L z j m B 3 l l p p D _ j u k B j x 3 r F l q u 5 Q i g n F m y 3 4 G 7 t 7 v C 1 k j n H 2 2 8 7 B 3 g 9 N n r s q B 7 5 g 5 H u x n B r v 2 h L 1 q n T _ 0 2 0 F o g n C 4 2 9 w D r x - 6 C y r o a 3 5 8 f 3 6 w 7 J j q s C g - 1 l E 0 s u r C t y 5 l N 6 p v l N t u u w H w z p Z s u s 7 D u 0 g 7 F _ z 4 o D k h s 8 G s 3 9 m G t 0 k 3 N t 0 k 3 N 8 _ 0 - E p x k l C p - 4 Q _ n 0 Q l - k r W i m g T - y j x B z h 5 n E 5 t X k i i B 6 6 j t C g g w L v r t r B n v i s M k 8 9 9 C 0 t k B 4 3 x _ U w p h B v 7 i 4 C l j 7 i I 7 i h v K h w w x I w - m b 5 s f v w u 9 K _ 6 8 q H 5 u 4 b h o z C _ 0 5 Y s u 7 W y 9 6 Y i 0 j q B 0 4 l 8 D n v r k R g z q E n o g C 7 8 - x B o 1 y y L r p 0 - B z x 8 s E l i 8 9 L 3 h 3 B r o r i R t u 3 3 K 7 i h w B s g l z E 8 v z w G k 2 o 9 B i _ q g B s l 4 l H g 2 _ C i - E s l S m z - r E 8 k p q G h v 4 g F z l M n h v l C - C r 0 7 2 F 7 h p O l l k - B y q 1 V l 6 4 o I 9 v h B 3 m x N 6 7 n q B 6 i l h K l k Q i n r o L g G y 0 0 2 F o y 2 2 C 9 9 D u j u I _ m s r H v t g B _ 9 r 7 G s o k i B 6 p t z B t g o 2 C 1 y y F o w - p B 3 k n o D s o q 9 D - 4 - H t i g 4 B n y r N l r q 4 B - 7 p C g 4 5 w D g h u o C l g l H k 7 4 V g 6 q 3 I s 7 5 4 B 3 7 2 V j z l R 6 j l S i 5 y u F 1 r 2 C g p r - I j t s B 8 n 1 C v 3 t 7 C x 3 7 V k t w g B x k 5 v E v _ v l E 9 N q 1 X 9 z p i D z j o m C m m 3 - B _ w - E z n s _ E 1 y r - B y q Z g v l n C 7 p 9 t E y 6 w y B g s _ o F q 7 - 5 H 1 j g K u x u 4 C j 6 7 7 L 4 8 w 6 C 9 3 9 P o r v 6 F y r k H - - 5 d k w _ - D 9 x t 8 E r u u y G v 2 i x B 1 7 w N y u m i G m i 0 t C 3 9 y z C m 6 5 W t u n 5 H h v _ w G x z o N g s i j G y k k R r q i x G n - X t - k o J 3 2 p F y w 4 K k t g 3 C j z m 4 B 4 4 l 3 E t 3 _ c i k s h E 9 7 9 7 B t 4 4 G j u 8 h B v r 1 M h _ w C _ o M i 0 n l L 4 _ Z i _ n 4 J 9 5 t a 8 t l x B 7 n P 3 t 4 y H 2 4 7 9 D x W z q r m D k 7 i l C - g 5 D - p g f 1 z l 3 B t o 5 E 9 k i c g i z z E _ 0 _ B x 7 u q B x p 2 D 0 7 6 3 C o m y x B y s z I i l 8 B q 8 k 8 E 1 l n r E j u i o B 4 0 m 8 E i - h C 7 x z s H i s s I _ i u V i m j z E q v - V j k q 5 B 0 s 9 v B 2 8 3 r J o 4 z s F r s g B z r r w D l o j g C u 7 n v B - 0 x q B 7 8 s k B s l r n C g 9 i C 4 h x - C s z k n C n h 0 X 0 m T u o i n C r g g l B j - u y C h 0 y G h i r 9 G m 3 t E x t i F g g r u B 5 _ _ 9 E v 9 o E 9 0 k R 3 s k n H v i g k D w I w s y l C o 6 q y F m h k v H w o g Y y 6 r q B z 0 l g F n 7 6 h C x k j O r g q 7 B r p _ - C l 1 x 8 H 5 l 6 z N 3 j g z C x 2 u q E x r 4 a 5 m u z G n 5 g y C 3 6 w 6 H t g t G o v u g B y y t M o 4 r R w y 1 m E t x j 3 B y j j H 2 v n m E p w 8 - P j 5 8 g D i s 6 B s 0 o n G r 6 _ s D p 6 5 z L 5 s v J u u 0 z P j 0 - z P 0 p g g F v m l w G p p 8 o C i o w l D 7 i 3 S p 3 k X 4 3 s x B u r n 8 C j x h 9 B q _ k 1 F w p j - B 0 9 7 a 8 z n 3 C n 8 w 3 I 0 0 4 5 C i i 8 i C g 8 z C y g s 9 D m s 8 q D s s 8 y C 2 n 5 W 8 s _ p B _ 5 r 5 B v 1 4 8 B l 5 q p N - 8 h 3 F 0 6 v 2 C _ 5 i O j u i i E h i i j D g t h C u 9 9 W m r y v H k 7 9 C n x p T 5 7 0 o E n 9 s y J n u r Z o q 3 9 M 7 m l q C t 6 k t K 9 r 1 E 5 0 I 8 7 3 k N s t m m B q n g s B i - - 2 B r m l y C 1 3 9 z B 7 m l N _ z 5 0 E 4 y l 1 G w 1 r q G 1 _ u j C t v g z G p 5 o s C l q g m R 6 l G 9 4 4 g n B 7 m t I s 6 u w B k m 2 n V z x k H o i u L 0 o - w W 0 6 0 7 E 9 - z u G u K 5 m _ 0 O p 5 u 6 F 2 0 - c 0 s h l J q 2 u V 0 x u F 5 s - 2 I 3 - 4 l G s 6 9 o C q l 6 - D 1 y 7 N v l p Q x q t 4 Q - g x D v h 0 3 D 9 t 3 O 0 6 i p L 2 6 i p L 2 6 i p L g 7 l X 2 n r p G j r q 6 G 4 h p y J 9 w 5 h D 5 i p 8 B o i n v F u 8 - 4 B y 9 y g G q n 6 w B 5 t 8 1 D g v u Q 2 o g e m w r 2 C 3 6 n g C 2 y h x D y 4 - z B 1 7 j s B 4 8 t p C 6 g 6 8 E & l t ; / r i n g & g t ; & l t ; / r p o l y g o n s & g t ; & l t ; / r l i s t & g t ; & l t ; b b o x & g t ; M U L T I P O I N T   ( ( 2 5 . 8 0 2 1 9   5 8 . 8 6 7 7 9 2 ) ,   ( 2 6 . 9 4 6 5 1 1 0 0 0 0 0 0 1   5 9 . 6 8 4 5 3 4 0 3 6 ) ) & l t ; / b b o x & g t ; & l t ; / r e n t r y v a l u e & g t ; & l t ; / r e n t r y & g t ; & l t ; r e n t r y & g t ; & l t ; r e n t r y k e y & g t ; & l t ; l a t & g t ; 5 9 . 3 0 5 7 6 3 2 4 & l t ; / l a t & g t ; & l t ; l o n & g t ; 2 4 . 9 3 1 5 5 4 7 9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0 6 2 7 8 4 7 7 9 8 5 2 1 8 6 1 & l t ; / i d & g t ; & l t ; r i n g & g t ; j z z l m t z y g E 1 9 h J q 0 i v C w k 5 6 D w J m U 7 k s h C h 9 u B q s g i C m y g x C 7 n h _ D q u D 3 m q B 6 l z 3 C w s 0 v E m 0 x j C 3 o H 2 7 w i C s p m B u h 6 j C p 4 k j C u l 3 3 B 9 7 q 9 B 7 p g F o 9 u s B 5 n G g 9 5 l D 3 k w o B i 0 j h D o h 1 M 7 - p X f 1 o L i o u 0 B - l z 3 C 4 3 1 j C 5 k o _ B n h 0 I 2 q S q t r g F 7 i _ 4 B x r 7 m B u 8 3 k D & l t ; / r i n g & g t ; & l t ; / r p o l y g o n s & g t ; & l t ; r p o l y g o n s & g t ; & l t ; i d & g t ; 7 0 3 0 6 3 0 4 2 4 7 7 8 8 9 9 4 6 1 & l t ; / i d & g t ; & l t ; r i n g & g t ; t - 4 1 v t g h _ D r t - n B 2 n h R j h k g B r q s D 4 k g J x t z D 5 l 6 b q g o 4 B 6 l v J w x 4 e 4 w j y C 8 i N 9 _ s j C v 9 g m D 1 _ 9 G _ 6 h 1 D r g j 0 B s g h y D 2 8 g U 4 2 h p B p u k U i z i y B o l v H 9 _ 4 r B p p v b n q s Z 9 1 z g C p r q j B _ q _ 4 G u g R s s J z 0 a - j 2 w D w r r k B 7 t i B 6 3 n F x u D l 2 8 b 1 u g R 5 u w 9 B 6 2 0 y B 7 g 5 h B l h m E 1 j 5 0 B u r - C g 8 g _ D m n q z B x v 6 T g 1 t v E r r 7 q B o n 6 C s 0 1 E 3 h 4 t B & l t ; / r i n g & g t ; & l t ; / r p o l y g o n s & g t ; & l t ; r p o l y g o n s & g t ; & l t ; i d & g t ; 7 0 3 0 6 3 0 8 7 1 4 5 5 4 9 8 2 4 4 & l t ; / i d & g t ; & l t ; r i n g & g t ; 5 j _ 2 7 4 7 o _ D s 1 s t B p i g Y 2 2 i Y q w u R 4 j n z B 9 1 u k C s x 0 p B p 7 1 E n o q U i g o C j i 6 q F 5 - w y C z n 2 x D - v 0 v C 9 w D g g l z B 5 w i _ B n 3 - 1 D g r D r s 7 v C t v s b l g o U 2 9 n O 9 r 0 C 9 u l n C p 1 4 3 B v q _ b p C l n 0 j B 0 m 4 q B q q h I 3 u n o B o j 9 x B 7 2 6 c s p 6 M z w k w C & l t ; / r i n g & g t ; & l t ; / r p o l y g o n s & g t ; & l t ; r p o l y g o n s & g t ; & l t ; i d & g t ; 7 0 3 0 6 5 1 8 9 9 6 1 5 3 7 9 4 6 1 & l t ; / i d & g t ; & l t ; r i n g & g t ; u q 3 w 2 6 6 q h E _ z j 3 B v 3 u L 9 z 0 T x 6 r _ C - o o y B j 2 m U 9 5 k L 8 p i L 6 u k R 0 l 3 G m 6 l B _ p j H o y 5 x B 5 2 7 r C 2 v T u i c 3 z 0 I n g 7 j B 4 9 5 t D 8 m O g v y X x 3 s L k 3 w M k 1 7 H 4 9 0 3 B & l t ; / r i n g & g t ; & l t ; / r p o l y g o n s & g t ; & l t ; r p o l y g o n s & g t ; & l t ; i d & g t ; 7 0 3 0 6 5 3 4 1 1 4 4 3 8 6 7 6 5 4 & l t ; / i d & g t ; & l t ; r i n g & g t ; q - 1 9 4 p p u h E 7 y s u E 2 n i 8 D 3 x 9 Q j j 6 V 5 m a & l t ; / r i n g & g t ; & l t ; / r p o l y g o n s & g t ; & l t ; r p o l y g o n s & g t ; & l t ; i d & g t ; 7 0 3 0 6 5 7 0 5 3 5 7 6 1 3 4 6 6 0 & l t ; / i d & g t ; & l t ; r i n g & g t ; 5 l u 2 3 m g l i E h u l E 2 r z w B j m x a 5 k 5 v C 8 6 Y l o i m B t 3 3 7 D 8 w i M 8 r q e r r - n B o 9 0 B q r _ M 1 x x o B r 2 - 9 C z u 5 S 4 o j 0 B 0 1 8 l B m l 2 v B g t 6 o B 1 w v I m x 1 y G 2 2 k Z 9 n s Z t j o 2 C x g j 3 C 2 0 k b p p g j C m w x x B n C p 3 0 H r w 3 d h i i k B o v h L n u k U h s o U 4 o n E 8 4 _ H & l t ; / r i n g & g t ; & l t ; / r p o l y g o n s & g t ; & l t ; r p o l y g o n s & g t ; & l t ; i d & g t ; 7 0 3 0 6 5 7 7 4 0 7 7 0 9 0 2 0 2 1 & l t ; / i d & g t ; & l t ; r i n g & g t ; u 6 x v o 8 q v i E 7 x 8 6 D h h x x I 5 r p _ B x o w r E 7 z 3 _ B & l t ; / r i n g & g t ; & l t ; / r p o l y g o n s & g t ; & l t ; r p o l y g o n s & g t ; & l t ; i d & g t ; 7 0 3 0 6 6 2 8 2 6 0 1 2 1 8 0 4 8 5 & l t ; / i d & g t ; & l t ; r i n g & g t ; 6 k 8 4 h t w 6 i E x q m 3 B 9 4 - X _ w x y B p 3 s 9 B w l v C o v 8 0 C g 3 - p D 8 L n q B t o 5 0 B r w j U k k n L n h w v C 8 - 6 N 4 w l p C p l u _ C & l t ; / r i n g & g t ; & l t ; / r p o l y g o n s & g t ; & l t ; r p o l y g o n s & g t ; & l t ; i d & g t ; 7 0 3 0 6 6 3 1 6 9 6 0 9 5 6 4 1 6 5 & l t ; / i d & g t ; & l t ; r i n g & g t ; 3 8 l t g r k 7 i E 8 n z _ B z k 0 y F x t q i B i v z g B v j K h s x z C & l t ; / r i n g & g t ; & l t ; / r p o l y g o n s & g t ; & l t ; r p o l y g o n s & g t ; & l t ; i d & g t ; 7 0 3 0 6 6 3 2 7 2 6 8 8 7 7 9 2 6 8 & l t ; / i d & g t ; & l t ; r i n g & g t ; t 3 k u p j 4 8 i E i k 7 T u k k J r 5 u C m _ 9 F p 5 u C z 8 m C p g q L r l _ N & l t ; / r i n g & g t ; & l t ; / r p o l y g o n s & g t ; & l t ; r p o l y g o n s & g t ; & l t ; i d & g t ; 7 0 3 1 0 3 5 2 1 6 8 5 6 6 1 2 8 6 8 & l t ; / i d & g t ; & l t ; r i n g & g t ; 2 p u 7 j t 9 n j E x - 7 G 1 7 q L u g 6 T i 8 h J o x q j B & l t ; / r i n g & g t ; & l t ; / r p o l y g o n s & g t ; & l t ; r p o l y g o n s & g t ; & l t ; i d & g t ; 7 0 3 1 0 3 5 2 8 5 5 7 6 0 8 9 6 0 4 & l t ; / i d & g t ; & l t ; r i n g & g t ; 6 1 6 5 1 h i m j E s p m L l h 2 t B u 2 t j B 2 k s m D & l t ; / r i n g & g t ; & l t ; / r p o l y g o n s & g t ; & l t ; r p o l y g o n s & g t ; & l t ; i d & g t ; 7 0 3 1 0 3 8 7 2 1 5 4 9 9 2 6 4 0 5 & l t ; / i d & g t ; & l t ; r i n g & g t ; 7 1 s 6 2 6 - h j E 5 7 l F 7 _ l B 6 j z y B o l t 0 C 0 5 1 V 9 - 5 9 G 5 z 2 2 C 7 v z X 4 i 1 y B & l t ; / r i n g & g t ; & l t ; / r p o l y g o n s & g t ; & l t ; r p o l y g o n s & g t ; & l t ; i d & g t ; 7 0 3 1 0 4 1 1 2 6 7 3 1 6 1 2 1 6 4 & l t ; / i d & g t ; & l t ; r i n g & g t ; g 7 u o v n y i k E o 0 k U q y 7 v C g v y X 5 6 5 G v w t j B & l t ; / r i n g & g t ; & l t ; / r p o l y g o n s & g t ; & l t ; r p o l y g o n s & g t ; & l t ; i d & g t ; 7 0 3 1 0 4 4 4 2 5 2 6 6 4 9 5 4 9 2 & l t ; / i d & g t ; & l t ; r i n g & g t ; j 8 y n 6 8 v 9 k E p 2 m a w y s J w v 9 G w 5 z I o h g R k r 4 J 1 y 0 d 3 w t j C 8 j j a z 7 u B 6 g s j B 7 u j f y y _ Q v 6 8 G r - H w 8 T x 0 u S r _ k g F & l t ; / r i n g & g t ; & l t ; / r p o l y g o n s & g t ; & l t ; r p o l y g o n s & g t ; & l t ; i d & g t ; 7 0 3 1 8 0 8 2 4 2 2 5 0 4 1 6 1 3 2 & l t ; / i d & g t ; & l t ; r i n g & g t ; w s x n w g 8 o h E _ h s 4 D s j 3 r B o l s - D m 0 l M 0 9 _ 9 C g w 5 n H h z o X t - 7 g N o o x n C 3 t q h E 9 v 6 v C l 1 w H 2 x l D z z 7 w C s 6 y - B 9 5 4 k D n l x o B 3 t z q L n w 5 1 I i 5 0 t B 4 u 7 _ B 8 m s 6 I o u t - F z 8 n M 2 v q H 0 6 8 h D t _ v 1 T - s E m j i 1 K j y p 2 S v m g K s 6 6 T m 9 k t B w k r y H i w r X m l _ B 8 z n 8 S _ y 4 p D g 6 6 G o 1 - v B - k 5 t F - 5 g 7 B w n 5 n C 3 w 1 l J 4 p g 2 G n 4 x t I 8 m q 6 E u z v 1 U y z l G 7 y b s p 9 y O t i m f g t 7 i K 8 t k 3 B i _ w D i k s z C _ p 4 G 2 5 - t s B _ u 2 O i y j p H y 1 h v L p 6 - L m m 1 2 H v k F l 1 7 x B y w 3 g H 0 t z r N r q 2 E 1 _ g 5 E r y y N r g y a 6 x x w C g y m 6 G _ 2 k W k 2 t 9 Q g l 8 F m 2 3 y H 0 j w u J k 4 r I g 4 h - J r - q i E 7 3 8 j D 2 l 4 b h o u 6 F r r 8 n K k t l o K 8 0 j i C 6 8 v j D w u m 9 H x p l G h s 4 8 G u x u o C o p 8 o C u m l w G 1 p g g F k 0 - z P v u 0 z P 6 s v J q 6 5 z L s 6 _ s D t 0 o n G j s 6 B k 5 8 g D q w 8 - P 3 v n m E z j j H u x j 3 B o s 7 m E g 7 t R z y t M p v u g B u g t G 4 6 w 6 H r o 8 x C l _ m z G y r 4 a y 2 u q E 4 j g z C 6 l 6 z N m 1 x 8 H s p _ - C s g q 7 B 1 g l O j 9 _ h C 0 0 l g F z 6 r q B x o g Y 2 4 r v H g w x y F g y 2 l C g K w i g k D 4 s k n H _ 0 k R m k s P w 0 2 L o s p 3 B _ 8 r a 5 4 x U 9 v i l D 1 r 7 X 6 q g z B s q w j F 3 - n t B t g x T 6 2 8 D 2 x 9 Q z n z f 8 w 3 - B r p x Z 2 6 p 3 C - j 7 Q i B u g m L p 3 s 9 B p l j t D 8 i 3 B 4 h 0 y E j _ l W w - - 2 C 8 y X 6 o h 0 C _ j Z o u 0 B z w w m C 6 p _ Z v t 5 g B 5 z m V _ o m I k v o D k s m U u 3 k _ C _ _ s o B z 2 i o B 9 m 1 G - 2 r y B 9 5 m u E 3 v v B _ r t i B j 8 8 0 E v g H m _ 2 p C 7 o o z B j 7 k Q p r g j F m 6 3 o B v x Q q 9 2 v C p v y a u h 3 D s k 9 8 B 7 o F 2 - n t B v 6 k s B p g u R n w 8 Y i w n G 2 - 8 u C 0 5 G k 9 I r t o n C t i m 5 I 9 w q E 0 k F p 3 _ u D 7 w t p C 8 k 4 o C r H i o r j D o r 5 C 8 8 7 w D o u x j C m 0 3 k B n w q W 1 6 3 f - 9 1 E u k 6 D 5 y p _ C n h s f 4 3 u L u t s n B y j 4 i C x l u 0 B r 3 h G z w 3 X n o g O v q E r - i t D n 9 _ e 9 k g k B 4 5 l C _ s 0 4 B 2 7 w K x t x - E 7 n 4 L q j N u n 0 f 9 r t q F i w p U y 4 q 9 B 3 h q b j k O i o s Y o n t t B u h p j C y - u H h g h W 6 g s j B 5 x u o B g 5 s o B q - z F j y _ d i 8 m 4 B z v 2 6 B w 8 d 1 g q 3 C 1 n q y B z 3 0 o B l _ 2 W o g 3 O w 6 2 J z o u n C - z o 9 B r m 6 j B p n m O i g L m 8 s w D 0 3 n F s u q 9 D _ o s 3 E 0 x 6 b m t g k C 5 o q - F - v g I k 5 7 s B s v _ Y 2 9 w i G 4 6 I r v l 3 B 3 0 4 5 C k 4 l S s l o s D 8 0 y Z w 8 v 0 B z i i p B 3 h 1 h B 6 o z P p l n 0 E 5 i 2 R i 4 s o H 7 q K j m 6 w J o 9 j P n 2 r z H s p s b 2 n i 8 D - 2 u C o l 9 u J v 7 7 u C u v 7 n E x 4 O g h t B 9 r z u C z p v l E i 2 k X v x 1 u E k - z t B r o o R o r Z q 5 t 7 C 5 p _ B 2 z y L p o G w h 8 3 E s 0 y l E q q Q 5 6 p - F j i z z C 7 l 5 r C x l 3 1 D 4 k n D p - 9 j C p i l x C j t x x B g l 2 D 1 x p d s t x 0 B 6 w n l D u r r t B k 3 q B y 7 8 a 9 3 s l D 9 l m 2 B 7 u m J 8 v i M y 8 k r B 2 9 3 o B z w 2 o B - j m t B j U _ 7 8 i D x 2 k w C q w m T y 3 t g B 6 y 9 n B n 7 t w C j 5 s k B h 8 w _ C h j 8 8 D w x p E x r 0 k F j h j O 0 r m x B h 1 r C 8 t 8 0 D i m z 3 C k 7 v O o l 0 K 9 p i l D 5 6 2 j B 3 6 x f g - V 7 k 4 F 5 _ x q B j m v j B 9 n p 0 D j w 6 I 2 8 q t E p 7 j L 5 3 t p C 8 7 y k D t 9 K q v q 5 C s y m 9 C s 3 r U v z t L g 9 4 p C m l r 8 D G - 4 i s D s 1 6 p C z 2 0 N k 0 n 1 D l 7 u c 3 u x E 2 7 v E 6 t 1 B 9 6 o Q - 2 6 3 B t h g w C 1 v 2 Z 4 6 9 B n 6 i D 8 0 6 f m s z k C 5 4 8 3 B s q n B 5 z k 3 C 9 1 i X u n h p B 1 8 s n B m x 6 D k h j O x 2 2 O n 7 r f n 5 M t o q 9 D z w 6 k B 8 8 8 M v 5 - k D m 7 4 3 B 0 1 1 B v n k h B v 8 g 0 D m j y F i 9 4 w B 6 z 2 2 C x 0 h 5 B x x 9 S p 9 - R q i 5 w B p i t U 1 i j _ B 7 v 7 o B h - 5 k B g - m D 0 q v U m 9 u t B 6 r l r D 5 7 0 H 2 6 2 j B p h 2 D 1 9 s T 2 5 8 t B i z s o B s z n i B 7 _ - D u o q 9 D v 0 p s B j _ x k B 4 s 8 y B r 3 6 M x v r Z _ s r b 4 6 m U 5 s i 4 E m _ o 5 C 8 l C x 4 k a r x g E p 3 u h F 2 x w k D G t 9 2 v C q s 7 v C w t 7 F 6 o h d v 7 r 0 D - l w K t 0 2 O r v l 3 B 4 t x x C l i O r 6 9 W _ i u C w g u U w - - m C q 7 K v 5 2 3 B 3 7 p b l p h I 0 s 7 q B w g w Q r w 7 w C 1 n 2 f r v l 3 B u r r t B - 8 6 3 B 5 k y H s s p G h u o 9 B k n n R v n p o B 1 x w 8 D i 5 9 D h s 7 h B t 9 2 v C 1 8 1 h B 2 k 5 F s q 5 N z 8 i Y o g 9 j B 3 - x F 3 P k h x 5 B g 6 s q F j - x F i j x 0 C z _ x 4 B 3 6 p o C m h D 5 z I 1 8 t _ F i 7 j 6 B q _ n E r y 2 Z v b m z p l E k o k N 7 z 7 _ B 9 m p _ C m g v m B p 8 q k F 9 q y w C k 4 B p 4 g a u _ j Q w l 2 z F j z x U 9 q k P k y 5 S u p g p B k _ v 1 D n t 6 D o z z 6 D v 3 i p C z m B t 5 q h D 0 4 y s D m w C r n p n E i r 4 o C v n i R s u 7 9 D 3 j h t B 3 v k J h l q U 4 3 s D k u n 1 D s v k 9 D u u I r _ w h E o g 6 u B 6 _ c j h - x G 4 o 9 E m k p p C 3 h l 8 C p 0 U - r t s D p p 9 x B t j X g l l n C m 4 l U j n j O n 6 q t D t t l W k h K 5 o - 3 C 9 u 6 f o 3 u t B 5 u 4 H g - - C 9 l m q C g 2 B y 0 5 l C 6 t _ i C - l 3 r B t 2 1 O _ s s u E v u g I 2 l 4 R r j t L _ 1 h 9 D 6 1 t h C p i 2 R 9 z t v C 9 3 9 r B 9 x r F u u y l E s 5 p q C i u 4 E 1 4 q s D m z n - B _ r w E y 6 2 w C 8 x 0 L i u 4 8 B 6 8 8 Z x x z B 2 n z f v 3 i p C q r - p C h j q l B 4 0 r G z k l B 8 i 7 2 C 7 x s o D 0 1 8 F _ u 1 9 D _ 9 i 2 D g 2 v I 2 9 l m B 7 9 - P g u l j F v q p r C i l s C 3 m _ v C r 1 0 P j t y r G m h 7 W i 9 4 j C s s 7 v C p 0 s I 5 w h r C 5 1 o C n h t j C t t 8 V z 4 _ c h 8 g _ D 4 j n z B g z n U 0 t - s E l h 4 T g r k R 0 t D q g 9 1 D 4 m k 9 D q _ 3 Q x z - 2 E 3 w 8 V t 8 n 6 B p m _ z D r n t C x 8 4 i B - 6 h 1 D z h j Y l m i B m r l Y x v 5 4 B 7 h g g B v 0 9 E - r 0 D n g g u B 8 k o q C 6 t 8 9 B _ j u L g - r f x u 0 C h l 4 h C 1 1 v 9 D 0 j 0 c 5 1 8 d r s 7 v C x v 5 j C r k j B q n M 8 y i T u h 9 _ C q 2 q z B _ u 7 c o 0 w I 2 l t 4 C x 5 0 u B 3 i p V j i C 9 g M q y p p D r _ y s B 5 - 5 b h 7 s O 9 u g J n w v n B t j o 2 C k u 2 L l i t 8 B o i k t B r m g 6 B y w B y z 2 3 B p p 9 x B - _ 6 f - s t G s j g u E t 9 t W z v p _ B 6 x 2 G w _ n k C 5 - q X 7 z w L k _ m 3 C 2 n i 8 D u m 9 s D 5 n 3 p B 3 7 s K t y k j C w l 9 s B q 5 l F x o v x B y i v l D y q 1 V _ 7 l E 7 l x o B y 9 3 i C p 0 h Q 1 t 3 U - k y w C t 4 r D j r r 4 B i i P g g - y B 2 9 4 8 D _ l j D p r 6 4 C x _ k t E s j 0 2 C k 1 r B r o m t B z 7 4 b z o j I 8 r 1 c k z g p C n - j c i 3 N s 9 z 2 C r 0 q o B 3 j 8 N s 6 g 0 B h t - T m F s s 0 9 B 8 _ n q C i r 1 4 B t - j k C z 7 j e o 8 1 N l v 3 F r u 6 j B u i 3 C 6 5 3 x D k 4 3 0 M s i j g D 7 l u 6 J i 7 k p C u 2 R i v y n L t 5 i j B l v v 0 B j 1 z l J k u u F i j q 3 O v r m x D s g _ p G g l 1 S m 1 5 q R u u y _ N - h r t B h 8 p p C s 3 y g G 1 o 1 x M 6 9 n z B n k 0 l F 0 7 t h F 4 8 t t B u 9 y z K u r l 0 K 6 0 u 8 C z 0 7 i B s 9 - N 1 1 g 0 R 1 1 g 0 R 0 m x 0 C - k x 3 B x g q 6 E s g k y I p 1 m _ E 0 0 s B s l m n J 9 h n g C t r x k B 6 o - L 8 8 6 k K r y x z C 7 z 2 z B 1 _ g g B g n 2 x M 4 g n 1 U l 3 x i B p i p p M 6 5 z F 5 z 2 g D l h p Y y 2 w J _ j k g D n v t 0 F 7 s z 5 L 6 g 7 j C 3 m k o C h u K n z 1 9 J h q M s z s o O q 8 9 b 3 i v r B z t O n z s b m o 2 q F l t q I 7 l 2 8 D 8 w 3 p B 2 w 7 Z 3 3 z 0 U x z _ 3 D x 8 m t H 7 i p w B 8 s n g F k _ D w 8 _ 0 P r t w c n v B x t B 5 l i z J k 4 s t B s i 2 J i n u 2 C 1 6 1 h C 0 q 3 g Q r q s 4 C 1 6 t v F p 3 v s I _ 1 k r E 5 0 k 1 C 2 p 2 Y h g o B 0 t L 6 g 9 x G x t j x D 9 t _ v L 9 t _ v L x r y Z s 0 y n G 8 g o w L 9 t _ v L 9 t _ v L 4 x 3 1 B 1 h 7 x E h 3 g _ L s _ 2 9 L 0 w 7 L 0 h - p M 3 8 - B l - 4 t C q j 2 5 K 3 n 5 5 B h g 0 T y p 3 E 9 2 5 0 M 6 M r w j o E z 6 v q K x 2 v I q h q q B v t p B p q r m C i s t u F p q 0 - B v q l v B - t n h G 3 6 k x L y x p T z 2 r g M r t 4 R m z 1 o H p q g v C g 6 0 0 J l z 9 0 J u i 9 K m 2 4 s N - i n G 9 4 s 4 B p m h 6 G v g s c r _ h z N 9 0 9 r L _ o m D 2 R _ t R i n 3 q C s j 1 u G 0 i i 1 J _ x 6 h K _ x 6 h K q w s i K p t 1 n D 5 9 m 8 B 2 g u m C - r j B z 5 8 7 F 2 1 i q C u 2 x t K m i n D q 7 8 r M m j s i C l h 5 g C l u 2 n C 6 n x Z 9 2 1 9 8 B g 0 h n P u 9 4 i B u 8 n g B i r p g H 9 4 z w M 8 2 - i E - t O i v 8 q S 9 0 q _ F 4 g B y - x n C s x u 5 L v w 5 7 B j 3 3 X 7 v B i 2 l - C 8 5 6 D U 8 r 4 p B z v z _ G u j t h K 2 r 7 h B t 1 m r C 9 m m 8 D y h i V j 9 v J 6 h _ S 0 1 0 i E h 6 p e 5 9 u 2 B - 9 8 g D z 7 q 6 D 9 n r z E n y k t B _ x l _ B 0 i Y u _ - r B i y y 4 B 6 j g i M 1 8 n 1 C q l r m F 2 q j 0 I 6 o u 7 B n m 6 v S u z t 8 E & l t ; / r i n g & g t ; & l t ; / r p o l y g o n s & g t ; & l t ; / r l i s t & g t ; & l t ; b b o x & g t ; M U L T I P O I N T   ( ( 2 3 . 7 2 8 8 9 3 0 0 0 0 0 0 1   5 8 . 9 7 9 7 9 1 ) ,   ( 2 5 . 9 4 5 7 1   5 9 . 6 8 8 0 3 4 2 8 3 ) ) & l t ; / b b o x & g t ; & l t ; / r e n t r y v a l u e & g t ; & l t ; / r e n t r y & g t ; & l t ; r e n t r y & g t ; & l t ; r e n t r y k e y & g t ; & l t ; l a t & g t ; 5 8 . 3 9 4 8 0 9 7 2 & l t ; / l a t & g t ; & l t ; l o n & g t ; 2 2 . 5 4 8 4 6 3 8 2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0 7 2 6 0 9 5 7 9 3 1 9 9 5 1 4 0 & l t ; / i d & g t ; & l t ; r i n g & g t ; z u 3 n 5 w k 1 0 D 4 5 q Z 8 p t Q i 6 j 7 C y 0 r V z i _ Z & l t ; / r i n g & g t ; & l t ; / r p o l y g o n s & g t ; & l t ; r p o l y g o n s & g t ; & l t ; i d & g t ; 7 0 0 7 2 6 1 1 9 8 4 5 0 1 6 3 7 1 7 & l t ; / i d & g t ; & l t ; r i n g & g t ; r g 2 6 n n h 2 0 D t j r U l t j M r t 7 O y _ t V y h u w D w 9 t - B q v e 3 8 4 h B & l t ; / r i n g & g t ; & l t ; / r p o l y g o n s & g t ; & l t ; r p o l y g o n s & g t ; & l t ; i d & g t ; 7 0 0 7 2 8 4 4 5 9 9 9 3 0 3 8 8 5 3 & l t ; / i d & g t ; & l t ; r i n g & g t ; y 7 p q m 3 _ 4 0 D r _ 9 0 B o x 1 2 B u m t w C 9 k l r B x g t K s m s E r r 9 4 E m t s j B w v 7 D 2 u q B i m q M k j k G y x 3 t D g u q m D 7 i l B & l t ; / r i n g & g t ; & l t ; / r p o l y g o n s & g t ; & l t ; r p o l y g o n s & g t ; & l t ; i d & g t ; 7 0 0 7 2 8 6 1 4 3 6 2 0 2 1 8 8 8 4 & l t ; / i d & g t ; & l t ; r i n g & g t ; o g 5 8 h p k 7 0 D - 6 r n C x p l b g - 1 1 B - 8 x - B 0 r u p C & l t ; / r i n g & g t ; & l t ; / r p o l y g o n s & g t ; & l t ; r p o l y g o n s & g t ; & l t ; i d & g t ; 7 0 0 7 3 0 0 7 4 6 5 0 9 0 2 5 2 8 5 & l t ; / i d & g t ; & l t ; r i n g & g t ; 9 1 4 0 v 5 k l 2 D v 3 v m G o - w n F g t 6 r N r l j o B & l t ; / r i n g & g t ; & l t ; / r p o l y g o n s & g t ; & l t ; r p o l y g o n s & g t ; & l t ; i d & g t ; 7 0 0 7 3 0 5 5 2 2 5 1 2 6 5 8 4 3 7 & l t ; / i d & g t ; & l t ; r i n g & g t ; t l o q y 4 _ m 0 D o 8 s 1 E y 5 v 6 N - t 8 C 8 u 0 k C i i n F g 5 j 9 E k p 1 k D 8 o - 7 G 8 6 5 C - u v 0 D p 0 x M o j 7 l G q 0 g J v w 9 8 E v 7 9 g E o 2 3 I z 4 i B _ 7 3 p E q o 6 R s r 6 i C s i 2 2 D o 2 i q B 5 9 i i B g j i N y n w J 3 6 0 U h 9 t 2 D s i r C s p q k D - l n q B x 4 u l B z 4 7 k E p 2 w k C r t E p 7 w q F n r n W l s u 3 H 2 k _ z B 7 _ r v B q t 3 4 B x w j 4 C g v q O g w r S 9 w 7 t C q s r 1 C - - 1 W y 7 3 L p 5 9 4 D n 7 m x C o m S s 2 o E u m u 5 C g - r g D 2 z 4 u C 4 k y k B 2 k k Q 5 8 - a 9 6 8 t C 2 l w l F 8 7 m C 3 _ 9 - B 1 v 5 6 B h n 5 t F h 2 0 l F 9 6 n j F _ w o G m B i 3 5 x J g 9 l G r q g u K n 3 m D s n h 0 K k p 1 k D v 3 k j E _ - 6 G y l 9 9 J l m p k G 1 y q K t 0 z u F v 0 4 f p j m o B 0 j 9 n B g g 4 I t r 6 n G 9 o m u C 0 q x D x 9 i o D m j 2 9 C w p u i B h g 9 o B w j p Y 3 v q g B n q y s F _ - l K k l u 5 C o _ p B 9 3 8 r D t 5 u 9 B i 4 j J q w 5 c v 6 2 c C 0 i l 4 D h 3 - 3 D r 0 l D i p h z D h p j T 6 3 w r B o k l 0 B 9 z g 0 C o v y G w - 5 Y _ 3 2 G 8 3 5 H 5 1 z 9 C u z p h C - h h y H 0 2 s w B m 9 j C i r g 5 B s w _ b q 9 - g D _ s l B 4 0 p 9 C o l r O 3 _ - 9 B m s 2 B s 8 n s C j y q 4 D 6 p 0 M w p 1 C l _ 3 y E n 8 2 9 E 5 5 w T i 9 j J t 7 x M w g 0 9 B m z y r B q 7 w G p m j 0 B 1 h z h B r 5 6 m J q 3 2 J 0 2 s u I p j b 1 7 i h Q 7 7 I k 7 q v E 3 0 B s u _ 3 F u l k F j _ 4 8 C 6 j 7 7 E v z R 2 q 3 S x t p _ C - v p 4 L g o 7 U y i w n B t x i _ E 7 g 9 N 8 i u 3 G 5 6 E 4 0 j - I w k p Y p n 8 O 6 k y p F s n n z H 7 i i Y o k z r C t _ 5 m D 0 m y g C j 5 q j D z 9 b p 4 z p E p 1 s q B k x _ 3 C 1 _ 9 K 6 9 k p I u u _ F h - 8 8 F h - n r W 0 z 2 o B l i i y B 3 g l B l 6 h j E s r b p i p 5 D w 6 m m C i 2 1 j B k 6 5 Q 1 7 v 2 D j j k K j 0 m h C i j u C v - s s B k j i C l 6 h 0 D j 0 m h C g 0 x s B m w - U 1 s - o F 3 g m n C q r w h B y 2 - 8 I u j Q y y x z E i m 2 Z 5 0 k G 8 g s K v 7 _ 4 C 0 9 z h D m 2 i b 5 z 0 s B g m i v J s 4 p F p m 1 y G z q 3 X 7 z t X s n w H w q 1 r E 8 z k C 7 _ 2 5 B o p 2 s B u 7 0 o B g n 7 C i 0 _ r F y 3 m _ C 6 k u T m 8 0 m D j y 9 w B - 4 u 1 C p x 6 _ D s u R h h 7 b 1 q j 3 E 2 h y 9 B n i s Y r 4 h c m q 7 x G 5 5 G 4 x 0 y E k h g t E h p l r B g k E 9 6 t H u k _ 9 F 6 2 0 t B n j 0 5 C h 4 m q F w n j B r y h o F n 3 _ r D v x s C n 6 B _ y h D q 8 4 k C g 4 w Q w 6 t 6 D x 0 u 5 B 0 g q r C v j _ 3 D g x j 2 E u 8 5 5 D s k o r B u q n g C n o h U r l o q C o i 4 2 F v 9 n P z t o i K i x t D u 1 m i I 3 _ z Z x 6 y C q g k 4 B g h w b t 8 l j E _ k t l E - t n K x 9 3 i C t 1 q N i v 8 s C r o n - C - h h h D g n 7 W o w j y B 1 4 z K z k m t M x g B g 3 i t C m v h p C v o 6 C h x 9 W 8 t 5 t H g v g 2 E p o 1 u E n 3 4 r B 3 y 6 m G h q o H u 0 y n H 3 j o D q 2 3 x G g o i 7 B 7 z v a v _ h 1 D g 4 v L q 1 r N w - H z 4 k C q 1 8 D p 5 M h 1 i u B s l 2 r B 1 r y E 4 8 r F s o _ Q z i k N p 2 y C t 6 8 F y 7 1 Y q 8 x b o o w J v 3 y P - g 5 I - 3 c o 7 4 D l l 9 B j z 4 N u n 6 k C 9 v 6 X i l n D n i g K 8 u 0 z B _ l g h B m o h d h i 3 D x y 8 T _ z 8 W u z s u B u 2 6 J _ 7 g m B q l 8 c 8 g u C 8 o j a u - z u B z o k k D k z 0 E s 0 o 6 E _ h 6 I 3 n h t B - n m P w h j i E 9 3 m h H z k k G v 0 9 7 B i l y p C t 7 t P n _ z k G z x z - B m y 1 p E 0 h n 6 C _ - v 9 B 9 3 t 6 D - j w F l h u l H q 8 r Q g 7 w Y 8 l l g B h p 2 r E j m z E 1 o 9 q B j p e 6 l i o F 0 3 h j B u h o 1 C 3 i h w D v w c p p n J z h o n I 2 S 4 4 9 u G g m - H y - q Q v z p y D v g w 0 C z w _ l B 7 y g i B 9 8 m i D 1 h k 8 B 0 8 9 t B h p 5 a 9 m l q D 6 8 r J h 6 6 4 G z 8 _ m B 5 m k I g t - y C p 5 u 3 G h - 6 e 1 _ z 9 C g g p q D 7 1 v q B r - 3 0 C _ 2 4 9 J 3 v 4 3 E h p p u B x - 6 q G z s g w C m G 7 7 r - B - 9 m i L l k l j B z 0 t J s i r q D l 8 s 0 D q 5 o s C m g n v D o _ f l 4 q m D _ _ l F 3 6 9 H 0 2 m n B o 6 w q F r r y 4 C s 9 r E q 3 h x E r l S v z 3 0 H g 1 P w 8 r 7 C _ m 0 U y 0 s k K o o 8 k B o u - u B 1 o h w F s h 2 I 1 u w x G q D z 0 4 B x w i _ H k 2 m D z r p x H n i _ L u o z 6 D k q n o C z g t 8 B k 9 y z F l t m 2 B 2 y k 6 C v 0 y K q 1 k 1 D o 8 o 6 E 9 o 8 E _ o t k F h r - n E j g F 4 s C 0 5 l C w q i v E y 7 p p D u s 2 w B 8 o x f 0 n y l B w 8 m J m m r 3 C 8 h t D k 0 o S - _ l O 6 2 t 8 F k 2 k y D g d 2 0 y r D 2 7 q q C k o Y 7 h m i B r w 9 g B 0 j k 1 D - m _ g D _ t 1 0 C y g _ 3 D - k j E x l u 8 B n w 3 1 C 3 _ 1 2 C y u r l E t 6 2 K p 5 G 0 u h m E q l 0 s E t x n H _ 9 v - D 0 5 4 z C z j k E g 1 p 8 D k y w 1 C 1 5 r v C u F i _ J 5 k - i K u 2 6 J y 7 5 g D q p u 4 B r 0 t - D w 9 z C 9 k 0 m F q o v w D o v B 4 h v 9 C o _ - _ C k i j 6 B k u z f g 3 u s C t u o _ B l q 4 Q n 5 - 0 D l o k 0 C p 0 r Z 5 o 4 W r k 6 i D 3 h 6 B v 9 h j H p x q J k w 8 v D y p - B t q u z N - z k J 1 4 t i B s w v r B u 8 h m L 6 x v B n v 8 s F 0 q _ 8 C n i - m B t j u k E y i _ 5 C q i v v B s m 4 x G w n t F u 6 q k I 5 l j I s 8 w x D w x h r B - 5 4 i B t 3 p z B g j 4 t B 9 r v 5 C q i h b u 9 m U - 7 9 1 D h t - y C v z y Y g 4 u N 5 0 1 o F v y y G w 5 4 j E 7 i y 7 C x 6 - v C 8 t l m H u t 0 F o 4 1 B 2 q 8 - L s t 5 L o m 4 U - z v B k 4 j N - i 5 s B j 2 7 K v 9 8 a q 0 t - D j 9 k 2 B 8 5 g F 7 3 q B _ o o d 6 u q 1 C w z 3 l B q i z t B x n r n F x m i C s i 3 K l 9 s 2 B 1 w 7 s G 4 6 i D o v j x G 1 p U j x t 0 J - 7 g x B 2 - j s D t v w E q l k g C v 0 h n G s W 3 k 4 Q j w v k S t 1 8 c _ o v c v u 1 R 4 x w d 5 2 p J t i 0 7 H 0 t s 9 C h 8 v L y 5 3 3 C 8 5 9 G z i 7 L x n q g C z z p 9 D 1 l 6 a k - u p P 8 l - B r q t 1 D k Q n 6 _ p G 2 5 v g C 7 k r m D n l 2 H m 0 9 9 F 9 6 q T 9 9 p D p 1 m 0 F n h l e o 8 - I 8 u q 2 B 8 i 5 u B 9 i l v C s p n o C g _ s y C _ n 0 p B r h m 6 D 8 3 2 Q x i 1 p C h l s w B v l 2 x B 9 v o p B - 5 6 p C z 3 0 O k i w l G n o r L 0 u o 3 J q r R g m i v J y 9 o E n 2 m 9 C t 9 7 y D k s C w w o p J 6 4 - x B - 5 u K y 6 r C 2 h h y G 4 v z _ C l y j C m 0 z q E s 5 8 T r w l i B 8 x 3 K t 0 k y B v 1 - G 2 n i 8 D 6 h l C 9 w 1 u L j y 0 r F g l 2 D i u D 0 v 6 o G o 7 v n E k 1 g C 2 m 5 4 F s - n M u l - D v u 2 Y q 7 - s E o n r I 2 0 x l D 4 p h O 6 q Y p 1 o k H 0 s r 4 B j i 8 2 E 7 5 z q F k j w h B 0 y o 8 D t u k k F 8 s 2 B v g F 1 p _ c 7 q s B 3 0 i p F g 7 x 2 B 3 4 1 X 1 3 1 t F k h m u C 8 p 0 t I z 3 s Q o h k v D k q y h B - s s p F n l y K 3 6 C u p y P 0 u - D x o 1 3 C s 2 9 p B k g k c r o x 9 C v s h p B 0 p q P s 7 y O t 2 s 0 C 4 y 9 3 G 8 _ j _ B 2 z s x F o 3 9 n B x g x j C n h g 4 B 9 m n 8 E y n - 9 C i j y 7 D k 6 k 5 D x 5 2 c t j s z E q o 3 2 B v 9 9 D 2 r y U 5 m 1 2 C w 7 7 1 C 1 _ m 6 C i 3 w q C t v 0 C l 8 g r F i r y m B 8 g k 1 C 8 1 7 H l l 6 i E 1 8 8 Q 8 0 t S t m _ B z z 4 q K 4 g z I 5 3 1 m B p j g J g v w H _ w t 8 E x 3 h b v p 0 q B 8 5 9 l F p 2 - H 4 x 7 m H 8 q - J x j g c i 2 l k G x o p J g p - m B g w w H 7 h 2 p D n 4 u 4 B z 5 7 g D - t 1 4 C s t _ z D 6 6 p 4 C k b 7 6 7 p B s 2 t - F 8 8 F 6 o w V 0 z u 6 C 6 p w I 9 9 0 o H n r - s B t 5 w 1 B s p r J 5 7 6 h C 9 k i 1 C s 7 y m C t 2 n D z 3 0 6 B s q u Q 5 p j i C x _ v B y 0 x 3 D 8 5 3 n F z 5 u l C s 1 6 m D n 5 3 B 2 i 3 w C x 7 5 c j x 2 3 F j h 4 1 B 8 z z p D - 1 h r H v l B 5 n g B z j z 6 F w 4 u 0 E 8 m y C 3 3 n d m o 7 8 C _ 3 r E s 7 - p B v 2 j q B p 4 n B 6 q h r E l r i x B t z n x B k v 9 J y 8 _ O p y k Q m x g e l _ q 3 G _ y 1 C k i l o B x i p R z g 9 i B x y n B k w h n D x y v g E r q i D k k 7 m F 1 u - 5 B 5 7 j a h _ q S z y 9 9 F s m 8 U k 8 6 n C y h 1 N i 5 m T i i s q B _ 1 j z C q z v W 1 z 8 O k 6 Z n n t 7 D w l _ y F l u n s B v 1 k v J 7 x z h D & l t ; / r i n g & g t ; & l t ; / r p o l y g o n s & g t ; & l t ; r p o l y g o n s & g t ; & l t ; i d & g t ; 7 0 3 1 2 7 3 8 7 9 5 6 5 7 6 2 5 6 8 & l t ; / i d & g t ; & l t ; r i n g & g t ; j q k _ 8 3 j q 5 D 3 t r L t - t K m w g G 7 i s i B s y d & l t ; / r i n g & g t ; & l t ; / r p o l y g o n s & g t ; & l t ; r p o l y g o n s & g t ; & l t ; i d & g t ; 7 0 3 1 2 7 3 8 7 9 5 6 5 7 6 2 5 6 9 & l t ; / i d & g t ; & l t ; r i n g & g t ; g 2 p p y 6 h q 5 D 0 w m O n s z D r o h 2 B j r h l B y v v J l r h O g K h 8 C 1 u p a _ i P h h u L 0 - B o 3 n U v 4 l K h 6 F q _ 8 j I 6 t r O j 9 n C _ x m K - h 8 Q j z h K _ v p J n r 3 K p 1 u v B & l t ; / r i n g & g t ; & l t ; / r p o l y g o n s & g t ; & l t ; r p o l y g o n s & g t ; & l t ; i d & g t ; 7 0 3 1 2 7 4 6 6 9 8 3 9 7 4 5 0 2 8 & l t ; / i d & g t ; & l t ; r i n g & g t ; x j 3 k 1 z m r 5 D 3 k - Q _ h j G z t w C n 0 u V x 1 w S l s j I 9 - 9 E s t r B r w 4 B i x c 6 8 t P w 1 3 V & l t ; / r i n g & g t ; & l t ; / r p o l y g o n s & g t ; & l t ; r p o l y g o n s & g t ; & l t ; i d & g t ; 7 0 3 1 2 7 9 7 8 9 4 4 0 7 6 1 8 6 0 & l t ; / i d & g t ; & l t ; r i n g & g t ; 6 n x z 3 - k h 5 D _ p 6 0 B t s - o C u r 7 n B 2 _ m 6 C _ 5 g O n 1 1 o B g 7 o 0 C z 7 9 D w h m N & l t ; / r i n g & g t ; & l t ; / r p o l y g o n s & g t ; & l t ; r p o l y g o n s & g t ; & l t ; i d & g t ; 7 0 3 1 3 0 0 0 2 7 3 2 6 6 6 0 6 1 2 & l t ; / i d & g t ; & l t ; r i n g & g t ; 3 9 9 8 t _ v x 6 D 8 p _ X 4 4 y M s u - Z - r j R 3 0 v I 9 u _ X k 2 4 M v 4 8 S h x m S & l t ; / r i n g & g t ; & l t ; / r p o l y g o n s & g t ; & l t ; r p o l y g o n s & g t ; & l t ; i d & g t ; 7 0 3 1 3 0 0 2 3 3 4 8 5 0 9 0 8 2 0 & l t ; / i d & g t ; & l t ; r i n g & g t ; 0 y _ y u 1 i w 6 D 3 z m 9 B q 9 z P 4 q q M q l h L & l t ; / r i n g & g t ; & l t ; / r p o l y g o n s & g t ; & l t ; r p o l y g o n s & g t ; & l t ; i d & g t ; 7 0 3 1 3 0 0 4 0 5 2 8 3 7 8 2 6 6 1 & l t ; / i d & g t ; & l t ; r i n g & g t ; 9 5 x - k z l v 6 D t j 2 a w - p 0 D m 2 J j p J j y s S 0 t 3 c 5 9 - B y _ 7 M - s w M _ 6 n P 5 2 k F u 9 a x h g W y 8 - F 7 j z c 5 8 v P r 7 7 c - K 3 v 4 e i o s X & l t ; / r i n g & g t ; & l t ; / r p o l y g o n s & g t ; & l t ; r p o l y g o n s & g t ; & l t ; i d & g t ; 7 0 3 1 3 0 1 5 0 4 7 9 5 4 1 0 4 3 7 & l t ; / i d & g t ; & l t ; r i n g & g t ; 8 u i g v m x m 6 D 5 8 t _ B 0 - h - B w p o o B l 2 z k F h k w X h y 7 N 3 n 3 G 1 p g 3 C & l t ; / r i n g & g t ; & l t ; / r p o l y g o n s & g t ; & l t ; r p o l y g o n s & g t ; & l t ; i d & g t ; 7 0 3 1 3 0 2 9 1 3 5 4 4 6 8 3 5 2 4 & l t ; / i d & g t ; & l t ; r i n g & g t ; s o m l j h k _ 5 D 9 2 s u C k _ P j n u x D l r z H j x - 7 F 8 o U t u z K y 1 o I u 1 5 K j 2 i W 9 g R o - h _ B 7 6 3 7 B 7 y 2 P h i p H w y Z t k w R 9 n n Q _ 0 u T p z 5 S t q 7 M h 2 h G 4 - s G r 6 i C s h 8 P u i 5 O 0 3 j q B j 7 3 p B j r z l B r - 6 D p 7 8 f h r 4 L 4 s 7 7 E 0 _ i l C o u p O 2 t m I z 2 B q 8 p X k j 5 E 9 8 8 F 0 2 8 a u 9 i J 1 0 j P i _ - H p j 5 H g j 0 L q i 9 6 B j 5 p G w l y B k _ q B u 1 l K s q y R 7 1 - W l k 2 9 D 6 - e 2 i s J s - h E 1 o j z C h p s S 3 1 _ M n s i M _ q p X 8 i 0 o B o j 6 V w 3 N - q 3 p B w 6 y S m - o S y 3 4 h B 9 r C 2 _ s T 7 2 6 X g g g _ B q j 0 f 7 5 J 0 7 w j C 0 - 6 C s 1 8 v B z s i N i k 1 J l g l j B 2 u i m B o u q w B 7 s 1 9 F w q 9 s B u 8 5 m D 6 y k l D k - _ E g 1 q 3 I 4 0 - C 0 m k 9 I q m h 3 B 6 t 5 L E 1 j 4 r D 9 4 5 R m 6 z K 2 r r a 7 t 2 v B m t t i B z y l N _ z 6 B 9 w j e - u p W 7 s 7 B _ 4 m D g k 2 o C 5 j _ Q 0 s 2 W 7 2 H 5 - - 2 G y p v 3 B k m r J 4 9 v D g k j _ D u 0 o T g x 6 C - 9 i L z 9 q B m i - I z 1 j J 6 x n O u h 0 M 8 l 1 G 6 4 F 9 - k I j 6 h F r n 6 U t m t Q 0 w 5 2 B x g q C x s 9 C y 0 q D z m R j k 6 H w 7 p K 0 7 1 D u 4 4 E k 3 k Y 7 t o k H k 7 u B 5 3 h 2 H g 2 p N 4 2 g F 0 W l 7 4 O v 6 y S t 3 8 I n 9 1 l B k k p I 7 9 O q n m T v _ 3 e p 2 2 O w 4 i I y 0 O u l H z u s C 1 8 z Q - 7 v P l 4 0 G 6 k 1 S 4 2 q p B k q p c n 6 h O 2 p l F 9 i - G 6 y 3 D k 3 s m B _ W t q s c 2 7 i k B o h r n H h q r K h 6 1 v B 6 1 u s D m n r H z r 2 V _ 4 7 I 7 5 o L v m n K n 5 h I 9 9 m U - v k H r 3 6 D 1 9 s R 2 i - v D o o w J - l l J m h 6 O x D v r Q y 1 j G 3 l g R 1 q z B r - y C 7 i 9 Q g m h V o 1 0 K 0 1 7 D w y - X 7 h t E t k 5 N m y g J n q 3 D v - 4 2 B 7 3 _ E p 0 1 C 0 v o G m 1 p L 3 u q P 2 q j a k o C w k l B h l q x B n 8 7 U o 3 n U 1 g 4 O u z 3 L x 3 2 H o u q H i l z M 8 s 6 I 5 i 3 B _ z 9 C 5 z 0 H t o w H g k t P w 9 7 F v 4 i I l l o K v 9 i J l i z G u t 7 L 1 6 - H x n k Q 8 4 K 7 x 7 G g s s I m q u F 2 u t U t r 9 T 4 t k J o t g c x 5 m J q 2 q J v v I p t z X j q j P p g v Q 4 t - Z 0 h 0 t B 6 i t J p z m H o v j I 4 6 0 b m y 1 I n 5 4 M 8 j 6 C i - m G - v k H s 7 t J p 9 i O o r q C - 4 i K 1 o F w 3 l C 1 h 7 E r q _ C 6 _ m X m n _ I - 7 v P w h 8 F 8 s 6 I V n 4 5 I _ w 8 E k l 6 J - m i D h 3 0 F v x - k B 5 m s I 4 x y L o - u C y 5 z E g w g K n n x l D & l t ; / r i n g & g t ; & l t ; / r p o l y g o n s & g t ; & l t ; r p o l y g o n s & g t ; & l t ; i d & g t ; 7 0 3 1 3 0 3 1 1 9 7 0 3 1 1 3 7 3 2 & l t ; / i d & g t ; & l t ; r i n g & g t ; y _ w _ 3 y 9 7 5 D - 3 u 8 B 9 o M x _ i D p p r a t r W 3 9 m 7 B p p h n C q 1 y Q 1 0 l D s x h I m - j - B & l t ; / r i n g & g t ; & l t ; / r p o l y g o n s & g t ; & l t ; r p o l y g o n s & g t ; & l t ; i d & g t ; 7 0 3 1 3 0 3 4 6 3 3 0 0 4 9 7 4 1 3 & l t ; / i d & g t ; & l t ; r i n g & g t ; y m - 5 u 3 - s 5 D u j 2 - D l l n B q t 2 o B r v m w C v z l 8 C o l y h B r _ 5 C m h g C j J 7 v g X 8 8 2 f & l t ; / r i n g & g t ; & l t ; / r p o l y g o n s & g t ; & l t ; r p o l y g o n s & g t ; & l t ; i d & g t ; 7 0 3 1 3 1 6 9 3 2 3 1 7 9 3 7 6 6 8 & l t ; / i d & g t ; & l t ; r i n g & g t ; j p h 1 1 p m 2 2 D 0 x o V s l i H 0 5 3 1 B y 9 9 Q 5 t 6 B m p r l C 5 u 7 H y n m l H 7 r j v B n 7 o R 0 w g B m h l h B i p h z D & l t ; / r i n g & g t ; & l t ; / r p o l y g o n s & g t ; & l t ; r p o l y g o n s & g t ; & l t ; i d & g t ; 7 0 3 1 3 1 9 9 9 0 3 3 4 6 5 2 4 2 1 & l t ; / i d & g t ; & l t ; r i n g & g t ; x j g x s h 7 n 2 D z h u o C w 0 h 7 G 0 3 9 H 1 8 m Q v t q 2 B n 5 9 4 D h 2 x w C k j i q B - t 6 C w 1 q S p p l 9 B 2 j z r I 5 x p e 5 x q r B i z v l B _ 7 7 l B o 8 t j N g 8 7 9 B z z - f r v t a 7 5 7 1 C 7 2 k M & l t ; / r i n g & g t ; & l t ; / r p o l y g o n s & g t ; & l t ; r p o l y g o n s & g t ; & l t ; i d & g t ; 7 0 3 1 3 2 0 0 2 4 6 9 4 3 9 0 7 8 9 & l t ; / i d & g t ; & l t ; r i n g & g t ; 4 p m n v y l s 2 D 5 m s j B 5 7 6 s D r p D l h r 9 D i 9 h a _ 5 8 Z g r 0 O o r r Y & l t ; / r i n g & g t ; & l t ; / r p o l y g o n s & g t ; & l t ; r p o l y g o n s & g t ; & l t ; i d & g t ; 7 0 3 1 3 2 0 9 5 2 4 0 7 3 2 6 7 2 4 & l t ; / i d & g t ; & l t ; r i n g & g t ; l t l t 1 8 t q 2 D w r k U 1 j 0 E 0 3 5 F q s 5 Z j _ z B h 2 x w C 6 t m o B i g h V d z n j U & l t ; / r i n g & g t ; & l t ; / r p o l y g o n s & g t ; & l t ; r p o l y g o n s & g t ; & l t ; i d & g t ; 7 0 3 1 3 2 2 6 7 0 3 9 4 2 4 5 1 2 4 & l t ; / i d & g t ; & l t ; r i n g & g t ; j s s 4 n 8 i n 3 D 1 o v g B 8 t k w B g 9 k C - 0 r _ B x y _ z C w u s D 3 y t L u 8 g y D u o s w D h q B & l t ; / r i n g & g t ; & l t ; / r p o l y g o n s & g t ; & l t ; r p o l y g o n s & g t ; & l t ; i d & g t ; 7 0 3 1 3 7 2 9 0 4 3 3 1 7 3 9 1 4 0 & l t ; / i d & g t ; & l t ; r i n g & g t ; q 5 9 t n p h u 3 D t o q 3 I 0 v 4 1 B s w 7 B _ 5 s 6 B 0 t 1 7 B p 5 2 j B 8 I i l 2 i B q _ _ p H 3 h 9 J 1 9 3 k I - u n 5 B p x Z m u o q D 9 j 7 o B o 9 2 P - 4 4 p D h m t 9 E 3 7 o j B h r k t B w i h D 1 t O y i u m C y o s 3 E y q _ I & l t ; / r i n g & g t ; & l t ; / r p o l y g o n s & g t ; & l t ; / r l i s t & g t ; & l t ; b b o x & g t ; M U L T I P O I N T   ( ( 2 1 . 7 5 9 6 0 0 8 2 2 0 0 0 1   5 7 . 7 8 2 3 1 1 4 5 7 ) ,   ( 2 3 . 4 4 5 2 4 5 4 5   5 8 . 6 8 7 8 4 0 6 4 6 ) ) & l t ; / b b o x & g t ; & l t ; / r e n t r y v a l u e & g t ; & l t ; / r e n t r y & g t ; & l t ; r e n t r y & g t ; & l t ; r e n t r y k e y & g t ; & l t ; l a t & g t ; 5 8 . 3 8 9 0 9 1 4 9 & l t ; / l a t & g t ; & l t ; l o n & g t ; 2 6 . 7 0 2 6 8 6 3 1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1 9 2 0 5 6 4 3 6 9 3 5 8 8 5 2 & l t ; / i d & g t ; & l t ; r i n g & g t ; i o u o g 3 m w h E _ m 1 0 D 9 _ 6 r B 1 8 - 2 F k 0 3 0 C 9 w 3 z K - r g 7 B s u q q F n - 2 o C 4 i u o R x h z g E g - w B 4 o 4 p E - o n 6 C 1 y h g G s 7 h W _ s w 3 J n r v N q j r H y i 9 o C _ s 1 _ E 7 8 6 v B 7 8 r g G m v q 8 I y 2 9 c o i j y L 9 k t m B j o j i G g 9 9 a y i w 1 G s v 1 e v l 0 D p o z z O w 2 2 K 0 _ 4 U _ v 7 k D 0 y k j B y n 6 1 L j u h h B z s 7 j E y 6 i r E 4 2 h r C s q u v C 1 3 n w E 0 6 x 7 K x _ k J g 0 2 t D 4 6 u w F j - o B h r k 3 C k 7 7 9 C 4 r p 0 D k - j 0 H j u B 3 w 6 5 H 5 - w t O n 9 r n J g 3 1 6 B w o h Z 3 - g q K h r n j F x v 9 1 D w g k y J 3 i _ 7 C j 0 v 4 G 7 7 _ i C j 7 u x D q 8 o 0 D s v g o J o 2 l 2 C s 2 s 7 B 2 9 m 2 B 8 r 1 v C w o 0 h J s 0 o 4 G g g k C y p n 8 K o _ 8 p B s i p b i 3 1 4 K _ 2 q - D 9 9 9 r D j B 0 5 4 _ D y 2 j B l l z y E y x z M g l 3 8 C q z 6 G _ t 0 p J 4 u 9 9 J t 3 S v 0 o R o 6 - o B 5 _ s w B r g X 8 j o S i i z i B 0 n y 6 F q o i H s 2 8 h G k _ 4 8 C u 5 Z r t w E n n u J h x 8 4 D 4 6 6 s J 6 u 1 E o w h 6 C p m r 5 B l m m n B n g k 5 K t p x z C n o u n C v 9 p i B u p 3 v J q 8 _ 9 E 4 j i 4 B w w D g h T i v 0 j C y 8 z j G _ l l n B s p h l B m j y 7 C y o p 5 B r 6 1 M 7 m n W 5 s 0 1 B r w o w B r 0 - 2 J 8 u t z I h n v M q o 3 D 2 g 4 6 B j 8 x q I h z w U 9 y 5 s F y z F h - h N o 4 i C k r 6 4 B 9 8 t y F 2 o 2 9 w B s l z s B _ o h o G j - h B 8 o _ v R 0 q _ I r 5 y C i x t 2 B t k 7 1 B h 5 z h E v 1 7 F 0 - l 8 C _ v - p C 6 9 j h G q z 6 p L - 3 w 8 B 8 t r i B p 3 q x B l 5 0 h C n q j F t p r W 8 6 m z B v 0 9 8 B x s s e w q 9 C r _ 4 u B i 8 8 Y 8 z 1 q D 4 i 4 P m n q E r i 6 P q 8 r j D j k - 6 B x 1 z - B k t 3 H y m - V o h H 7 - p Y w 0 g 6 D l i - 6 B 2 n - B k 2 - y B s - v F 1 p q B o x g T h 9 h a l m n G p j 0 U - 5 1 _ B h - 0 d 8 y 0 Q 2 y Y o 1 o v B v h t s B h i y C t 6 g j D y g k 0 B 0 7 - _ B 7 j h 2 B o 7 9 g B h 3 g b k l 8 F 9 n t Z u p C m k q 1 C 9 q g j B 6 l m K 7 r 1 6 C z 5 3 q B o s g G 0 i 3 7 C p q p n D g r n B g u i 3 B k n 6 H 0 i 3 7 C r p 4 Y 6 i u _ C n 0 g a k u 8 5 B p i 1 D v 1 x 2 C z n _ h D - a y y y k E i 0 6 Y q l k T _ 6 r q C 3 x j 1 B 7 _ 4 P y z h J _ y 9 K j _ z j B 2 h y 9 B 9 u m i D 7 3 t 6 B _ 9 0 M s l j D i r 4 8 B o w l n C w - j E - 9 5 1 B x 6 _ q B 6 3 u O 9 z o 2 B r m t j C I z j s r B m 3 1 Q _ 2 j G i k l W M 5 4 2 y B t x 1 S n g k I t l n Z v s h Y y x p F t p m Y - q - I m h 4 i B m k h i B y v 5 F q t x U y q 1 n B m E 6 2 k w B 8 1 j p B j v r o B y 1 s l B u - 5 G l m q d n o 6 5 C y w 4 g C n 4 t D n q - b 8 1 j s B 6 h _ q C 9 w 0 W T o y k r I 6 g h 4 B n p 2 s B t n g b 5 4 j z B r q p E 1 w 5 t C 2 - z I 6 1 o T 9 y u k C 4 l l 2 B s h k E 4 _ o r B 2 9 i 3 B p s z H q k w Q i 5 - w C p z D 3 m l Y 1 s x X k 4 i Y - 4 r V 4 t y B 3 2 u J s n k Q l 0 x X j r n u B o o r v L z n n 9 t B 8 6 r a 0 g 2 L 6 7 8 g I v o h g C x u g o M o _ m P m z q J m t 4 L i y w y E l o h r C p 7 w x B m 5 7 t C 1 t r 5 D 3 k x V i j t z C i z i y Q y n v B 4 4 v 7 L w p 5 C w s 3 _ C 9 1 2 9 D 9 _ h G 9 4 s z C j n 7 w C 8 s n 3 L 0 7 v F 6 5 w o C 2 j m r K 2 _ 5 L 5 l 9 k T p _ 1 l T 3 t m K r 1 i 0 I _ p v o M o u r N w 4 z x B 3 x 4 7 - B m j h j B 1 k 1 h B q t 7 5 G w z 0 r B 6 t n N _ 7 2 B 2 h q - H g _ H q 5 0 w C 8 x x o F o m j 0 F r n q _ B l 9 x g C z - i _ F p t w J w h t p L _ g 1 s B q z 0 5 N _ n 1 2 F 0 4 7 v D 5 p G 9 v 8 y G t v t L x m p Q 5 o 4 g C 2 l v 8 B s 3 9 5 D 0 l m c y 8 j R n u r 8 G g 2 v u G o 6 k 6 C 8 s 7 3 D u 3 t i F s i _ 5 C q 9 s G 0 2 y _ E q 5 w 3 B 4 7 3 9 K x w u 9 K 3 j X 4 0 p P y 0 G 0 j k 7 L _ q 5 Z w 6 7 4 H x p 3 p K z 3 r z F v t k k F g 7 t - B _ w v m D 4 h 3 k v B i v s u B m k n V u 7 9 1 E w r x h B k 8 p 1 F k x p 6 D y 2 y C 6 8 o 8 B 4 5 o j B y _ _ t C 2 z r h E g 3 - 2 C j _ 6 z E 2 - 6 4 O 2 - 6 4 O s i 5 I n o j 9 E p t z w B t _ n v S 9 7 v n K s u t m B z q h h O h y n O 5 s 8 9 B w v x x H y m 8 H 5 k k l L r 5 M 0 z P 9 i t H n 3 h k U u 3 5 0 E 8 7 m p D o 1 p M h 7 6 x C 9 t 2 2 F g z 4 I t x 6 9 I 6 w 7 5 F z g g q T m z w k B u _ u G n m z 2 E h h r E 6 0 5 B h g Q j 1 n p Y h 3 h M i 9 7 X 9 x v o D x h - n C m n _ u B r v 4 Q j y 8 B m n _ u B r i r C 1 6 0 H g - 0 d t 5 t O m 8 w w B v 4 t c k n v B 6 q z n B w 3 v l B y l - k C r 7 x _ B u n 0 l B k v 7 G n 1 8 z B v z z d q i l Y 9 3 r M h s - B j q 4 v B 0 p m Y _ s h e 3 h 6 X a 2 h t I g q w Y n x g T - 8 n b q 5 n O u - n B 2 _ v I t s 3 V r 5 4 S - 2 6 t E x 8 6 H 0 k s T 3 m h Z g g r 0 C h v 5 a t n v I g v 7 b _ o B l q 7 N g 8 y f g i s _ C 4 g z I - 5 q O 9 p t Q h 0 i E j k j O p 5 y Y y x m M z h 1 Z 3 - w E p u q H m p l F - x 9 R h i M q m i I o p 9 e z 6 t T n k i 8 B u i 0 H n 6 3 I o 0 g a z k k E n l h 1 B t q 0 S t 3 j r B 9 8 0 R t 0 K - o y j D m 2 0 B k u l q J k u l q J 1 i - n B 8 v F g q 7 k B r t g v C t 8 k y K l w y x K l w y x K l w y x K x j _ 0 F & l t ; / r i n g & g t ; & l t ; / r p o l y g o n s & g t ; & l t ; r p o l y g o n s & g t ; & l t ; i d & g t ; 7 0 3 2 0 0 7 4 2 5 7 8 7 9 5 3 1 5 5 & l t ; / i d & g t ; & l t ; r i n g & g t ; 3 p s 1 t p g j m E n v j h D v r X 2 t m I u j w G 4 l h k E p n 7 O y 9 4 J z v v F h s 0 c _ 7 L u y 9 X k - 0 t C o 8 - I u _ w V 5 5 q Z 8 v S j r m g B 3 9 2 j B 9 4 6 t C 4 M t 2 w w D 6 l p 5 B _ i k Q s m n 1 B k - p i B i - 7 M 0 o r L i l i t B h 8 h Z s h r J p 1 o N h z m 2 E t s 3 F _ n s D o _ l d 1 v i C 4 k l O - 6 j Y i 7 1 P 0 u s N t x z Q 4 z E p q z P 3 y 3 Z s 4 6 a 0 8 z V v 9 h j D g l o 6 B h u o I - q v h C & l t ; / r i n g & g t ; & l t ; / r p o l y g o n s & g t ; & l t ; r p o l y g o n s & g t ; & l t ; i d & g t ; 7 0 3 2 0 5 4 2 2 3 7 5 1 6 1 0 3 7 1 & l t ; / i d & g t ; & l t ; r i n g & g t ; v v 6 v z 3 n 9 l E p 2 q F i 3 h d j k r K 7 4 9 G 9 t 6 B t o y g B t q m E 1 q g D 7 8 w U s 7 B p 7 9 Z & l t ; / r i n g & g t ; & l t ; / r p o l y g o n s & g t ; & l t ; / r l i s t & g t ; & l t ; b b o x & g t ; M U L T I P O I N T   ( ( 2 6 . 0 7 9 5 3 7 5 2 3   5 8 . 1 0 4 8 9 ) ,   ( 2 7 . 5 3 5 5 8 3 5 3 5   5 8 . 6 7 9 4 1 1 ) ) & l t ; / b b o x & g t ; & l t ; / r e n t r y v a l u e & g t ; & l t ; / r e n t r y & g t ; & l t ; r e n t r y & g t ; & l t ; r e n t r y k e y & g t ; & l t ; l a t & g t ; 5 7 . 9 1 4 9 5 5 1 4 & l t ; / l a t & g t ; & l t ; l o n & g t ; 2 6 . 1 7 5 6 4 5 8 3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1 9 1 8 3 3 1 0 0 3 1 4 2 1 4 7 & l t ; / i d & g t ; & l t ; r i n g & g t ; t 3 _ q n 6 z 9 g E 7 2 w I j o 9 E y v q S r 8 v J n s s I l r f s i n I 5 n 4 K & l t ; / r i n g & g t ; & l t ; / r p o l y g o n s & g t ; & l t ; r p o l y g o n s & g t ; & l t ; i d & g t ; 7 0 3 2 1 3 4 2 4 7 5 9 9 0 4 6 6 5 9 & l t ; / i d & g t ; & l t ; r i n g & g t ; s - x v x y _ u g E k k t J n _ u o I 1 r z Q s z i E t k u G v j - 6 M 9 p l x L t 9 B k - g t D 0 _ u q U x 1 j h C t p x w E 0 x 8 4 Q u y 3 v H u s q l D s j 9 x C 6 2 5 x Z s g j c 7 2 o - Q x g 2 _ B v n 2 z C z - K m v g 3 C x w o n I l 0 g m D k k k n B k 6 8 C h z m s K 3 m p i D v 9 l q B p x _ u C g g 4 s F w t 6 D w z m o I w - s b 8 o p L q t y 5 M 3 7 m v O p m 6 a g 6 8 I p o i p B 9 l 9 i B 4 x i l J q w 6 N _ t 5 C 0 1 q u S - l x s D h v 1 h F k x t - I 4 9 9 1 D y p v x L u h g W 3 6 1 X l s 4 z B 5 x m 6 J 9 x 1 s T m j 2 1 B x 6 n I y q 0 s C - 4 7 k F 6 6 j 9 E n _ n s B 5 8 9 - G u y l 0 E 6 m 4 a w 7 s W g x l m D u y h 1 I g 0 4 B 7 y x h K n 1 - g K 0 h 9 C s 3 j n I g 7 l G m 9 8 v P s j g W w k 5 q G v 4 r u J m 5 p q J p 0 S x 0 m 1 B h 6 t K 7 k - _ C 0 s k i E h v i w B p p h 7 B u q t 6 L z 9 s r C y 4 k l I z 3 j Z w r w 5 B 6 t k r B t 8 _ c t h h 2 B u l g z C y u o o E 4 z z 3 D 9 8 u 6 C t r w k E x 1 3 9 E q t r X 7 6 4 j B o 9 h 0 K 2 _ i 3 B 6 9 j V 4 4 l x E 7 9 1 G 7 3 _ m B t q u v C 5 2 h r C q 3 o r E 0 s 7 j E k u h h B z n 6 1 L 1 y k j B 2 w g l D 0 n 7 U x 2 2 K q o z z O w l 0 D t v 1 e 6 4 o 1 G g q 7 a n p 8 h G 5 h q m B w u 5 x L y g 7 c u h i 8 I - _ k g G n u 3 v B u j v _ E z i 9 o C r j r H o r v N - s w 3 J t 7 h W 2 y h g G g p n 6 C g t y p E o r w B l s t g E 4 q i o R 7 2 y o C 0 9 j q F j x 8 6 B h q u z K 8 g z 0 C p k 5 2 F h 1 3 r B m 6 v 0 D y j _ 0 F m w y x K m w y x K m w y x K u 8 k y K s t g v C h q 7 k B 9 v F x 9 7 n B 8 5 8 p J 8 5 8 p J 2 h 0 B r p t j D u 0 K _ 8 0 R 6 y K 6 u r c s _ U z 8 m J 0 n s e 3 v 0 I q t p S 9 p y T j o 9 E o 9 4 O l n 6 J 8 o 0 S y v q S 5 j q U 9 3 w G 7 u f m 7 0 B v k p H x 3 p C p 0 x I k 0 3 n E 4 1 u Q y g h u G 8 k n v B 5 u 5 E _ s z 5 L x z r 6 E 8 0 i g F r 3 T 9 1 G 7 - 4 l B k 7 q 6 D h 8 w h E 0 t m r J m t h j C _ 7 h v B 8 7 r r L 7 p - C v 2 9 4 E y n a m q v h C o z 9 0 J w 1 i 0 B 8 r l F u j 4 1 D k 0 1 w E 0 y r 6 F z k o Y t s j r B i t 6 j E z i - 4 C l 4 2 w B 9 7 k u E t M t m 7 l G l i z y Q w 7 g K 3 j l m M 5 g 2 B m o q 0 K 6 - u m M 8 z z r B o h p i D 0 _ - B h u 7 B - u w 7 G t t v h G r g - 4 Z B r 6 z i I 0 x n 0 D y x o F k t y 2 J g h 5 R 3 o w r H h n g 3 M u n i W 5 k g 1 G 4 k O 8 s q p J j u t l C l z C 7 s z 5 e w x 2 k B l z o G s _ r j B q x u v G u 7 j x B _ t K h m v - B 5 u 9 V y n 5 g C l t G j M t x n i G j 8 z y E 3 j 4 k H h r w l B 8 q i 3 P 8 3 9 G j j v t F u 7 j m B s 1 - s D i 9 5 u C x w l Y 0 7 m 5 G z u r V - r p B z w 4 M r r o X 4 u m r F v t m F 4 g B k g - 9 S 3 g d 7 g n n L p j 3 2 C j 8 x K 7 w s 9 V u 2 a 9 q 3 d 5 x 9 3 F h g i b i 0 x 2 M i m z G 2 z _ h N V i n z z K _ h 9 B s u i M 8 k 9 9 G k 3 7 o D t 8 q 5 B g x h v J v F y i k m B v 1 t p I h x y p B z 7 2 9 G n 7 h S u h 2 H z 9 7 q D w 7 v h B q 1 2 0 D k o 3 9 D v m y V u 1 r 7 E t 6 0 B n k 3 o I 4 p j z P s 1 y C w r 1 v B y q 1 v M 1 w C s w 4 k E k j 1 B 8 j h h D l 9 4 n L 7 p 4 X x t 3 h K n v x k B t s l m D 8 9 5 y C s _ j c 9 l - i I 4 m t 8 J 7 3 w O u z w 7 F i m n p D 6 - - B - w o a m p 2 g C 2 q p i B 0 k r 2 E h o f k 7 x l F n m u I y v k j K x q v m B v i y k B q y z l B - j r q D v 6 z 8 E 4 8 n 6 B 2 2 B _ _ - o B o m n l B h g 8 j B v k 0 L o 3 8 3 B z j 5 E t t u 2 E s 5 u V _ x q 5 G s 6 7 4 G 1 3 2 E j 3 g _ L 8 v q L 4 h 7 q I w 7 p U j 6 i G 3 4 - r C 6 5 _ x C m _ 2 6 B p 2 h g G u 8 w s M j t u D - s 3 y J 6 7 m t C j o p v C 0 0 z _ J r 8 n E v v y _ E & l t ; / r i n g & g t ; & l t ; / r p o l y g o n s & g t ; & l t ; / r l i s t & g t ; & l t ; b b o x & g t ; M U L T I P O I N T   ( ( 2 5 . 5 8 0 3 3 5   5 7 . 5 6 9 3 0 7 ) ,   ( 2 6 . 6 2 3 3 1 1   5 8 . 1 7 2 5 1 1 ) ) & l t ; / b b o x & g t ; & l t ; / r e n t r y v a l u e & g t ; & l t ; / r e n t r y & g t ; & l t ; r e n t r y & g t ; & l t ; r e n t r y k e y & g t ; & l t ; l a t & g t ; 5 8 . 3 3 6 3 2 6 6 & l t ; / l a t & g t ; & l t ; l o n & g t ; 2 5 . 5 5 1 9 5 4 2 7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1 8 9 8 8 8 3 3 0 7 3 3 9 7 8 1 & l t ; / i d & g t ; & l t ; r i n g & g t ; g 4 q o k v _ _ _ D 0 9 u j B p 7 p G w y 5 k B n j j 6 e 5 3 C v z x l C 9 s q p J 5 k O 6 k g 1 G 2 y k W 9 p q 3 M r _ 3 r H - g 5 R j t y 2 J x x o F z x n 0 D 3 7 7 i I D - r t 5 Z h s 2 h G j 8 3 7 G 9 j 8 B 1 _ - B p h p i D 0 9 2 r B i 8 4 m M u v z 0 K 1 1 2 B 7 - u m M o u i K 5 y _ y Q x n i m G u M _ 7 k u E x o z w B 3 r 6 4 C 6 k g k E x 1 m r B v z q Y k t y 6 F 0 0 7 w E v j 4 1 D 9 r l F v 1 i 0 B n z 9 0 J l q v h C x n a u 2 9 4 E 6 p - C 7 7 r r L 9 7 h v B l t h j C z t m r J g 8 w h E j 7 q 6 D 6 - 4 l B p 9 G - j U s - o g F t 6 x 6 E _ j 9 5 L 9 x 6 E 8 y q v B q m o u G 4 2 w Q 0 u 9 n E l j z I 9 v q C 3 - p S m q z S u k D r r u 0 B p n k g C u q x C h 7 - u B 2 y l W o j j q C g - g p B p w 4 V n r j C g i g f v 2 2 d n m 6 q B 8 4 9 s B 3 j h D _ x j C p q x 5 B g u 8 _ D l u i M v g t i B q q g s C s y 4 _ B 8 8 8 C w q v h B 8 s q l B g - n U - 6 y 7 C - _ h G o 1 8 Q _ p x 1 B 6 i o V 0 z x v F 4 9 h E u s o I 6 _ w R 7 _ 7 r C _ 5 i 5 I o z u D _ n 1 R k 3 w g B 2 x 3 o D 3 j 3 w D j 9 o i E l n 1 D t 7 l r B n _ s o C s - o W 4 0 m C s x u d k 0 t 5 C l h j i B 3 w K 7 - 4 u B z k 4 9 C x r H i q y 9 B _ y - U 9 r g o D t z 3 0 B 4 g 2 Z h t T i w 2 1 D y 1 m 6 B p _ r H 3 3 y B i l p R _ 0 9 q B x i l k H u t w 1 B 1 u n E j g 5 z D p 1 v R 8 j w F i w k i J x m r n G q k p Y 9 1 _ q D q k z Y j z s R _ 1 7 7 C u 0 m m E _ 1 r C r z 8 5 E i - q j E 1 j N n 0 x 3 B y r 3 f x 1 0 o D q r _ X 1 u j M n z 1 p Y t r Q 5 0 5 B g h r E m m z 2 E m n w G _ z z k B 0 g g q T 7 w 7 5 F u x 6 9 I h z 4 I _ t 2 2 F i 7 6 x C p 1 p M 9 7 m p D 2 r x i F _ 8 o 7 S t 5 0 k B z q w 2 K _ 8 o 7 S 6 t n i G q t l 4 C 1 y v D 1 _ r m F h q 2 0 B 9 p t g F v 9 o x D 9 _ n x J i y r N 5 n 8 8 Q v v V t w r n B 1 v i 5 B g v p o F z h t 5 K h 9 5 J p i 9 B s s 0 h N v l q h N o 4 y g K q q 4 E 5 z y 6 J 0 v 7 6 J 5 z y 6 J g 4 p 6 J 5 z y 6 J j l j I n m m - J p l z H 6 l z 9 B v _ B l i 1 Y o q 2 h O 3 8 9 y Q s r 1 l C 5 o 1 W x h u g L n m y x G k - n e n q k 8 L z g o 3 C k r l o F 0 6 z r B m 4 2 4 Q 8 1 p m E q p m H 5 j 5 B n 2 y o D 7 _ w B 2 j r u N 3 t - t C y q 0 t E 0 j r u N y l u J z h u 2 M 5 s l P y y _ P s w o 7 K m z g 4 G 1 m o c 1 6 8 q K z h x Z r w 3 5 H g 8 - o B j s j L l t 3 5 B i 2 g 0 G u r 2 h K 4 s y C i 2 6 1 q C - 1 9 H l n e m s 0 - C l 4 0 a 2 3 q 5 J v x o i J k w S 1 g 7 j B p p t 8 G g 2 0 9 I 7 6 t P 7 w _ h D i w 0 L 6 j m 0 B i q o 6 D w x g y K j 9 - B n p 4 y Q k s O 9 y z 0 L k _ p 0 L 3 u u k B 6 k k v H o 6 t o C k - 4 3 C 0 s l o B q y 3 r G o 9 0 d 5 t s t C k l h n B z 3 q s B x n i 4 K i 7 v t I 9 h y O 7 m 4 H u x 4 z c 1 u z d 5 2 y F r s o 5 K 9 o g w S 8 5 0 7 C w 3 g O p 8 g o C _ p q 3 M h n g 3 M s g o u J n w 6 Z g - 2 o C 7 y 3 r B j 1 v s G 5 7 7 _ F k m 9 i D 3 t w 9 D _ 0 r q N j 6 p 6 E q 9 i r S n 8 k Q r 8 r k O j k x o D x 8 - J r x n 4 H 1 o j _ B q 3 s 9 H 7 y 0 0 S _ 7 n I l p f 4 z q J 8 v 4 x S q g p q B 3 6 7 9 L u z l _ L r s y m C p 0 w v G t q g P 0 s k r H m t l o K j v u o K V g z r 3 E 8 k g w B u l 2 r E p j q u H y k t l D 6 3 g x I g 0 u R r k 3 x o D g m y i D l q g D z i _ q C t 9 4 g C q - 2 2 E h z q 9 B r v 6 w B w y - x C h g p v H _ n n C o w 1 n L q z 6 z B y h z U 5 g v J q q o H _ h 5 1 C w 0 j N 8 j k L q s z H - 4 j C t 7 z i F s 1 y - B u 0 4 Z v z n H 3 _ j k P 4 1 v 0 B v h l t E p p 2 9 H t o j L - y h o C u w - O 9 4 _ t B n p 9 R m h k R p r j b v 4 k g S t 8 t j B n 1 - 4 D _ p p 8 C 9 x i 8 C 7 - r w B 2 t g x G z i 6 y E 1 2 3 l C g l 1 W 6 8 - m B h u k M 5 y s d _ h p 5 C 2 y l v C _ k Q o _ M 2 3 _ k K j 5 4 Z v 1 4 0 B 6 _ o 5 C 5 t t 5 B h n r K p t x 4 L 9 0 F s x q B q w q t C 0 x z m C h v i u F v s z u L 9 l E m 7 h k L 7 2 3 j J m i _ T w u 9 N 4 v x E _ _ 4 r B g u n Q k - o O u s n R _ o v h N 4 y u v D y h y 3 D i 6 g n B 3 r 3 8 I _ s o r D 0 h t p B 7 9 k X r y i q J 2 u j 8 C 2 y B i z k p L v o h t C 8 k p P s m 9 p C u 2 p 8 E j g E u w 0 t M _ 3 o B o 5 _ 5 B 8 p 5 Q 3 9 2 m D 5 v t z B x n t 2 C t h z s D 1 y _ J 2 h x N 8 h x h H 1 I q r q m D y z - J 6 o p h B v h 3 S w B _ g s f t i n c h r h z B v 1 x 4 K 3 w 4 P t x q X z _ 0 0 E v w l g B v w l g B p o t F o s p n E - 2 - o F n h w P 3 - q 7 B g u 3 f z y w 6 H k p z D 3 - x q I _ 7 0 F m s 1 f z t i 7 C 6 u 7 u B q h 6 m E s m h _ B 8 g 6 n D k n w s B y g 2 u I x n z F m h p j C l 8 5 P 6 4 8 S s 5 p 7 I _ p y g B z - l F t v w W q s m L n 5 h 8 B 2 7 t - D s 2 - X p 7 g p H o 5 p x E r r n B h 7 8 u Z 8 9 q a 9 g s p F r 7 n P - - l z B g z 9 n B 2 u k h B q j u l H s 9 2 u B y j 5 _ P 5 u 5 M u 3 u v C w o h U 9 y 6 _ B 8 m z w C 8 h 2 P k n j z B 3 3 h O p 4 _ y C t q y _ E 7 - 6 C 8 x p z B j 1 l - B 4 u k a g 7 g Q l x y x B u y t 9 C n s m S j n h d 3 _ 1 D l 9 v z H r k r K r 8 h i E 9 0 - w C t o w l B 8 s l V & l t ; / r i n g & g t ; & l t ; / r p o l y g o n s & g t ; & l t ; / r l i s t & g t ; & l t ; b b o x & g t ; M U L T I P O I N T   ( ( 2 4 . 9 5 9 0 9 1   5 7 . 9 6 1 8 2 ) ,   ( 2 6 . 1 9 1 0 1   5 8 . 6 8 0 7 0 8 ) ) & l t ; / b b o x & g t ; & l t ; / r e n t r y v a l u e & g t ; & l t ; / r e n t r y & g t ; & l t ; r e n t r y & g t ; & l t ; r e n t r y k e y & g t ; & l t ; l a t & g t ; 5 8 . 9 2 9 7 3 7 0 9 & l t ; / l a t & g t ; & l t ; l o n & g t ; 2 4 . 6 6 5 4 7 3 9 4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1 4 4 1 6 2 3 8 5 8 8 0 6 7 8 8 & l t ; / i d & g t ; & l t ; r i n g & g t ; o x h m q 5 9 h - D g 7 l y C s n i l E 3 x x G t 2 8 3 E k r s p E w j v I q 7 4 j D s 3 9 p C 3 s 7 v D j 8 1 l B 4 7 l p I 4 5 2 m B r v r 1 F m w l - J 0 0 E h 5 k w D r l x j J r 6 m d r o 8 l B r l 5 z E v t t T h t n j B g m 6 w J 3 u x w J 8 l v 5 D 1 0 y z B 1 o h 8 L 1 w q N 1 m n v C h z _ 9 L 3 s r P 2 m 5 P y - l 2 V y z 8 n B 6 3 n D t p k _ B q 3 r _ b 8 j N r w s B r m m c j 8 2 u H g r C l s 8 B 6 p 4 o H m o v E 7 1 i t B p z y q D 7 v - _ C 3 3 - i J 4 - u q D 9 q k i G s w 6 M - z v s C m v v y F m q 0 F t x l l O t g 0 W y v 4 O w r 1 u G g 7 _ y F 2 - L y i i N o r _ p F 7 - y w I r o z m N 1 w o D 9 - v x F 5 i - 6 J _ 4 1 _ D 3 l - Y g j 3 B w 6 x 0 B l y z y O 1 n g q F 6 7 w 4 C 1 q j n C m - y 5 E v - 4 y D v z t 8 E o m 6 v S 7 o u 7 B 3 q j 0 I r l r m F 2 8 n 1 C 7 j g i M j y y 4 B v _ - r B 1 i Y m w p _ B o y k t B _ n r z E 0 7 q 6 D g _ 8 g D 9 z y 2 B l y s e 1 1 0 i E 7 h _ S v u x J i r k V p 5 r 8 D u 1 m r C 3 r 7 h B v j t h K 0 v z _ G 9 r 4 p B b 9 5 6 D j 2 l - C v s B n p 1 X w w 5 7 B t x u 5 L z - x n C 5 g B _ 0 q _ F j v 8 q S g u O 9 2 - i E _ 4 z w M j r p g H v 8 n g B v 9 4 i B h 0 h n P _ 2 1 9 8 B 7 n x Z m u 2 n C m h 5 g C n j s i C r 7 8 r M _ _ n D 2 6 6 t K u - m q C - 0 j 8 F 7 8 j B u 6 p m C 1 h j 8 B t q w n D i x j i K _ y x h K _ y x h K s p 5 0 J r j 1 u G 6 8 y q C m i R 3 R - o m D _ 0 9 r L s _ h z N w g s c q m h 6 G 5 g p 4 B j 7 l G _ q u s N v i 9 K m z 9 0 J h 6 0 0 J q q g v C m - t o H - p 2 R - 8 h g M q r n T r n 7 w L z v g h G u q l v B o q 0 - B 6 4 m u F l k n m C r 7 o B q 5 m q B w 2 v I y 6 v q K 3 1 9 n E i L h 1 v 0 M 6 m 2 E g g 0 T 2 n 5 5 B p j 2 5 K k - 4 t C 2 8 - B k k 1 p M 1 w 7 L t _ 2 9 L i 3 g _ L 2 h 7 x E w 8 z 1 B h 7 0 v L h 7 0 v L 8 t _ v L s y r n G 1 6 v Z h 7 0 v L h 7 0 v L t j _ w D i 5 1 x G k k L g g o B 1 p 2 Y 4 0 k 1 C 9 1 k r E l x n s I 5 m n v F - z n 4 C s g s g Q h 5 x h C h n u 2 C 0 w 0 J s s p t B 4 l i z J w t B 7 r B - 3 t c x 8 _ 0 P l _ D s i h g F 3 z l w B l m - s H y z _ 3 D 4 3 z 0 U 3 w 7 Z 9 w 3 p B n z w 8 D h - o I m 3 v q F o z s b 0 t O 4 i v r B 6 n 7 b 0 9 h o O l g M j 2 s 9 J g u K 2 m k o C i 9 2 j C - 1 p 5 L r 4 m 0 F i 6 p h E g 9 I y 6 k 1 Q 9 z o i C y g r 0 E y 3 h 8 E x 5 5 Z r u - B _ j v 9 G k o z 5 R 7 m t h B m 5 t X 5 4 6 h C j h x s G g 4 k j B r o k H t l z 7 L 8 w i M h q w f x q o r E h k 6 i B 3 4 2 h D 5 m s N h v 9 l D _ - r 9 C m 4 l 3 M 9 2 5 G n 6 z P u u o 3 B w 4 w p C 5 3 1 r G z 5 h _ J g 3 o J 6 j 8 r D h i _ I - u _ h K l 7 5 I - p x _ D h 3 r w F p 5 r 8 C v 4 n g F v l 4 s B n j 7 n F 1 0 8 j H n w 3 v E h m _ x B n o o y H v i 1 E J 0 z m l D l h y d j - x k B s o - 9 F g _ s m J j I 9 6 4 8 R u i 4 H i 5 0 o G q j 4 o B 8 s r h H _ n - 8 B o o 9 l M 2 - n 4 K - g o E h - s y Q y j 3 i R w g 2 B l o r v L h h u g K p k z B o q 0 3 L m q 0 3 L j w z 6 I h 8 x G o q 0 3 L s 0 h _ u B 7 7 t o J g - k H q 3 0 _ R j j n W 7 s - y L m 3 s J 1 3 _ 7 H j i 7 m B q g 7 j L s z k 9 E u 4 q 5 F t x n C l k w z H n 9 g 8 R h p r n O s m 1 G k n j n B m j g w C 1 g s q C s j 8 1 R n 6 x K 3 o n S t 5 k q E 5 k g 9 L - t 3 B 2 0 Y g 9 t r N 8 y i s N h t _ s F 7 w 0 4 B 9 n 4 r N p g t 4 B l w 2 9 M w q w N j m 8 - D 4 v 3 0 C 8 0 q s J k l 3 v B r y 8 6 F 7 2 p v C 5 8 z - F t v h c 4 n w r H w 6 z L v 3 t l L 8 x 3 N _ - q 1 S _ j 5 J g s r m O _ 1 9 H - 2 w l I 7 y t 5 B h 4 - D 1 7 v p J r p 6 k G j 9 u 1 G _ s k I s z m i H 2 p _ 2 C B n k _ E l u 4 l H j m i D 5 q t 6 D 5 n w g B & l t ; / r i n g & g t ; & l t ; / r p o l y g o n s & g t ; & l t ; / r l i s t & g t ; & l t ; b b o x & g t ; M U L T I P O I N T   ( ( 2 4 . 0 6 8 8 8 9   5 8 . 6 5 2 9 9 ) ,   ( 2 5 . 3 2 3 8 0 9 0 0 0 0 0 0 1   5 9 . 2 1 7 2 1 1 ) ) & l t ; / b b o x & g t ; & l t ; / r e n t r y v a l u e & g t ; & l t ; / r e n t r y & g t ; & l t ; r e n t r y & g t ; & l t ; r e n t r y k e y & g t ; & l t ; l a t & g t ; 5 9 . 2 3 7 6 9 7 6 & l t ; / l a t & g t ; & l t ; l o n & g t ; 2 7 . 4 0 5 1 6 8 5 3 & l t ; / l o n & g t ; & l t ; l o d & g t ; 1 & l t ; / l o d & g t ; & l t ; t y p e & g t ; A d m i n D i v i s i o n 1 & l t ; / t y p e & g t ; & l t ; l a n g & g t ; e t - E E & l t ; / l a n g & g t ; & l t ; u r & g t ; E E & l t ; / u r & g t ; & l t ; / r e n t r y k e y & g t ; & l t ; r e n t r y v a l u e & g t ; & l t ; r l i s t & g t ; & l t ; r p o l y g o n s & g t ; & l t ; i d & g t ; 7 0 3 1 9 5 5 4 3 9 4 7 0 2 4 7 9 4 2 & l t ; / i d & g t ; & l t ; r i n g & g t ; 1 v 2 y u n m _ l E 3 o 7 5 B s w m X _ l q T 6 8 k a o 5 r s C t v - O q 8 5 e - l s n D 8 g 1 F y 9 6 o C l 3 g 5 E x 1 8 e u 2 J m j r X p z w g D j 9 1 4 F h 5 3 Z h 4 z D _ - w P h p w v E 4 0 i o B _ l h j F 0 h 6 _ C j s E q r u v K 5 _ g O g o K g o _ d w 5 1 2 D 8 1 _ g D n 7 _ B t n 6 1 D o 9 5 _ C 3 h 5 I y k 1 3 E 9 t 8 L o 6 w D 1 _ u 1 C o o m u E m B o 7 l 2 H g i - Z m v v 3 L m v v 3 L 5 p 0 J j 6 m 0 I l x 7 3 I x i r J t 6 y B h i r 1 J 3 1 j h L m j - 5 E l p s n B q 0 i x q B 7 l - n B m h m n E - 4 4 g n B 4 - i r B l u k 2 D u 1 7 s l B z z 6 v B 0 n w 3 n B j 0 3 4 C z q w 5 G v u 7 K v z g p K 1 6 8 g G 3 g 6 V 6 t w s M s h F _ 6 0 q M z z 0 O 9 - 5 s C s 5 t w B u v y 9 E p o i I 3 s S l 6 m R j i z 2 C 1 1 - D n y 5 p B u 7 y H p v C w g p n B y v r C 4 v i E 1 w l c j L 1 1 q Q h j m s C j 6 p G 6 v l l C 7 o v F w s 5 J o 1 t F n 8 r D 4 v 3 S 8 7 z 3 B F x 4 6 i B g 2 5 X j 3 j 5 B j v i W w s d o y 1 J 0 x n S h 8 _ q B j u o F 3 x w B t s 9 f y j w 7 D h n _ w B h - z G 4 - z e 8 1 x C 8 1 x C 1 r q C k p t h B w 8 v F q 0 k 8 B l p 7 5 B y E i 1 y H r n p t B w r r C w g l H h w 2 w F l r 2 E 5 n m g D 8 u m B 8 y 1 O s 6 y D l w x F i o 0 v D w h g U 9 3 s F u 2 s E n r 8 H i 7 _ R q s 2 o B y j z J v o O _ u x w G - 8 k B n - j g B j g g G t z u J y 2 m Z h 0 F _ u z 6 F h 9 1 L h s s C l 0 u p C 8 o C _ z 0 C 7 1 2 u C 7 p z r B h z h E w o 1 Q 9 8 w C r j n M 7 B k 9 j h J v 2 - p B 7 6 g Y 7 h 7 s D g r i 1 F 4 s i D n w t v B q 8 z N y k j Y p i r J 9 w n Q 3 m 6 p C 1 3 9 h C t r 9 D p j j P 2 n 1 H 8 z r F 2 u o N i g 3 L 8 4 i H _ 9 y y B _ 3 m _ C h 6 x D 6 j v o G v v 9 T 6 v 9 v C y 4 y 6 C 6 u o M 6 2 g t B 8 l 1 j C s o 4 I 1 8 9 N l s l s D _ n 6 R z n 0 n C h q u 9 B v u z I j y 4 R _ j r G n q r V w 9 t k B m y h z B - s 6 K 5 K 2 u g R k g g J 8 x 0 L n w h q C u x 7 j C u 5 4 a 3 - q U 0 6 o 3 E h o 0 J 5 y 1 d i l B _ m 2 q B p v n v C y _ E j m 8 M 0 4 m C - k 5 V k 5 5 E q w 7 E g o w F w 2 6 L r 5 3 D y w 5 C 1 5 h B 7 0 t S 4 q P h 7 d p j 5 D g p 4 e k g g B x _ _ B i i 7 H u x t U n n m F 2 j 5 _ F m k - G x g r p B w l q E 7 - i H 2 2 3 C t t 8 i C k y m x B t o z V 5 h 5 D r 0 q e 2 r t w C r 7 j _ B n k Q 9 w r v B h y 4 m B 3 4 y m B g 5 r - C j h n I l 3 l B 4 u k N w i n o E 5 _ m m E o 3 p X o r o s E i 6 3 P - y D u 9 j E _ 8 l E w 6 u v B m 6 g o B _ v 9 k B x r C 2 z s R z y g L 3 - g l B x q h U 7 5 o C _ 9 n p C 2 g w D l 9 p w D 5 3 6 w B 7 4 k 2 E s w k x I x 0 p a y k p w B 0 m - 6 D g x s g H - 3 6 o C 6 4 t - B 7 5 B q 4 t h C t 5 X _ o i w C 6 3 u 0 D t s 3 B 3 7 3 l B h 3 h p F r p C _ k k u D k z 4 2 B u q 2 3 B r q m y B u y y f 8 j z I 1 s r l J g s J v q s u H z v s I g w x 1 D k p q w B v j X v j o 2 C o i s m C 8 z 3 C v 7 r 0 D t j h m D w o C z 9 g 6 B 1 4 _ x C 9 n v E l l i X 7 m 9 x J z k 0 y F 5 1 x R q n l h C j 6 l 7 C u k k z B j h 3 t D h v r G i p m y G 2 n i 8 D 0 k z u B 1 4 u d v 7 r 0 D s w v F x 5 m w B 5 g p u E r 6 Q h j s 3 E g r x y B r v l 3 B g v _ o F z 0 C v 8 h 2 D - t 8 8 B z g 8 N m z p l E y 2 r Y x k 6 0 C x k q C h n t g D y _ n E o w u 9 F u z - P 1 2 _ m D q 1 9 5 C q h c j u n 9 F 9 2 w Q k 2 3 9 C s y 6 m C 6 o t i F 8 o t Z 2 m o 5 C z 1 n n G j x j q E - 2 x Y - 4 i s D x g r E - 1 w 5 B k t i n a i p v k E 4 n o X 5 q 8 2 E 8 j u s B t 2 y 3 B 5 3 z 0 D s h z I 0 y 0 - E x _ k t E 1 l h - B q x x S o y h 8 F 5 q F n p i E 5 r z w D v o o b - 2 q s B _ z i _ D 0 y p G l k r z H h h x t E w 9 q - E w q - f p 3 O 5 2 v B g 2 g O x x 8 q B - 4 i s D 6 l a 3 p 5 4 D o s p C l 6 0 t B v 0 q a 6 i 2 9 G u j E o 6 t 7 K v i q P k r x x D n 3 9 4 E z g j F - t t N k 5 x l D i _ - 2 C 9 g h D u 5 v 3 F 3 5 j x C r w v I o 6 6 1 C q j G t 5 k 3 C w 5 h K l z v 6 B s t v j I k z 2 N s h i q G _ 1 5 r E s 5 R 6 4 E - 1 _ C r l 4 l H h _ q g B j 2 o 9 B 8 o s w G s _ _ y E 6 i h w B s u 3 3 K s o r i R 4 h 3 B x p y 9 L 3 z 2 s E q p 0 - B n 1 y y L 6 8 - x B z x - B 4 x p E z 4 - j R s m g 8 D q s g q B x 9 6 Y r u 7 W 2 k 8 Y 9 h 0 C l j 7 b 9 6 8 q H u w u 9 K 4 s f v - m b g w w x I 6 i h v K 5 h z i I r l _ 3 C o 5 g B w 5 k _ U 0 8 j B k h 5 9 C 7 w 4 r M j i q r B - - v L 5 6 j t C j i i B l g X n n z n E _ y j x B h m g T k - k r W 9 n 0 Q 9 g 7 Q t 2 o l C k p 7 - E 5 j v 3 N 5 j v 3 N k 5 k n G j h s 8 G 9 z 4 o D 2 5 5 6 F r u s 7 D v z p Z s u u w H 5 p v l N s y 5 l N z s u r C - _ 1 l E v x r C z _ n 7 J 2 5 8 f x r o a q x - 6 C 3 2 9 w D w o m C _ 9 v 0 F x k l T v i t h L 2 - m B 8 5 g 5 H j j p q B j l 7 N _ 6 4 7 B 2 k j n H 8 t 7 v C 2 m w 4 G y 7 l F p 3 i 5 Q v - w r F u j r k B j l o o p D n y l B l 4 s u L 9 s p j B p 5 v M o n u v F _ 2 h y G _ y w K 8 u t 3 I l 8 s q D t 5 K k l 6 2 N 4 j v 3 N 6 l 0 K 9 s w 8 P k 8 l F p 7 p L n 5 h 9 B 7 w 2 L n 2 9 q H q 5 0 U i 4 s a h 8 k i F 3 3 y t B 1 v 0 D 3 m g o J 3 j o E 1 5 _ y O j 1 u Q h 4 7 r p B i 4 o z D r g i m F - 5 6 J l 0 g 3 H y w 7 i m B _ 8 1 w D 5 8 - r L 6 0 0 c 2 4 t J 3 m - 6 H u o q k F & l t ; / r i n g & g t ; & l t ; / r p o l y g o n s & g t ; & l t ; / r l i s t & g t ; & l t ; b b o x & g t ; M U L T I P O I N T   ( ( 2 6 . 7 0 6 6 8 9 0 0 0 0 0 0 1   5 8 . 8 5 8 3 8 3 5 5 ) ,   ( 2 8 . 2 0 9 9   5 9 . 4 9 5 4 4 9 6 1 8 ) ) & l t ; / b b o x & g t ; & l t ; / r e n t r y v a l u e & g t ; & l t ; / r e n t r y & g t ; & l t ; / R e g i o n C a c h e & g t ; & l t ; R e g i o n S o u r c e s 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5 & l t ; / r s o u r c e i d & g t ; & l t ; r s o u r c e n a m e & g t ; T o m T o m & l t ; / r s o u r c e n a m e & g t ; & l t ; / r s o u r c e & g t ; & l t ; r s o u r c e & g t ; & l t ; r s o u r c e i d & g t ; 1 4 & l t ; / r s o u r c e i d & g t ; & l t ; r s o u r c e n a m e & g t ; M i c r o s o f t & l t ; / r s o u r c e n a m e & g t ; & l t ; / r s o u r c e & g t ; & l t ; / R e g i o n S o u r c e s & g t ; < / r p > < / V i s u a l i z a t i o n P S t a t e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2476CEBB68CDF4BB0C705B0BCD2D363" ma:contentTypeVersion="16" ma:contentTypeDescription="Loo uus dokument" ma:contentTypeScope="" ma:versionID="ebdbd6bbdbfabbb329fad8a6db001bd0">
  <xsd:schema xmlns:xsd="http://www.w3.org/2001/XMLSchema" xmlns:xs="http://www.w3.org/2001/XMLSchema" xmlns:p="http://schemas.microsoft.com/office/2006/metadata/properties" xmlns:ns2="47e4a136-4e43-4d4f-be0e-59ae4382439d" xmlns:ns3="9f416984-9e62-4aab-b56b-ffd291e12147" targetNamespace="http://schemas.microsoft.com/office/2006/metadata/properties" ma:root="true" ma:fieldsID="4ffe3f91275ce50b36853947e07cd9ff" ns2:_="" ns3:_="">
    <xsd:import namespace="47e4a136-4e43-4d4f-be0e-59ae4382439d"/>
    <xsd:import namespace="9f416984-9e62-4aab-b56b-ffd291e121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e4a136-4e43-4d4f-be0e-59ae43824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Pildisildid" ma:readOnly="false" ma:fieldId="{5cf76f15-5ced-4ddc-b409-7134ff3c332f}" ma:taxonomyMulti="true" ma:sspId="ee5263c0-7114-47d3-8603-0e3ef132c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16984-9e62-4aab-b56b-ffd291e1214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Ühiskasutuse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Ühiskasutusse andmise üksikasjad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23842fa-2211-44c0-8d69-1a5acf19eab8}" ma:internalName="TaxCatchAll" ma:showField="CatchAllData" ma:web="9f416984-9e62-4aab-b56b-ffd291e121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utüüp"/>
        <xsd:element ref="dc:title" minOccurs="0" maxOccurs="1" ma:index="4" ma:displayName="Pealkiri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u t v u s t u s   1 "   D e s c r i p t i o n = " S i s e s t a g e   s i i a   t u t v u s t u s e   k i r j e l d u s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c 6 a 4 6 e 0 5 - 4 0 e 7 - 4 9 5 a - a f d 2 - a 1 8 4 3 9 d c 1 f b a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 5 8 . 5 2 2 2 1 7 5 6 2 7 7 6 4 4 < / L a t i t u d e > < L o n g i t u d e > 2 4 . 7 9 0 5 0 7 0 3 9 4 0 6 1 4 8 < / L o n g i t u d e > < R o t a t i o n > 0 < / R o t a t i o n > < P i v o t A n g l e > - 0 . 2 4 7 1 6 4 7 9 3 3 1 0 6 9 0 2 7 < / P i v o t A n g l e > < D i s t a n c e > 0 . 1 6 7 9 1 2 2 9 5 0 1 6 7 7 3 3 5 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D / 6 S U R B V H h e 7 X 1 n c 1 t X m u a D n C P B T D G I o o J T 2 5 Z j t 7 v b 7 u 7 p r t 6 a m a r 5 s r 9 g / 8 R + 2 / + y V V P 7 Y W u q d n Z n d r a z 3 e 6 2 2 0 G 2 b F m W Z E V m E i B I 5 A z s + 5 y L Q 4 I g I g k m W Y / q C u D F x c E N 7 3 P e c N 7 z H t P / / D h Z Q w d Y q m X M 7 K w i H Q 5 j I W R B 7 N E m H D 4 n L H Y 7 n E 4 b b m 5 W k f X 4 1 b F m E 1 D t 2 N r h 4 b R W k S + b 6 3 / 1 h 7 C r g l e m S k j k z U j m T Z g O V e q f G M g U T P h 8 y Y Z i x Q S 7 p a Z e h 3 0 V v D h e V p / n S y b Y Z L / N o v 5 E T a 7 R J N d K b K b M s F u B o K t q 7 O g D v F c f P p D 7 a K v h j Z k S V p N W j P v K a v / X q z b E M p 2 v 1 y I f 8 1 i e S 1 V + 3 m G t o V C u n 1 g f 4 P d 5 T Y M A z y H o q m F D 7 s v 3 A S 5 7 T e 6 9 C W / P F f D p 9 i a 6 E k r D J H d 8 D n F U 5 O 6 P B 2 r I m J 2 4 F X e j V p c s l w g F B d W M m h K E Z N 6 C w n 6 5 P T X 4 H F X M h s s Y 9 R l C v 7 R j k Z t A g p g w 5 K 7 i 9 o Y V W 3 L O T h E G C m h J b p B d y G M 2 1 e C W G z Y f q W B x 2 4 K Q H D v i r c A q P Y d J P n u 0 Z R F C W X B t r A y / s z O h S G a e B z u d z b Q F t 9 c s e G G i j C + X b Q i I A L 5 2 o Y h v 1 m 2 Y C 1 d w Z 9 O C 7 e z 5 F E i K w 2 v T R X z 6 x F 7 f 8 x S C v U 9 N n n c u C 3 s h j R H k Y J H O v p g r 9 U Y o 3 i S r P N + S E I S 9 9 P W p A t a S F j z Z t s I i g s U e e j Z U w p M d m w h i F V O B K h 7 F r c g U D b K d N t i T D 7 k r Q q i y C L M V c S E P N U 7 E W 1 W E W d s x I y X n O u K t I Z E z i c Y A P A 7 p Q M I l f L M m Q j 5 U U e T R W k 5 r o w 8 f 2 n F 5 p I x h T 1 X d I w 3 e 7 7 x o C r 7 m 5 D V T M O N + 1 A K b E F b 6 G y G t S d 1 L g u f B 3 6 N m 9 M i 5 k L Q 3 V 2 T H O Q Y 7 1 5 x o 9 a P A Y x f L p y T d c x f p Z A f l l + e x c w I d k D U d R y C e g N v h R r W U R 0 k e e q 5 a g j d o x s S c D W 6 v t 3 c N 1 Q i r u Q a r E I u m E G + e 0 1 Z F W Q Q n V T w H v W r D E y L R K n X F Q r O L 1 + M W I m X F B G Q n 4 R e N Y p J j L o p 2 I z F I w M c x C y 6 K x m I z n y 3 Z 8 d J E S R 6 8 C J E c z z Y 0 q O n e v + + Q d k S 4 e u h Y 3 P J d n g r P o R l e I V p G 9 n c T r q c J c 3 K P l 7 f N 0 v E c j Z i D h O v u V / B 4 H H B O + L F s H q / v F Y U j W 8 i b l f 8 r h y P U U W B o u 9 q R b p S b v V c f 5 H V I 7 1 + o / 5 5 b y J 8 V A Z 8 K y g M T 0 0 + D 5 x U R c y 4 k 5 l d Q z L d o x q K E u y h S P h W o K I 1 M g b 4 2 W l Y k + W z R J r 0 o E B D N N 0 Z T U j 7 7 W M w c / g o 1 M 9 s b 8 1 d R E L L F e + g 9 + b 3 G B 0 G L w M r z J p H q + 5 5 h s K A y m I + U M V J 3 B S p i 6 i f y 4 h K I 5 V U U C 6 J c l x l q 2 5 o 4 q c M r j x H 3 B V A N D q n 9 r X C i h A q I a q a p Q 8 d 1 O 7 s n z P 2 C v k h K z K h e w R v H i 1 S 9 f 4 d u f n 6 4 I m Y e z U K z m H 5 m I R F / Q 7 S W E D g i p h g 7 g Q U x 8 U g Y O t 1 J M f + o 4 S j 8 u l W a k 9 R O R w E J W z x E c O E Z + s M L Y l 2 o z r A L d j I V 3 F q 1 w H 3 n O 6 y P j M H q D 8 N s b i 1 / v U v l A E D N Q M 1 y F D I R / Z C J Y A / T y p R q x g P x c z 5 + b M N X 4 s N E h R g U 6 m I Z 6 p U a b i p U w S d P b P j o k R 1 p M Q t 9 Y h 7 m x M 6 n q R c T E n I 7 C p m 8 9 c D G M z I d P x h 0 Y i f Z C 4 I e C 1 6 K p F G x i r 9 s X 8 f l o Z x S C r U W n f O J m 3 y n C Y p p q 5 v Q D j x + V M y 2 G S H S o t j z N P t o y g 2 L L 0 V C l c V E I O G e 4 X y C Z v 9 V M e F 7 Q V V M v k d f L 2 F r N Y 3 A q B N T l 8 a R r 1 n F t 7 V i K 2 f D l l I S Y u o f N 6 E G E f E 5 K h Q J x N e x y D W v J b p r N 5 7 t k J D m i p h 3 P H 9 i Q 8 j 0 9 Z p V v W 8 M Z j z D + c U F 6 S j 5 j H t F p V J B a i e F 1 e 8 2 s L 4 R x 6 U X p l G u l T A 1 P S G m v l h B Y l k c K 6 E o y D a z M V B 6 Z t B C Q z H 0 y r 3 8 6 E K o j I A D y l F 9 u G W R n s e s 7 O K 8 3 P f D D J o 6 h J A M L D z D 8 Y N D D 7 Q o Z s M V / P l B 5 3 G w 8 U A F C x E G m O o 7 e g Q 1 V b l c x v b y D j b v Z 1 G 1 p p E 1 Z 1 E W s t l s Y s E c F 6 E o Q i T U U R 3 0 g a M F o f q N G r Y D / d S j Z C w 8 w 9 F A n / a N 2 W L d t I e Y 5 W Z 8 u W J V z 0 I / m y t i 4 t n k / a i v o u T z s K D r s H E v h l K 1 p M h k c Y q f v d P j w O 5 h Y J G T r Z w 1 M h F N h N I 3 t Q X P n u E M Y s J f Q V U e m h g + W F V R 2 D 1 w m O K F 8 V L 9 L w N l I d H d T R t m w m V F N A 6 e H w e o t Y r F 0 v F F + c 4 k m V q A N 4 D k b + y s u q U R P c P p Y G 6 o r L J W x k W 7 e F o 8 o 5 Z W g c g h / R s O n B 8 X m Q i G 0 a 1 W y 8 m G z c 8 S n H J z 6 T u R + O z F G m 8 1 x 5 e e 4 e w h m r a o Z N Q h T x X h F i F v R l + b w Y y e y a C R Q 3 l s E O F J x 9 N Y / X b z 7 B C K g 6 P E s V 5 4 A / J F 0 9 n z 7 8 4 J G O U 8 a V A u r g z v R e T o L z W j 3 f O 8 E B x 8 l j Z 9 q E K y g H Q 0 i / h 3 a d i r X l h x h j Q U t Q T x T M i P F 4 M w e z h k c N K k o l x s p P f / 6 M 8 v F 3 B 9 u q S y V 0 L u m s q g a Q U m I A 8 C j P A l V 5 P Y e Z J G Z q U E p z O A a s 4 E i 1 s + d J c w 9 v z w 9 2 t g V + E c R B 8 Y K O l 0 m k b v X O s p Y 4 T T T T h d h K D y v z p W V s m 6 j + P G v v M E W j H z o q X o 8 5 a E O 4 z W M f O f M w a O E / l E A Z m N H H z D I W R i K S F 3 G c 5 h B + x O G 6 x O a 0 N g S 9 w I 4 + 0 z n C V 0 4 z w z N P y u 3 o T I 4 6 D Q 1 Y + V B 8 8 h A k 6 e J K h l m D l P M O m 3 e e J l N + g J l y c F W j E c m B / 3 c 9 4 d E G p B J h K N G + e 8 L W 0 b C c 2 H Q b l Y R j 5 b Q P x h A p W M G T V T F S V r B q F L X g x d D s I T c s H m 2 i M T Y W L 0 s f 7 + G c 4 A O M h 4 a a i 7 U O d K w E p D p n w n r I g A X p 8 u q s m V F K 7 b a z Z 4 G 8 Y 8 m b B M / 4 T z v z i 3 a 1 Z + / 0 K o u r t 1 8 m n 1 n K 6 T B A N G T B R g l s N W 7 q D 4 c v Y s z 3 k t Y V G p R Y 0 C 3 w k 1 s S k r w t h U N I 3 t + 2 l R S 0 5 Y C i 5 U K z V Y / V V E F s L w + M S 2 6 9 L e M 5 P v D M F j q + E H U y X 8 9 d H B U f 6 I p 4 q 0 m G q 9 J P k 2 g 0 S h 9 t k S H y T o r i r N x I m U F D y f s / v 9 4 G z l R T E R m V q j w Q w Q T n c o n w K p X p 8 p I e C s q n t B 3 6 p R S 5 F I A b l G h t C p w b q B R N p e T M B c s 8 L t 9 6 J S K i O 5 s 4 3 I p T D M c q O o d f r B 9 0 t D n W E y E Z x E 2 I p M B B 3 v H 8 4 V 6 3 / t g e T Q g Y b m R 0 9 Z I G l 0 6 h P z E 3 U w g d P u e y E T Q T K + M 1 / E 9 Q s l l Q X C N i P u G n 4 6 X 8 B z 4 p N 1 0 m L H A U 1 i Z v k b U 2 z 2 w J Q i j j n 1 Q i Z i 8 2 4 U b q 9 P 7 F f R Z q 4 S X G N W j F 4 d h s X K R O j + L + z 7 p a H O O K E 6 Y S J Q F e E t q e k j N H n o o N O n Y C 9 N c j A H k Y m 8 d 9 Z t y o c g m N P G F J t B + j r 8 T f b + F F o t b 3 k x Q T 9 8 K M 7 a M a O Q z 8 k z L O L d K 2 a 4 n T Y l 8 O u i k U a F R P 2 I P s U g F 8 u h U C j C B h d y u T S G x a Q b B J 4 R 6 g z A K / 4 L 5 + d s Z / f P z q U 2 o U b g P D L i Z 5 c L S h v w G O 7 h K 7 X P q g j V x c j e G I 1 u g 8 d U K 2 I q x t P I J v O w y j + b z S Z + h n T x c i 9 M Z j N s b j t s H g u S s S Q s w r z Q e M j 4 c p 9 I i g n J F J 9 E v h / R B l z 2 q p y P W U h a 3 9 E G D F l n 0 j t I x x 7 h 1 6 + P w W q 1 w e f z I p a 1 q Q H d f r T k 1 v 0 d O F x e F M v i K w m C U w E x 7 / o 7 7 3 Z 4 R q g z g H c u F p X 5 w s p L X y z b V B Y A / S U K y U h p B y N O M 7 I O K 6 p L U e Q L 4 i S b v P I t M 4 Z m X a j U c l h 5 v I h a q Y Z S k S F l u w h p G E 6 X D 2 W x j R x 2 j / T A S W T z m / B 6 v H A J g Q i 7 2 w G X X 5 x s M f t W v 0 k g k 9 2 S N k z w e E O o 2 r f h i / g x e n F Y + R G d w F B x 9 E 4 M p o p o x m J R 2 i l j x + p G M j Q i x B 6 M k B K c c 5 1 O i m 9 T f Y i 7 t z 7 H u + / 8 G O H h E A K B g N w r q 9 w / o / P p h i c f L m P 4 0 r i 6 b 7 5 x 3 s f B I S N a 7 x m h T h n t J r n x V D l 1 x L k t D 3 4 s i F q 5 h n w q j + j m E o Y v j M D h s 6 N c q C C 2 u I V S t o J K U T 4 v Z l R R m d B 4 A C 6 P C 7 5 h X 9 9 + Q C 6 R w 9 q D d Z S E 3 A 5 L U D T b j r R p w e R L Q f j H 9 g t g U c i T e p K F V c h e E V O s l K e P Z 4 Z V t K A n 5 E N s K 4 O S w w 6 7 u Q p H t i g a 0 I y q 2 I y F X A 6 R K 0 N C a t G W Y r 5 u y m 8 x z N 0 Y N a T C S B X 2 z p 3 v r k V y q G 6 v w e 6 1 4 9 / / 3 3 / g 9 V d f w / j k K P z + A O I 5 O 0 p y 0 1 b i V l V o Z 1 p M Y I + 1 g n K + r L b c V g k W i 0 V o W Y V 7 w g 6 n 2 2 k 0 P E A U M 8 V n h D o N M N I m M o g R T x W j / v Z h s n w i L 4 L k x L c P M 7 j 2 n A s O R 2 d t c R z I Z / L Y X t 1 B w D u M b D q B o X n D J E y t p 2 G 1 u J B P Z h G c 9 x 6 o s V A S I c 5 v F V C m 2 8 P p D V 4 T H F 4 H q s K a 9 Q d R F F J m z L 0 9 L K a X X U X a d p b E 5 D T L e z F R z Q w I C D E L 8 r z W o y V Y X R Y 4 a m V E / H Z U x F w t m 0 p I i Y n 6 p 4 / f x 4 9 + 9 E N 4 A i 6 4 T R 5 Y n H v O I s s I 1 D I 1 2 O Q + 8 7 G b X U J S Y a l n 1 H 2 o Y E M v K C S e E e r E w M A B a 8 2 x g C V n M F + K V D A 7 1 N p x 4 G n G 7 m z D E / Y h n U h i a C 4 k v f v x C E G v y E Q z s M A t W t L Q g n a n C 6 V S A f 4 L z L v p H 0 + + W o H f P Q 6 H W z o U I W M x m 0 c + n U V g I q A + r 9 a q y M X J R t G U X q f S L s W S f D 7 p Q y l X w c r d D Z i d V X z 2 5 Q 2 8 e e 0 N + I c C S k s 3 w u a 1 o W a r i P k q b D o B J F d S z w h 1 X G D E b U y 0 T y J v U c U / 4 1 k L 3 p g 2 f K V 7 m + I P y a m 0 q 2 f A h E u X w y 8 m X A K e i K e + 9 / S R j e f F Z K v A 5 n D A I t r S K r 7 d Y U G t F P 8 u p c Z 9 P G N O u c 7 e i M n g B A M t y V Q S / + s / / o p X n r u I 2 d k J e H 1 B l V m u H r H 0 P b r 7 i a b N L b P Q j w N Z M c 9 P 3 o Z 4 S k C r o Z P l Q C 3 E u n + J r M k Y 3 R f u s K I S x 1 A 4 0 N q O T P S L L D U H 4 h u b Z 4 p M h D v s h H f E A 0 f A e i Q y a d A E d I / 0 R i a m A i W T S e z s 7 C g y R b f T W F / f Q M p x Q b S 3 S 0 V E W W f + m 3 X r L p m I S s 0 o E H o S f W n h m Q 9 1 O P D h M e O a B T u Z V 9 e 4 j + A Y D e u j a y e b 0 T p O W k w J s X 6 6 Y I S + W 6 F W E V / i S V r 8 D C C 0 Q L + k A 2 P P O + R R Z N Z L s P n E f B T T r B N K R f G Z 0 i l s b m d x 6 + t b W F p a l g 6 q i v n X / l 7 8 p i C u X / J h I 8 m q + i b M i B k 9 2 q C R F J n q 7 1 U n W H 9 / H N h + n H x G q E H j 8 k h F R Z j 4 U 6 r i q O x j O J c D s f S f W L u 8 H R J i g 1 u l t 7 V 5 a y o C 9 j S j W q o i H 6 v B 4 i s r T d U O N O / W o k k 8 W V 7 D z R u f Y u E H P 0 b K P K I 6 r a z c X 4 f D i V + + Y M H 9 q F U N Z D e W w z 5 p p M X P P L r e f g a l c a 6 J G U e N x T L O B H t D 5 p g x L U h P n u x E J q K c F s 1 W y D 7 1 Z C I 2 b s X E R M r C 5 u q i n U p M d 6 r g g / c / w D / 9 4 y / x 2 p U Q f v G c A 1 e n f H j v e R e u T d p V R V + a 0 K d J J s J s M y p k P c M h w R o H z 4 + V 8 d N L B U y G K n h 3 o a h W g j g s G B 4 2 1 f q s a 3 U e I X J v s V p R L h e 7 D h x X x G 5 m A Z T R I Q / s d j v 8 P j 9 8 H i t m I t J 5 u c 2 q x o S u n X j a q F T K z w h 1 F I T d N Z W M 2 U U m e g d D f 2 o N j q c c o r 3 N a l y 1 c 5 I h s z A y u R w e P l 7 B 0 P i c 2 m c 6 w 3 6 l u f p M Q x 0 J T w Y 8 6 7 V q 4 m p 4 Z 6 O 3 P W 6 4 f B 4 4 n A 7 x k d p c r + x O J t L I F m v 4 y 8 e f 4 / V X r q k 8 x O M a l B 0 E 7 G 7 7 M 0 I d B V y p c V B x D v b G l q r l Q M b B Y X C Y O V M n j X w m h 3 K x 1 H b o g Q O 7 l W o Z N z 7 / F D / 7 6 V t w W k 3 w e g e b e z d o 2 D y 2 7 x G h j i n C N y i F k t v K i w 9 l h y v S u Y R w L 2 A J a W Z / n 1 V w e M B h d 8 H i M b U 1 4 R j d o 5 p a W 9 / A 7 P Q E n E 7 X m d Z O G t 8 r D c U p E o w G s b j H U c D H S j l 4 a 6 4 0 M P + p l C u j V C g O J M L H S X + 9 1 p w 4 D Z T y J Z W v 1 0 k b M 3 O + W C q h Z r I r I r G I 5 H n A 9 4 p Q F n M N k 8 G K G l z t N T L U a k o A p 1 h z b p L X P r g A Q j l X E + H Z X 0 b 4 a Y S a c n 4 / j W Q s D t 9 4 + 0 y Q U r m I 2 y v y z B w u Z V y Q V O V S W W 1 s 4 6 z i e 0 E o W g o O 6 f j H / d X d k f J e q M C B w h / P F 1 W B + R F v F R M B I / V B j y s N E m Z V O + 7 s m z R H R f T b L Z U H O H I t U t / T G n f X r d i M R j E W C S p t x f A 5 i Z R K p 1 U Y X Z O L S 8 y c J X w v M i W 4 p M 7 C c H m X E M R O z o x 0 3 q R W K m Q G Q 6 t O j x W B X p / e 0 x o 8 5 g / 3 H G q p m 2 u j J T W 1 / M t l m 1 o L 9 / l x o x j 9 Y Z F Y Y r 0 3 I D T t q + 9 5 u s C g S + J J W n p w K 4 q 1 E k r h E F b r a 3 V x W j 1 X x t f P o F a r I p + I Y v H W 7 / D K i 1 c x O j K s B n g n J s a Q T m d g t 9 m x u r 6 K C 1 N T u + N Y v U Q A 2 X x S n j t / j 5 M 4 j 8 M l e + o J x Y l q F 4 I l t Y L 7 b n 2 6 J v A G s 1 r O v a h 1 X + y C f h L X Y W U O n s t W x b 1 N m z q W 4 H O c D Z f x Z N s K u x D 2 x c l y 2 8 q l v S C 1 m h Y f q o r w n L + + 5 + l B I V l E e j 0 H 3 0 g I t + 9 u I x 6 I o M o 5 I C 3 A b H L W e C h k M 7 j 7 0 b / g n 3 7 9 Q 0 x N T M L r 8 y j C k J j c q K W i 0 R i S o r E u L 8 y r z 0 i q T r i z Y V X l 1 / i I W U X q 5 a n B m 9 j H Y L y c L L w i x P 4 G Q X a K z 8 O / K d w k x B Q X U B M i t S M T Q R O O d d 6 a / S X 2 m F x v 9 9 G W B b f X 9 8 j E d C J u q a J Z L a / y w 4 t F t d D 0 U V C p 1 A Y S M j 9 r 4 A z g q t y n H e m U / r J a R S w 4 0 p Z M J E o 2 m x J T r o C H N / 4 d C 1 d f w n B k G C 6 P E 1 a b V V U i U q 8 W i 8 q a m J g Y h 9 P p w H Z 8 R 3 2 X Z O w E B q T e n C m q E m T H d a v P v Y Y K C H H m I m U 4 6 / W r + a w o 7 C Q D k y e 9 8 p 6 z N 3 s R e F b z + f g x c 8 P q O 9 r g 6 k h Z L W A 9 S G w / S K F S r i F y 5 e n R U A x 9 J 5 7 k s J W q 4 L G T P l N 7 G 4 s 1 I 7 I Z u Q f F I r 4 V z T S x 8 B p m Z 6 b x 9 o J d k a Y V 2 H 6 5 U k Y q l R b t Z I X L 5 a o X o T G I R a 3 V z Q w c N M 5 9 l 5 h Q q 9 T Z c X + L 5 b N E 7 Y t f w y z v W 2 t 2 5 S M R v W o P a q h X e j A D 1 l K W 3 a k a g 4 L F I b 3 v 8 V f i O l F s 3 U 2 g L D b 3 E 8 e Q / N W B T N R M 6 Y S Q K Y f b H / 4 P T F 5 + H c H R W e R N P h R q 7 W s / 0 H + i t n I L k b Z 3 E q q d o h B S B S 1 k o 9 / F j f v 0 6 3 E H M Z 4 a G 4 N Z C z e E W H 9 + 6 M B f H j m w m T b j m w 2 7 m r G p p l H 0 q I c 5 b 6 l b F C 9 T M K E w w H W D K 0 V h J 7 V o 4 G x l m X N S 5 G H B e V 3 + 8 S F 8 n X a j 1 s b E I 0 i C j J C p X C r i 5 u / / O 2 Z e f A + B k R k 4 n G 7 R N g 5 8 t t R 5 o J t m M k 1 B v i Y T K d X e r W + + F T 9 M y H n 7 r q q 9 t 7 G 2 q Q g V 3 9 p W h C L Z W p m H 3 U z G X v D U E I o g a R q J w / f 3 Y 1 Y 1 o N t N 8 9 P c e x S 3 Y E O 0 D + f a d A J 9 q c 8 W 9 3 y q o 4 I z P X m u r J 1 w l r C V s U h n V P + j T 7 g 9 X q w / j q P a Q e 0 y t U i R q V z A r T / 9 M y 6 / + Y / w h s c V m e x 2 4 1 7 w v n R a 9 J w m H c n E S K D N b s N f P / 4 E z z 9 3 V Z l + z z 1 3 R d q x Y W R s W I 5 h V S U j k K F J R Y 2 l t Z b W b H w 9 C p 4 q Q r U C q w u t J 0 1 K g z W D I W 9 O T L u z a c E n T + x 4 I O / v y v t k Q / m q d q B f x h p 6 g 0 A 5 W U V N e s f T L s T S D G b S d 5 m u 1 B b 5 b B r h U R c s b U w s a p J c J o 2 S m H k P P / k / W H j r H + A O R O B y + 3 b J p N H N v L Z a u Q q G W C F y D 1 9 + 8 Q W l a b i P 5 i D 3 M 4 D B 2 c 8 k X T A Q E F 8 t h 5 W V N T y 4 / 0 g d a x C q h G 9 u f 6 v a K 5 b K + G r V q P v R L 5 7 6 s D k D F G / N F A 5 o q O V t C x 5 s W f D 2 X F G t S N G K c J 3 A 7 z H b o k 0 q W k u w B 8 x l s y I 0 b v X A N Z h x X c 5 V Y P f 2 P h e q I o K Q z W S U I 9 7 Y V r + g Q F G 4 0 + L Y e 7 y e I 7 X V j P X b O / i y G o J J B N t i O d h u s Z D D 8 r 1 P M T z 9 P H w B + l m t 8 Y v L + f q 7 z m C m f i 9 l A 3 i 9 m k g 0 B f k 3 V 3 K n O i T 5 P l 0 N I u y p q Q W w + + 3 i n n o N l S k a 0 9 C b c X f T q m Z 6 / l V 8 r n 7 J x C L 7 v N F / e W j H 7 + 4 6 9 m 3 t z B M + P N r 1 J F N z 5 I l l g E m Q Z p C A e j 9 f + T c f v o Z N H v 5 R w T a z Q n K 3 5 3 D l w N o h t V i E Y 7 y G n 1 z M I F h d k e s / 6 J B V y i U x d 1 N w u g a T R d 5 r D Q 7 e f x 1 6 9 3 g 8 a v O J i c q / S a y f X i r i x U O Q i X j q C U U w K N E I h s W 1 W B 7 G D 0 r l j V U y G l c d n 4 9 U 8 I P J k v h r r R U + i c C H m E w Z j n M z 8 v H 8 b o + p i R T f i m N z f U P 8 j D T y O e P z t L z n K 3 + Z J g 7 B 4 / V 3 W r X d D v z O 5 s a G 0 n L 8 X j P R D 4 u d R S H J u A k + H 8 0 3 O 6 5 f G c K s L 3 G A V D Y x 7 a x 2 h 1 x b q r 6 n N f q 4 p E N B E a w e 2 M i I 1 i 8 U C s Y H h / j d 7 w W h m v E 3 8 Z c G A S b b M k n 2 F 1 c K a j p 8 p / p v N K U o X P Y 2 K T K M 9 F H A + d l W L C a m Y Q 4 + v w + j Y 6 P i p D v h c N i V o 0 1 S U v g Z v c q L x u N x N F / 4 3 b S Q l Y T j + 2 7 g d / L 5 P M b G x 9 W 5 6 b Y H g W r e W F e J J b / 4 y v b n x x w Y s e / I 7 + 7 5 V F a b H S M z L y K f 3 p G / 2 k t v i 9 t 1 L H A 4 H A j 4 / Y j H t 5 X W 3 k 7 s q N d + A h X f C 0 L d X L E h n j U r 0 + 6 r V d t A J u A N e S p 4 b 6 H Y l w 9 F p J O G h l K a S D Q N 3 3 O z 0 n w T m a I A D k U i a j C T m o O 9 J g V S + T Z 1 y W I v y o F M n z x 8 k o 5 E p T B Q I 3 Q D y c Z N + Q 5 C K k 2 i V i Q / D P L J A p x D R j D A L + d H b U r w d 1 6 c c c J U J K n 2 O h 6 r n P f a g y 9 Q K v T m J x 0 n e M 5 u M c m D w Y C 6 x w 6 5 r 0 n x L T e j M X W / e s H 3 g l B c D u b G k k 1 F 9 V g M s V c w 8 P C e a C D m A T a j V O n / 1 l G o I i P D y q S g G b P 4 + L H S K N Q U N U 8 R h b R R 0 H 6 X Q E 0 w y w P n 5 y S C J p o G h a E q j b K 9 V u T Q W o z F I j W J W / l z h 4 V u P 7 9 d g S v s U O 2 z Z + d 5 E v w d v r 8 2 w X z J v f v J E L n D 7 Z d 7 k K 3 v O X 2 w I 4 t I p 0 Z y + X 1 e e L 2 e 3 e v o h u 8 F o Q 4 L R g i Z X P u y + E Z c w p + r O m g k + 1 w H i a B Q k Q R 8 U H S g 3 W 7 P b r p M Y M g P U 6 Z 7 j J o r W 1 A z N T 9 g C n R V f B Q K Q i N J q C E o 6 C Q x B Z x a j O d A Y v L v R m 1 x W G i t x w h m o h T D 9 v a 2 2 u 8 U U 7 W R 9 D z n s e B + s 9 J q t W N s / h X R U L n 6 n o N Y 2 j 7 Y u R w 3 e A + Z 2 s S O g d q q V 7 P v e 0 E o p h S x 1 F c z u A I 6 y 1 A 1 f / b 2 b F E R q B G U 0 a G m u n p y r w 8 F L f C R 4 c i u R q K w O Y c t 2 L g d U 5 + 1 g 0 W O 4 3 e a Q W I w i l i Q B 0 + 7 X w t 5 P B 5 X 3 g l J q 8 m r g h v i b 1 m l H a 1 Z t G n W C R Q u 3 S 4 3 f p f f S 0 l b P H + P 1 w t 3 M a B M v U 5 w W S v y 3 Q Z f S k i 1 e O v 9 t q S 6 G z 1 5 Q h F 6 j V 2 O X f H a e V 8 r X R Y V f u o J R d n 9 w W R Z 5 f i 9 e s G w g 5 l t T J G + O F T G f M T 4 j I G F 9 x Y M O 5 7 p L q 0 G 9 c Z 9 + 2 9 m Y 5 S v b 8 i J K U F u 0 B A m D u z 2 6 5 Q 1 w G w S U o p P Q s 2 g E Q q F F H F I W k 1 k v q e W 4 w q G 7 H l 5 H t R g f O 0 E k o d C t b W 1 p d 7 r 7 5 K k F D i 2 b 2 V O o r S v t 2 a Q e F O + r D p e w + X 2 w u E J y T m 0 1 1 K f i 8 l + G u C 1 a f B 6 Y 1 s x Z V Y 3 n n 8 j n r q B 3 X F / B S M i + B 5 b b d / q 4 M 3 g + B R N u m b w P v 3 l k V 0 F L k g 2 a r B G / P 4 e / Q M R S n N N V Y L l x M L D z u D l A 6 I Q N j 6 0 1 G I J v u n + h I f C z Y g a g x P U Q q 0 E u R 0 o G N y U y S i b I o V 8 X 5 O v E S R P L B o V z c p U H r M 6 v i B 9 l N N u Z H V X i / K 3 + I G e L s v H 5 P I F f P D I I 5 p 2 7 z y T O 1 F U p f 1 g Z L y + 5 y B 6 H e A 9 D t D s W 1 x a l v v r V J F A B o G 4 8 T 4 0 3 q u n R k M F 6 i u a c 4 x p 2 F P t S C a i F Z k I 3 h s u 0 c k V M h 7 E r K J B j I l p f 3 4 g W k v e 6 4 6 J i w R E 0 x b p O b u H 4 C n w 3 J p / k Q + D A Q k G E z T K l R z 6 q Z m g 2 p X v V 0 Q Y 3 Z 7 + M x 0 o D D w P Q p 2 P m I 0 k S i P Y P s n E j W S i N t P E 8 7 i s i G X t y J U t M I n D 2 S E P d h c 0 W 6 V V 4 4 8 6 m G u 3 8 f g r N R e q H T Z T B 0 3 d k w K v d W b 6 A k b k + u k D Z + U + U V v T 3 O U z 0 D h 3 h G p X G C X g q i i t k S 5 y A e T D m 0 0 a Y 3 7 j d / 7 4 n U M t S 8 M 2 1 1 M H 2 + U g 7 2 e L d j z c O i j I v N E U Q i Z k k j i p Z H J X M D V 0 6 F z D 4 b c h y 4 X G u k B n T m x u b q I g P X 5 4 a K g u q I f D L h G F K I q g 9 X P n K z e S i F H G Z C K h e u b G X p k r z X N i J x e 9 L i S 6 j 4 E x I G P K b + 8 j r s v j g 9 3 p N V Z 6 b 4 P l x O k R i t d M I n H j + 7 C Y 0 v R l Y 1 v x + h E G z g 2 h t G v B 8 l h U / d c v 7 E V d r o 2 W c X l Y e k 9 v V f l H r S o V 9 Q t m P B h + V Q G u u j a 7 v d 5 a G + 3 k T J h u M e G Q g k l T Y W i I i 0 i 7 1 M O g E C 0 t L u 0 S y y e O f C M R C t u 1 l u s l U W l R + 1 Z E M x I M n V P Q h 6 X H H F Q O H t u g y c h 2 l a 8 U 2 0 I s F l P n S S F i h N E v D r r W a I 3 Q 5 d Q c 8 v 1 e 4 L V R E + 0 9 J 4 v F h v D 4 f E c N x Z X i u 0 3 + P C n w H v D 5 M u H 2 X J p 8 F C i e 9 n O j R m B B T 3 s P i q k 3 G T B 6 x R f G S i o H a x B g n h / 9 J c 7 6 v S y + V M M 9 a w l m T b Q C A w T s y U g a C i z 9 n A t i O h D 8 u z F i R 1 O v V S k x z r 1 i h 8 L g i f 4 d P k w d I R w k 9 D m S W C 6 3 S z q D I e X j c T + F S L + 2 Q 6 V a U h W K O o H n P R J 0 y j X U d 9 R h t t q Q i C 6 q u V H N G P G W 8 f o F o z D O W Q G v g 1 W Y a H 1 o 8 + / c E I r g / b + z a T j s 7 B H p B 3 k a 6 k k M E s z x 4 z w q P v S b q 9 I z 1 3 0 0 3 R M 3 o y X f h I W 8 0 Y 0 + E k G h 1 F t j 7 5 Z a F t N t 3 l h j V o N f Z d W m R m j N d 1 z Q f h V / h 2 g k f S O 4 y B m x l e F i Z w Y 8 I 0 4 k l 7 o P 0 l J j G 0 9 0 D w 6 X B 6 V 8 W s y + / d 9 n j m S q w E 5 p / / G n D X a W E e l w C F Z j I s 4 V o Q i W / d J Y i J R U C t C g Q c 3 E T H K a G J w n R S T q p Y 3 b z c 1 h 4 E K D B F L + h 2 x M W W k k T U c 0 y U t c r n U 7 Z z 4 Q S V f R N e k V O 2 m K f k H y a D O U G 3 + D J m o 6 J z 5 U / Z q 1 4 m F A Z l H 8 y t G 6 n z n k q a q q U Y n F r F q V M D j X O X t 8 L U k t y N 6 K Z i t / y 2 j Y Z r M j M D q r s t A 1 W G x n W J 7 x K 1 O M i N Z 3 H i M 2 U m a s J n t X g + w U e Z 8 i k S E 4 H c 7 z Q 6 i g y 6 h k V B A T 7 M N H x i x Q + k w s Q D l I c N J g v W P u C y s N D n N V f J D 4 V k z 1 7 E 7 v U E f B 5 2 / l y y Z V q i z h l t 7 9 i R E a j q Z N C I u g s n 5 c M y j 8 j O j 1 T N Q e w D Z v L + X w h 7 s 2 / O E O 8 M 3 j J L Y S e X h d 1 A y G y U 1 z i 9 P / z a Y a p o P 7 O z L W P D S b r P C M H Q y 5 8 3 b q j T O o R 3 1 y X a 4 K 3 p p K 4 / r Y D l y V T U W s m h C L Q x B b q 9 8 J q Q 2 z L y j H E d 1 m U Q 8 K 5 H k / F Y H 5 / N j B 8 B n n t w r n h 1 C M 3 q U K x u n S 1 E v 3 M K u 2 H 7 D A P v P 9 W P S y E b 3 + C m / s v n l V d a G 6 v e l q 2 w b L k 1 E b f v j A j r 8 9 s e F u 3 I E t 8 V e W 7 y Q Q 8 X Q W I B N b H T C h q i Y 7 a m Y L z H Y v 1 k s j Q g A j d 5 D Q W t L j a D 2 p M r e T R 7 l Q R K q 0 1 7 F Q w 3 P q D A 9 n + h 6 D e p f E H 6 X p x p 7 d 6 3 E I Y a 1 4 + 4 o P r 4 3 v y E E V e E p r y C Q 2 d 5 N l W X j n J M G x R W 3 e 9 w I e y d o b x U w R Z e k E z w 2 h m P F B D c V p 2 b w M b 0 N e 3 S C w I W q e G e n N Q 0 D 9 / M p N 0 W 5 f i 7 / 1 4 U M H w u E h J Y x v z b b P A W v U a h o P U m 7 p I T n F o 7 6 j D b h q B U 1 K b a I d B T T v K m L X x V L M d t g T i e V Y 7 1 W C 7 B 4 5 Z z r p L G A j G p f m K r W N r i F P J d 3 s f / L + k F g M x b M U W M 1 k Q d p 5 E b 7 Q u J o r x S k x L 4 w d 7 d o O A w 7 q 0 + T v Z a 6 c C h Z V S k i v F R C 6 5 D l f P h T N u 2 1 5 U K + I k z o o U A C Y 6 M r M C Q 3 H I c 0 L f o s 2 e L l m x Y e P P a J 9 n K r k c 7 H c u r 1 2 0 0 i i X D i A K q 8 D S A B m W v C 4 + N b W k U h F Q v 3 5 g Q U V K 1 e e 3 x O J i y O G K d M L O A Y l L W F S O j w O W 9 B c b R f A a Q T b 5 5 V O j U d Q y K U R e 3 I L o x c u q b l S j 7 a s y j c 7 a X C t X g Z C e s m A K e f L y E c r C F / y K X P m 3 B D q R 3 M F 5 U e 9 c 7 H 9 O E W / o L P 9 t 8 f 2 3 c C D 1 g r 0 0 4 4 K n U P J 6 k h / e X S w m l E z X R o 1 U s B S R i n b n i D K X P J 5 V a S M a 9 V y U J e a 5 C j a a s h 7 8 J p N Z m M p m V 7 B 2 o J c + 6 k d S H 6 9 a f A 9 k 2 p 5 3 n z P c a i Q x 6 7 G G l + d L N Y t k p N H L x Y Q l y B K r + b h m 9 6 r 7 H R u C P X t p q 3 r K u o a 9 K + Y w d D w 3 H b B f a z 9 w A w I V j x q R K v j B w E S l z 4 a Q b + J v / 1 H 8 Z 0 a o X / 7 Y j E G 7 4 h D m V C d w K y F 3 U 1 6 e e 3 r a M H s B y T o C + M V 2 K v J / S a e p X t a 1 S 7 k J 8 s i Y O a G b p 3 n w v a o A f m e 2 R a a + D o Z l + f K a R 8 8 h 4 A p L r 5 T W q 7 F + D 6 1 3 F k F f c Z C v I r g R a + 6 P g 5 j n K t x K N r k 9 E 1 u r 9 v w 6 W L n B 7 3 K E G 7 e g s f b n C 4 u D q P I C B 3 k D x 4 w Z c b I g q C Q L + 2 c n D n x M G b F r T X r b n 5 g s 6 9 G / G g q L b 1 z F e 5 w f / X 5 S C g K p H 6 / T 9 3 1 C B L y n c s k 8 Z 4 Q c 1 n O X k G n 3 O L e E y c S p S Q m K Y W N 1 Z l I I O 7 j 9 H 5 q P f 4 e h T C 6 u a k G j v n 3 q 5 f C c N m t G P e d / u z d T k g s p V F I V u C d 1 J a N U Q g o n z 9 H U T 6 C 4 W W O E S Q Y Y h b f p B W S q p 4 B s C M a 6 k H M h v f v c 0 z J I T 6 C Q 0 V j a N 7 1 E 8 U Z J N a 7 j G 9 U 4 k D o 4 v 6 B 3 V 7 A c S / 2 / B R Y E q p / O h l C o T Y h k R 4 X 8 j m N f b 3 A 7 r W j k j E y 1 n k e P J + 1 9 X X 1 S t O U 5 8 U M j O G R E U V + b p w 3 x b 8 5 j s P f c T q t a p g h m S 6 K 9 c A i m 4 e 5 k u N F a i k P s 9 2 E 4 P T e Y n E 8 d 0 6 R 4 Z j j u S J U I 1 j h t R l 3 N 2 z 4 R L Q X l 5 j R w s t I D T W C B g M Q / Z Y N O y k 0 m k u 9 g m R S 4 1 7 x u D K h j o r L Q x l F i I v + t B K S X s D j + d v l K g v 3 G 9 n X 1 D 7 T 0 9 M q B 5 D a R 6 d g K Q 1 a h x J E I Z b e x 9 f L C x f x / k d f 4 t Y T r g B / t g i V X B T T 1 G e C b / T g y o u 8 T t a i O L e E 4 k j 9 H + 8 7 l b Y i q H O W W k S E X p r o b e r y W U D j Z M N e Q T K V y y U 1 k b D f u V C E 9 m k I f n d q y I 6 g s 4 L x g P h D D c L f C E U e 2 f Q E Q 7 b B Q p k k D P + m l m K t O 7 a n t F 5 9 6 w Y e / 9 J 8 C G P z 1 7 G 1 f B c f P z Q 0 p f B V P W v W r D 8 t Z F a L s P n M c A V b n 4 O + v n N L K I K a h / 7 U 7 + 4 5 W / o k n F I Q 6 C 3 5 + d j A b P V e U a 7 2 9 z h U H T 6 5 c M 4 l O i y o X e j H a C I Q T m s Z O c 7 T a k F w H r e + t q a + p w l H r c R E W r P d D L / P v 5 t M e x i 4 x J z y u J x w B 0 f F L 9 s W 3 9 O M 3 3 / n V M + a J i C f t d 6 2 s i e j w X b u Z 1 G p F e E K d f Z t S a p z T S i N 1 y 6 U W p o H 9 L k 4 M f C 8 I J 9 I 1 9 / 1 B k 7 h W F 9 f U 5 W M 2 m m T T i A p u I X C Y U U e b q V S G S F z H A 8 3 9 o e r S S R u + n g S h h u 1 k t f r V d r K M 2 p H Z s 2 Y f H h Y 8 L t z g R T c v h D W H n 2 D m 4 / a F 8 H 8 Y t m B b 9 b 6 m 9 3 c D 9 h Z r d 6 I w e S u w D / Z v b q t 6 m T q 7 8 8 l + N i Y 6 8 Z 8 L 0 4 C P I t g i L x X 1 M z 7 h b g T t I C 7 3 B 4 x u a p Y E 6 1 B P 4 p b I p G o H 9 U e J A 9 N N U 4 9 0 G R k J I 7 1 / j x u h 6 r 2 y v 3 a J O R x f E + B p 7 + g S c N 9 J D T N T a 5 + I R e h 9 h 8 W J O j F y Z C a t B i Z v o Z s s n P R G q 7 V x c H 5 Q Y N T U N L L J Y y + F E J g w l f f 2 x 6 8 n y y S c 2 4 J F Z Z e 4 / q F g h p A Z c b B S u J w J s Z Z g i q t 3 G s A U g Q 6 m U j i z r f f q n L K F P 7 l p W V 8 9 N e P c f P m V 8 o M a w e l i U S j c K a v 9 r u 4 8 T 0 F 2 u M y t D r J w s g V j 9 d B B a L Z n K O G 0 p + 5 / A c d 9 n 5 h s 1 n w 6 q w N 9 t Q 9 O N z d o 5 6 f L w 3 W t y q k i k g t F e C d s q k S z b 2 A 9 z / A y Z f 1 v 8 8 d Z s M V t W 7 u G z N F P I g f D 5 l s b e q U H w f Y 4 b v c c h 0 9 d r Y U 9 M 1 o F N M z M 7 j 2 3 F U V B L h 3 7 z t M T U 0 g F A y o q f H U V I 0 V T 7 V W U 9 q J J B F f h e S g M O i N m o f 7 a M L p o p g k C z / T x G s G U 5 / Y J l F r D K k e E j w H R f q a F T + e 7 x 6 5 Z C S 3 2 5 B E r + A Y U z Z W R P C i W + V L 9 g N 1 L + v v z x U 4 4 a 5 x W s N x F e / g r N 3 j R t 1 y w k K k D F + Y 6 9 C 2 h h Z Y a h 6 W 8 V p e W l E m R j A U l A d p U 1 r i 2 r W r m J i c F N P L o R 7 u / / 7 X f 8 O X X 3 y p j t M g U f h 9 j g l p r d I M 7 u f n H C f S x 5 F Q 7 U C T U 6 O Y y 6 B 6 m B U Y m s D z 5 0 q G f 7 2 9 A 3 s p i p c n O t f Z Y C Z N L + t 6 d U L 0 d g J W p w W h N v O 5 a F q 2 C n 4 1 4 l w S q j m D e w C d 4 q l B 1 7 + Y 8 J W Q j E X V + 0 a w C m s s G s P q 6 q o i w p 8 / + F C F q I e G Q l h Y u A R / v Z 4 5 B X 5 s f A y / + 9 3 v x X R z i q a a w t / / w 3 9 S p a 9 I K J Y Z o 7 Z a X 1 t X 0 9 r b k Y n Q W o r H d D p O w + / f 8 z H 8 0 1 7 E H y b r f x 0 e / P 1 X Z 6 x 4 f O P / Y v n m v 8 F a T u C N 6 f Y R U 8 r A J 4 8 P H 4 D K r 9 c Q m v f C M 9 w + L O x r M 3 W l E Z b / / F / + 6 3 + r v z 8 X u B C s K I d V g + s x c S D 3 v I K T 0 5 j d 7 N 3 a R n j e j 0 Q q q U w t B g g Y C F B k E N O N k + 8 + + + w L / O i d t 4 3 C L G L i N R a 0 J E i q u b l Z V W 6 Z g Q N + P j o 6 g t / 8 5 r d Y W V 4 B S w t P T k 2 q / T q o 0 A n d j t F R w k w 2 q / w v r c U S S y n 4 x l r 7 U t r k b N Z 4 j e Y o 2 + Q r 2 4 w M D 0 l H E l f X F f Q 5 V Y Z M u w w K n u 7 F p j q K 3 c D f S i + V 4 J k U c + 0 Q A + v N O H e E I j h F g O D N / e j x 6 Q 3 2 D Q q s 2 F R L p J A z Z f C n P 3 6 g U n E + e P / P K n K X L x S V M H H N 2 t n Z G T H x Q m h X L o y 9 O s l C M 0 2 D Q s m M B W q s b 2 5 9 g 4 m J C W n f p b Q V h a m T K d c K / A 6 D F T Q d a X 5 y 7 S r W z W A l W h K C 7 X p H 3 S i k i 7 D Y L e p Y k k N v 2 6 I p t 0 X T M s O c h O X G N r k Z U U a b a p t r Y 3 E R O C Y 5 J + J R z M x M q 2 t j I V O m l 7 F 4 z g G I s m d h 0 h 7 6 C g X + J h e G 8 0 7 Z + / a X 2 u H c V Y 7 l z f r 5 Q l 5 N z v t 2 o 4 c x C L l p Z x 1 v h u J 4 v P w Y F V M J M 0 I a E o K C S W F n d V W P C B a F l c L J z 3 r R L s 1 g e z T 7 P v 3 k M 7 z 2 + n U 8 f v x E a T m S l K + 9 g u d A 0 z M c D t f 3 G C C x u J o H s S 1 k S K 0 V E J g y o o Z 8 A j x n + m Q k D a + B q U k 6 q k j B 1 t f E a + a 5 a r L x u j / / / A v 5 j g 1 X r l x W p M p X n f i 0 V W R P 2 n l p o q w q B 3 e F n B T L D b j H r b B y I e Y B 4 V y W Y u a t 7 + m k z z y Z a r A h j + d N a d z Z + A r X n r u m / J t W o G C x d 2 c Z Y P b i / Z B K a w c K L k P t d + 9 9 p 7 R e M p l C I O B X Z m G v 7 Z F Q L N j p r a / i o c H 9 J I f + r W K 2 h N x m E Y F Z o / a F 1 k K s T K u J x 7 8 T c k 0 s N 8 s 8 O I J t 8 v u 6 Q + H f 9 C N v 3 b q F a H Q L k a E I r j z / A u 6 l x t T C 4 f s g 7 b U q n 3 0 A I h b p l R I c I R N s n s G 6 C 0 / 3 o t V y g 8 8 y M p k k y s u f 4 8 p o A P e W 7 + G 9 n 7 2 r c v L a Q W s p E q p X U 4 3 f o Y D S F 9 M R O 6 5 + y A X d a K r 9 7 r e / x 1 t v v a n M K 7 b J Y 3 k M o 4 a t f o P t U c u o w p c N h G q F 7 F Y O t Y I N l V p e Z R q Q Q E Q j e X k 9 3 N / c l t Z S 3 M / P a Q b y d + / c u Y v 5 + Y u q 4 2 H 6 k Q a n 2 o d c F V w d L X c M H H D 1 j P x G D c 5 h k z J J B 4 1 n h D p F U H i v F J b g m T L G g p r N q G Z Q m C l o m h i 9 g N 9 h c E M H I i i c 3 P i e b T C z g k G Q + w 8 e q v V 8 O R O 4 W C j h 3 f d + c m C t K Y L t E b 2 e B + e i b S T M c G 5 s I T A W g Z 3 V k l o I v G 5 X g 9 q T P u T o K B c m s I i 5 m l B a 7 D e / + R 1 + + c t f q H s V z 5 o Q T V k w 7 K s K m e r D C g X x u c S 3 Z u S + W V O R 4 L m t M o Y W f C 3 P Y R B 4 R q g O 4 D 0 / z p t j l t 7 5 9 W A K v o n e M n g p d N F o d D f s 3 Q + p S r L Z p L d n j 8 + / G z U C t R d J R / J Q 8 9 y 9 e w + T k 5 M Y H m 4 9 L q a F v 5 u G I t Q j k B v J e 0 l t l F x K I z R 7 M P u B b W 5 u R m G 1 G A s o c J 3 b O 3 I e D H a 4 R Z s u X F 7 A Z 5 / d w E 9 / + m M h V v A A 0 Z v B S G A y C 4 S d c t 0 O C 4 r p I r Y X 0 x h 9 r n O n d V Q 8 I 1 Q H v L t Q x N 8 e 2 4 5 v o p u c 3 9 u B F D z j v U c q K X j U K l a L F X 7 x f 0 i q S o 0 V h j p f K 7 9 H g e 4 W 1 C i K O f j 5 j R u 4 e v V K W / N T t 8 X f 1 p q u V 6 T W i n C H p T M Q I W + E J i n b Y 4 Y H Q + V e j w d D k S G 1 j x u J 3 8 s 6 w h w e 2 P o u o e p t Z G Q b s t t Q k 0 t 2 q 5 q B 9 Y O O C U c P v D / F I J m O t S 6 c P N 1 q 9 8 y a f a B W 4 K L W J B M j Z e z N z a j g 8 R Y n V b Z + n N r M Y y S O R K C p 2 Q 6 l c k l M r X X 1 n j 5 W O z C 4 w N 9 n u / 3 A N 2 5 H d r O C 3 P b B a e 4 M P m i / b W V l R f l 1 7 A D 0 d J B u Z O K 5 7 D x O Y + d h G u G L f l W J a H L G B d u I + I 2 Z 7 L G T i X j q C X W U 4 Q V q p i 4 r Q B 4 Z x W z / E y A 5 D k W t w L E c O u o k y K i / g l t r N t x p M Z S g t Q h X z m C O H 7 W B 1 j L 6 v S Y Z j 3 v 5 5 R / g z r d 3 8 f F H f 1 M h 8 m Z Q u P n b D H s f B r 4 L o i X F t I v d T S E h Z p i 2 q 0 k c n g f D + M y + o J / W C z j N g t W H S C b v m B P h B d H c 9 Y A D n / / 6 / Q z 8 U 0 d P 2 u 0 F T y 2 h u N z n u 5 c L + F n T W r l n D e U O Z b c 6 Q Z t B D D Y Q j H I x 4 2 J 5 R 3 y Q 5 n C y g D 0 / i T A y M q J 6 8 u W l J a y v r 6 v o G Z e 4 1 G B 7 H J t 6 5 d W X 8 d I P X s Q n n 3 y m N E c r r c b v H h Z O v x 2 R K z 5 4 R p 3 Y f p h S p O B v c 7 C Y m p G D 0 R w r 6 0 a q 2 P 0 d R O 8 m Y Q 8 x B 8 8 H q 3 O / X 8 f i p V 4 h L 3 P 0 T g J P n Q + 1 M F z C T M N a T S x g + d G j s z v J c K G a w M y 1 / q o c a V C z 0 K / g u I 4 q E i K X z a I 0 M + G q u g / t Q E J R O 2 m 0 C 4 P r b I j f / v b 3 + P W v f 6 W m J 2 g Y 2 o 1 + l E H U o 4 K J q S Y 5 5 6 X l Z X z x x Z e i h a 3 4 5 a 9 + j r G x M d V x Z M V E L C Q K i n h m / p 6 Y 4 t V C D f 5 Z Z 8 u B W Z a I Y w f D o E R p M 4 t A Q 1 G V 4 8 R T Q S j a x q y Z P R M 6 6 J B k p B P 9 6 B R r E X T D L B K Y X 3 A c K v W F h G I P r n 2 M w 4 B t k F D 0 x T R h i h U z 3 A 7 D e K H J t 7 a 2 I V p r W o 1 N a Z C U / K 4 2 J / l 6 F C Q W 8 9 i u b i C b y 2 J s d F Q I J W 1 W p Z O I c y 6 W C 1 V L E Z 4 R j p X J 7 3 T 5 K d Y b Y c 4 n D y t m S u K n i v Y L n E y n e q 5 N P r n d e H E k r V K R W p G J c J 9 d 5 a R Q F u F l r 9 s P l D D X N U z h C G Y X Q S L S 1 N J k W o r X Y L f s m X f 0 k w L i z z x 8 + E g R T 0 M F N + r n 0 I 1 M J B 7 P u R 3 4 + X Z q U 6 U Y h X 1 h m N N W m F J O l H f K G L r k h 2 f K B t + 4 B 2 Z L d z I R + e J e K b V S r q I S i 0 8 K 5 5 J Q L L 7 y 5 k w R P 7 5 Y g M u U U Q + k H X q 4 / 6 e K k v h Q 1 T 7 8 K P o y F G Y m m N L 3 K e T y h o r u E 4 2 / S A 2 z q + E K + 9 e M Z a I u B 1 H v f / f g Q N Q v k z X m K L U j C 8 + V / t f D h w 9 V H m G n 5 x Q M B f D K / K t 4 c m c R n j E 3 / B c c C F 8 M 1 j / t D y P e P Q K Z b e J r 9 l J k f U A 4 s 4 R q J S I O S w 3 v z B V U f X O u x K F w R F P j t J E T g c 1 t 9 R Y 4 I Z F Y e X V j Y 0 M V S q E J F h 4 K 9 9 V p 0 K e M Z 0 x I M 4 s 7 x 5 X s z V g U D q 0 m a o j t Z D E 1 d n C u F N f w f e v t N 5 V Z q L U N t Z J X 9 r c C N R m P 4 X g S s + Y 5 A f L G j S / w 4 M F D N Y Z m a L e q 2 k q F M h J P c m p V d d + k G 9 H 8 p m j d o 1 W O D T Z M P u W 9 q Z 2 c g j r b 0 z d G f F X M h s s q 4 f H S c B l z 4 Y o 4 3 / U P B X y o 7 F n Z E z Y L Q S P 4 H S 5 b e R b h c g L D 5 g p s H m P 6 e S d Q S C l 4 n A / F Y / X 1 t 8 q 5 a w a V C M e p Q p 6 a M o P p x z t t 9 W V V b W J y b S w i M s T Z v 6 1 n 5 5 J I N 7 / 8 G p V a V Q U q q B 1 J D o 4 T 6 U g j n w P T m L 7 9 9 q 5 6 f + P G l 6 K B K 7 h 6 5 b K x w p 8 c 9 y / / / K + i Q c Z R 2 C m i k q + J Q i w g O O t B o V r A R x / 9 D W + 9 9 Y Y y P 7 v d i 0 5 g 0 u y u U p L r L q Y r c P i O r z p S I 8 5 c U I I + 5 3 v i E / V 6 O / m g c + L I e r 2 + j g / h y x U b Y t I b n z V w i Z 5 L 9 j R M I u C u U O f g C X t 2 H a r O p D P w i W 9 j E 4 H m g g H d k C s x t F 7 / o w k k K t v m 1 q p j 0 v e V J G K O H Z c j Z S o T z b h L l y 6 p F C U + B 5 K J M 4 o Z W E g m 0 v j V r 3 4 B X 8 C P o D + A r f v G L N 6 t T A y 3 H t x U p u T L r 7 w s J H M o A q e k X f k h T E 1 N 7 i O 0 1 o b 9 g N N 6 r t U X N y e h 4 v L b H J s 6 C Z w 5 Q r 1 7 q d A 1 j a Y R f J C c T h A I B r v 2 1 L f X r W o h g b O E K y N l B H M J 2 D 1 2 O H q I R P F 6 N S j A n G P U K c L H J F E m i 3 I d 3 H Z g m 4 w W s h 0 S d m 1 1 D e M T 4 y q U H o t G d 6 d q c O O x + j 3 T g 3 Z 2 t p W P x W g g N d O P f v S 2 I i X L c C W W U w j 4 w m I H V R G a 9 u 9 G M n n e b I d k Y d j / s 0 9 v 4 O L 8 n F p U 4 N L C J f V 9 a j g V z p c O g 5 k h / Y A r Q r 4 z v x e s i d 1 O I P L c w f z B 4 8 C Z M / k Y / u 4 H q n e V m 8 8 H 3 I 1 Q w 6 I N x g N V r O w Y k 9 7 O A m i K R e w F W B w 2 W O 3 d N S i v k Z s 2 9 y h 4 e n 8 z 6 C P R v H O L W d c M f k / 5 M v L K t h r b Z O E X h u I p 2 I z y c R / L j h F M X y J 4 P N f F v X H j p l H 3 I r a F h f k F e G q i C T J C 8 G I V 4 b k Q H E E r v E P 7 1 w M m U d k u t R Q 7 h K k L k + r 3 / v S n D 5 R P y D J o n F D I z / 8 k P t j c 7 K x R 8 6 8 H 8 H a E v T U x + f b q P 1 T E b 7 T 7 j h 7 a 7 w V n R 0 O J Z L 0 8 V U K k x z W B K A w k k 3 K A 5 W + X 2 O e d / K h G U I i 5 t u 1 Z A B e R u + L Y E R v f C b u 7 d + 2 p r 5 + p R F 6 P V + W 9 U f A b w d V G 7 E 3 K S 3 V A d f N O Z 5 k 7 R c A d I u D M R u d 8 I b t j f w K t / g 6 R F l O T w Q h + z v v N C Y v p W A 5 V r s c l n B 6 Z D q j E 1 6 I 8 F 4 b 0 m X / X f F 6 t w P b p m 5 F Y b J u + G U 3 M P / 7 x f f z d 3 / 1 8 3 x h Y J 7 z / w I E f z h X E t L R g r D 5 z N 7 2 Z l f t r h 8 3 V / T y O i j N B K B Z 4 t K K A H 1 / a y 2 D u B h K J B R 7 H J y Z 2 e + 1 + k B c T m + t N n T a Y c v a q N w 5 n i C P + v R G K 5 h K v n 8 L H 6 6 a W 4 W u z 4 H I l + S G 3 Q T x u h E G m q t I A z e D s W Z r O 7 Q j A N r R G K y R L Q i I O n J a N V Q c v B k T D G u d P 8 1 E / w 1 b P h o V J W e 2 p 2 2 O m G U k / b W 5 u r u f n y y V j u b B 2 t m x C 0 G l 0 z l y 2 M x s v w D 9 x / N k S / U n h M c E k N + v N 2 a q 6 e f r B t w M f K A W K Y y I k E w n Y 6 8 1 u B C N c C + K / n D b 4 y H n J n Y R L a x T e G Q 7 o 8 v p J J k 0 o C q 8 S 9 q Z 7 5 7 R U l D n G n p 7 a i C s F 8 n 5 t b h j Z 5 C S O 3 r i f Z O J r K 6 T W M 0 g + L i D x K I P E k 6 y c e A 3 u U T t C 8 x 4 M X w 0 r M m n C U e s R b L f V s / n w k Q N 3 N z u b c L x G F m p R 1 V j 7 e L 5 c s M 4 u Z P X Z 9 y w d 5 v e V M y c T O z 8 T h L o 0 X I G 4 E P L A c 1 0 J R c F K 7 C S U K a E F 6 b B g z p / v l B Z f 0 2 A 2 O z M l 2 q U e q R U 2 5 B q 5 O h 5 X f W c A h k K v T S M K G z c G E / I 5 Y 5 y I 9 4 i v 2 9 m q E k h m b / N 4 X c t h d G z s g J C y L R J A a x Y i n y w g t Z z H 1 n c p O P w 2 B O a c C F / y q 0 K Q r r B z l 0 D c N O n 5 n u 2 0 A x 9 X R H z Z q z o K 1 w b U c g 8 e P h R N X F S d A j v Q f p 5 1 u r T / + i x y / S e B U y U U b 5 D N L E K d i q v i i O a s T Q 3 2 a V Q 4 f 7 o J f O C 0 4 d n r U q P R 7 q b w H B b M u D h 1 N A h x I 6 i N 6 I t Q u y w + e q S E V f s k j Y J P g t H R p x m 3 s r y s I m / s 3 Q s Z Y 9 E A H q + F n E K v N V s 7 J F f S S C + L F S C + k W / K q a a M 2 1 v k c P F 8 O H j L g W b O j e J G s P 1 2 4 G m / 3 M O a X Q x a v P n m G 9 K W V f l R v / n N 7 9 W 4 V 6 + k a g 4 7 V W q l v l O 8 D o N T 9 a G q l T J + t p B H 7 G E C Z u m 1 A k G / K q D h D n m Q i u 7 A b B P 1 7 b H D 3 V T N k 0 K h b y x f G Y F i 7 9 s o Z P 1 i c d u M 7 6 I 2 a a + + 4 w R x f S g F r 9 s M G 2 u b 1 8 H T I J l 4 T X y f 2 G b l 1 y L G x s f b m m V E Y + e y l a 4 i 4 j O O Z U d F o r l F W 7 X K L C e Y R B q / n 4 Y 9 C P j H f P W 9 B 8 F 7 r r U R O z W G z f m 7 b F N r z E G C R K X P + M n f P s P 1 1 1 6 V 3 w t 1 v A d E Q R Q g r R 6 N 5 I r c 4 1 H P Q I p Z d s K p E u r 6 Z A Y u S x E r W w W M B W w q U t V M i m 1 5 w E G x 0 9 u R R Z k 4 s j n q o / V H A c n 0 p / u O E y 3 t z P V s r 4 / l Y M 3 k E Z j a L 8 T G t Y l G c R j a g Q O q S r u I M L U b z G V G C L M E u D C 3 w 1 J W g s d 2 G I 3 j L F + C + 5 r v Z 2 I p g 2 q p h u B c + 3 u t O z G S i S Y o o 4 J c n Y I E I r l i m 1 F E R l h U x f D r 2 r V z G K j x s b V 1 f P H F T b z 8 8 k s Y G g p 3 n c H L q r x J c e f c J B b d C X m u 3 R Z N O y p O z e S b D o q p 5 2 D 5 K B s s j q B a C a L V A / B M O J B a 6 l w o / i g r + O 2 D / L y h / U 6 Q U Y J U N o F q 0 R j M p P D T 1 O N 5 M I h A 3 4 r k 4 U Y y c a B V Z 3 k 3 g x Y y B 3 A Z i u f Y k + 7 F K e D M x y P 2 m Y v C j / R G V m k l q 8 e M 0 E W j m m s 7 8 J z 0 h D + S O 5 N J q + P Z P n 8 r H B k S 4 i b U c d z U t b B T k P c k o 9 7 6 B e 8 L f 4 P + 4 E 9 + 8 o 7 y p + h X c e s E J g i E 3 d K x W G v Y i Z q Q W s 2 r C Y e M M h 4 X T o 1 Q C y P G y H y u Y s f M k N F r t o J d u p e q 2 L 6 V Q v s o D d e Y 5 U 0 / C r a z J n y 5 K G a C u X i o h 3 4 U x J N F l M S k i c V i K u g g J 6 B 8 R J q x F K R G N E f y G t F u k W c t 8 A z 6 7 I j p s / M o h / h 3 8 v o k A 5 P F h P A l L z z h g 9 P Z G 0 l A Y v C c + M r B X W o 7 T q n X 5 0 d i k f D c t 7 q y q q r H s g w Y r 4 n P h h p m R w i g y d Y K / B 3 9 W e N v c 9 / m x q b y n X V h z m g 0 p m Y T 0 + T s h s T D D E J j J t i d N r V q y 9 f H u O p h W 5 P v 2 q Q d Y 8 H 2 0 Z q j g A m Z 2 p T l j 3 f v L + S B F q S X s h m 9 Y S P k l q t x L I b e x c i o 7 + 0 f F X l w z M A W H 7 j v Z W z y Y i p 9 d L d 9 Q Z N O o D Y c s a Y x 6 y 6 o C X S E m o U r T j l X 2 W C d P O 3 v a M H e j m + r j I J G P 4 j 3 8 U n c o t b N a g b N x o S Q p y y d k n P M C p f f t e 9 O N b a j o T W L 1 k C K C A 2 D v t z X S p s 1 k o K f 8 2 + d 1 s S / 6 R d a 6 0 G R f e d f / 5 6 + d v 6 + N m 1 J R l 0 D U L f J Y 5 m d U R G T e X J i o t 7 K Q R Q z R R Q S Z f g m 3 N i 4 H c f w Q h A 7 J d G m o r m O A 2 0 J 9 Y M Z B 6 a G j o f J t O 8 b H w V 1 S z d V y Z P k u k N 8 E B R C s z g K 3 M e b S / B G H 5 5 O R v v M L K D / U a n 1 1 1 J W y P 7 H W 0 a E 6 z C Y Q g J z k 2 Y 4 v P Y 9 Y R H T j j X p m g M I F D T 2 / O P j 4 2 p / t S I n b K q i J D e R W R G N Z 5 6 J Z m G u O p F N J x G e C y j h Y x I q z T 8 K O a N z L G a p h y A 0 + B s 8 D 2 r D 5 o U J e F w 7 a 6 I d 2 J Z u n 9 f G A A M J o k m p C U j i U M v x c 2 o z u g M k s D 6 / Z u I z 6 r e 6 u o b n n r u m 2 m q F x G J G 1 T 3 U w Y j M c h m m E f H X W 6 R j D Q K t z + K E U e d E R / B x W O S m m C g / 4 l d w U h 4 j V 7 z R a j M O O x J O c s V C D Z 7 3 h M e k y K T + r l 8 P q w q R T D R p K O A a F E 6 b Z w R P d u x q b p P Z w k 7 G m I 7 B t l Q 0 b z G F 5 O O 8 e u 8 a N W N o P q j u G Q V S Z a i L 0 H I q B V f k Y L 6 c 7 p Q I / h a 1 B O d d k U z 8 T u P W L 5 k I X o 8 G f 4 v t r I l Z S A K R 2 D R z a R Z q k v H c G M 2 M D E d U r h + / z + 8 0 g 2 3 x O 2 0 h l 1 U r m / d F 9 m w h 6 X k y O R R a F L I Z B E 6 F U M 2 X w j H N X j 0 g N Z Q g N 7 g k W o T / G s c W + I 4 b f a 6 9 v d 2 h j l V C R W E 2 V k g 8 C V D T X g k w u r b f T K O g U K i W F h d V l V Q t T O z J 1 7 c y i P j F t A u V l O m s w X V h N 7 / Z Q W o p r 6 a L s 3 i J b + x g / h v b o o B S c N k e N 5 K o k b Q 8 h r 4 Q 0 b h / E G D b 3 M Y n D T O N v 0 9 N z P P h R s L q Y x q 3 Z n B N q q + / u q X m W b X T T r m t E i z 1 E s 0 a H I Y p b n O a / / E 8 4 x M n V N t + o c f r o 8 A z m i U 6 S j n U / L t W n 0 b O V 5 1 1 s L u v / r 1 W 4 G c 8 Q k X 1 p B 2 2 V a k a b R 4 3 S B o P 0 n D Q T 7 p g V 4 K r T R + C 8 5 0 u T E / v E x a + 9 / j 8 u 1 k D p V w Z q d U c M m s l 5 B M F R K 7 5 E Z h 1 w 2 L r / l h V r 1 / 3 Z f i e Z h b n O H H M h / v Y 8 z O I Q Q 3 C 3 x o k 9 D U x S k d t q U n T e K 3 d Q F 9 s Z X U V d l t r D U X 3 o J K v q s 6 l G a 5 h K 3 a i n S P H h 8 W J E 6 o V K L 8 U Y v Y l 3 R 6 d 8 T k H O w 1 f i l 9 k 8 Q 6 S i 6 + s i s P 2 9 D 5 F r B Z a z N h D M r E J 3 g b j e 8 3 + 3 X E h 4 K r h q i M P R 9 C i T B 8 S q F F w O b 5 D c 6 8 x e s m 5 X C G 3 d C U J Y P P u N r K x A l x D d n j G b W o M q x + B J F h 6 j A J N r U D z k t e t 0 5 Q o 4 B w X Z C J t I 9 E H A V 4 T 5 0 R x 5 v F h T E i C n Y D b 5 e Z j a 4 n Y v R 2 4 x 1 r H A D h 7 1 5 S u S 4 C 8 0 H T m I g N p 2 Y 7 a d 5 w 4 o U i c d u B H 3 S 7 I E H 0 6 u f z L a I x f a d U s 9 5 F Y P G C / t j L e k W h 8 M D y u + f u t 2 h s U O D 5 y I V Q W A l j g C b i V e e d y G 2 F r b W I x 0 k X t w H E T r u K 3 s l 6 G Y 3 M b i U c 5 W F 0 W + G d c R k 1 0 6 Q A O K / C 8 d o J E J I G 0 u a W J y V d O 7 S A G q a V I K D 0 Q r 8 + h H 7 A D Y h s d O x A 5 3 U 5 Z E c 6 I B e t P s u r + 0 n T m m K h X t r u b B 8 3 L 3 g H 8 f 1 k B f + z O 6 r V o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 N a m e = " S u u r p a n e e l "   G u i d = " d 6 5 2 9 6 f 4 - b 8 8 0 - 4 b 5 5 - 8 7 3 1 - 2 9 6 9 4 0 d 3 9 b 2 5 "   R e v = " 2 1 "   R e v G u i d = " 2 e e d 6 3 e 0 - 5 2 d d - 4 a 4 a - 8 9 4 e - 2 7 7 d 4 1 1 f 8 a 5 3 " 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 / & g t ; & l t ; / G e o C o l u m n & g t ; & l t ; / G e o C o l u m n s & g t ; & l t ; O F A   N a m e = " T a i s A a d r e s s "   V i s i b l e = " t r u e "   D a t a T y p e = " S t r i n g "   M o d e l Q u e r y N a m e = " ' T a b e l 1 ' [ T a i s A a d r e s s ] " & g t ; & l t ; T a b l e   M o d e l N a m e = " T a b e l 1 "   N a m e I n S o u r c e = " T a b e l 1 "   V i s i b l e = " t r u e "   L a s t R e f r e s h = " 0 0 0 1 - 0 1 - 0 1 T 0 0 : 0 0 : 0 0 "   / & g t ; & l t ; / O F A & g t ; & l t ; A d m i n D i s t r i c t 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 / & g t ; & l t ; / A d m i n D i s t r i c t & g t ; & l t ; / G e o E n t i t y & g t ; & l t ; M e a s u r e s & g t ; & l t ; M e a s u r e 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G e o M a p p i n g T y p e & g t ; S t a t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I s & g t ; & l t ; I & g t ; s u u r p a n e e l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0 & l t ; / X & g t ; & l t ; Y & g t ; 4 2 8 . 6 6 6 6 6 6 6 6 6 6 6 6 6 3 & l t ; / Y & g t ; & l t ; D i s t a n c e T o N e a r e s t C o r n e r X & g t ; 1 0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2 5 9 & l t ; / W i d t h & g t ; & l t ; H e i g h t & g t ; 1 1 1 & l t ; / H e i g h t & g t ; & l t ; A c t u a l W i d t h & g t ; 2 5 9 & l t ; / A c t u a l W i d t h & g t ; & l t ; A c t u a l H e i g h t & g t ; 1 1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d 6 5 2 9 6 f 4 - b 8 8 0 - 4 b 5 5 - 8 7 3 1 - 2 9 6 9 4 0 d 3 9 b 2 5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7 1 d 8 8 6 2 a - b 2 b 6 - 4 5 8 f - b a 4 8 - d 0 2 3 0 9 8 c 1 f 0 4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 5 8 . 5 8 3 3 3 9 0 1 5 4 9 0 7 4 3 < / L a t i t u d e > < L o n g i t u d e > 2 4 . 9 0 2 8 5 6 1 1 5 3 6 1 8 9 6 < / L o n g i t u d e > < R o t a t i o n > 0 < / R o t a t i o n > < P i v o t A n g l e > - 0 . 2 4 7 1 6 4 7 9 3 3 1 0 6 9 0 2 7 < / P i v o t A n g l e > < D i s t a n c e > 0 . 1 0 7 4 6 3 8 6 8 8 1 0 7 3 4 9 6 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v 7 S U R B V H h e 7 b 2 H l 2 T Z f d / 3 q 1 y d c 5 z p n u m J O 5 s T N m A B L B a 7 M E Q D I G U d i t K x Z f s c W f a f Y B / K 9 L F k W 7 J F 2 0 e 2 j y 3 L F k X S t E V C E C k u E g G C G 7 A R i 0 2 z O x s n 9 n S Y z r G 6 K y f / P v f V 7 X 5 d U 7 m r e 2 e B + c 6 + f d W v X r 1 7 3 7 2 / 3 / 2 F + 7 u / 6 / n T N y J 5 u Y 1 D x W P H k v L G V K j w 1 + H j m T M J c 8 7 k R H 5 2 J W w + g 6 d P J 8 T j E X l 9 M i T R Z E 4 / e + T p s y l 5 4 7 r + n f L I g 0 d T 0 t u q P 1 L k l W o m 1 / z m s x s 3 N n 2 S z O h D f k k R D u T l S x P J w l 8 i 2 0 m P t I d 2 W e g 2 Q x 0 y 2 k I 5 e f x Y S m 5 s e O S T p f J M 5 V W a z B 1 Q z 3 S 3 5 O T h s Z T 5 v B n 3 y q V l v w x 3 Z m W s O 2 u u T a 3 m Z X b T L 6 f 6 M z L Q n h e v 1 2 v q Q p 1 q w e W V g E y t + Q p / f T 7 h 8 + Y l m 7 v 5 h R l w v n b K G X j A u r Z f V z i 3 0 z Z e 5 3 Q b h 4 V o 0 q u d 4 J H R 7 l 1 u a Q s 6 o 7 4 b I X 9 e v n I i o U S e k Y C v u Z y 1 o U Q Q 1 Z E V d C l z f W E 8 t c N M u V x O j n R l 5 e G j c e k O O U w H a m U m c L o / L U + r F H z y Z E K O 9 2 a k 1 E 9 H l Y H 7 W p 0 y b 0 W U Y i a A Z M 6 6 u q N H 2 w + m s o P f b Y b 6 D P D O T E i e v 7 S r a k V T N 3 c D h B 5 U j e r s Y E a + e D x e u F o a L a q G 1 E H v B v 4 y A g S G S i S T k t e z z + c z a l 8 j 4 F c B L Q M p B 3 M d 6 8 k 4 X x T g 0 X 8 P H E 0 b 9 f P c Y L p w 9 d Z D q Y G k + F K f q s F I e n C b o W 5 R L E R 8 x m 4 B A V / l b o q n P U b K Q P t B l W b l R v 6 7 R 1 L y 1 V N J l R x J I w F L A S Y K h 0 I y P z 9 f u N I c n B 7 I G B u M 8 r + q K t O 5 4 V 3 p d 0 S l I 0 z X p g P D r Y Z S a n c p J r N S 6 z Z D 3 c J I Z H Z 7 8 0 R v y j A B x 9 d O J + T e 0 Z T a Y r v G 8 X r M Y 5 w K X 1 F m Y e T / o h r O I S V Q + x u O w f a c + N U 2 q K R C W o l 0 9 O h R S a f T R m I 1 C z g 0 K N 9 f g u o o 9 R F 9 H 3 8 J Y r 1 V k F d 9 r z O U 3 b G f 3 N h M O C 9 1 2 y l x C P B 5 a G K P 8 P 9 K j o a g E n 3 K 5 S H r V G P 3 E Z U 8 l c D j P r g R k L t G 0 1 q O c 6 0 e 5 K m Q 8 5 8 B x J L X f 7 l s T l K p l A R D Q f H 7 b / b m H S S m 1 3 1 y e T m w U 6 d m Y K A t Z 5 6 3 E v W a w S W d 9 d T l 9 I G Z t i N r c q w 7 K R P 9 H u n u 7 t 6 j D l 9 d 8 c s x 7 M X b D H W w a F U p g b S w w K M 2 v e 4 Q a E s w L 0 l V 1 + j Y E T X S j 6 r q 8 5 4 y R 0 b N j b x 2 F u 5 Z 3 L Q A w s 9 m s p K K p y W y s i 0 t L W F p 6 2 s V r w 7 3 3 g q c l N P f 5 d J Z c 0 5 s J y W 6 E Z X U p k / S q b T k l V f H 7 h w W X 4 D 6 6 H 1 U R K V X L p m X j H 4 / O 3 9 N h o Z G j f R I J J I S X 8 9 I K p Y V f 9 g r g 6 c 6 p W O g b Q 9 R N Q O 8 p 0 d 1 K p w C H 8 4 H Z F k Z A E 8 A B G 3 K a n J 5 t Y L y Y 1 t r E l p / S 1 p D f r n 7 7 j s l G A x K e 3 t 7 4 Q 6 R j Z j 3 N k M d N H r U n n l I V T A 3 r q / 6 Z G r D L 2 c G U j L U k V c m C s p G 3 C N P q X 2 R S W b E l 2 6 V y b W o H B / 1 S n Q 5 L q n t r K z M R M X f I h L u C I g v x H x I i y M 5 P D 5 Z n Y 2 I J 5 y A J 1 S / b 5 F M n C 7 V U T i Z l k A g r B e V I H 2 q M r b 4 J N i p N l J 7 Q I L h k A R b A 6 U Z Q n + e U a 6 O R + M S 3 1 Q 1 L O A T f 9 A n L e 0 t E g g r w 6 c y s n h p X W L r a c N s 4 V 6 f d A y 3 S m t b 2 H z f C O K b C Y k v 6 g i v P / c I H h M k S k 6 2 9 b W W t / O y 2 t K p 7 + D X w W O v t A z o u 3 m V 5 6 g H p u Z A u 2 M / t u p g h a 2 z G v W o V N I B R C X S f s C z H h 1 P S D q + o Y N L Q v 7 i x 8 / J M 0 9 / R T o 7 O 6 W r q 2 u n H W 8 z 1 A H j P l X F b C d X g g o R 4 x X b n N + W n B J B W I m X T o p u R q R t M C y h r m B Z 4 k / E E i q F l I H U 5 g m 1 B J X o V G r 5 f e J T 6 V X y N z U A 2 4 m D k X l j f U N 6 e n t K q n 6 o h r H N m G w t J y S y G B O f L y z Z b F K l V 0 g 6 B l u l o 2 9 3 B C 8 F n r 9 2 N S I 5 t R d b h 4 M S b F O O 0 n f K p b V 8 v c b z M 6 m s L C w s S H f 7 o H Q e 7 V C J 6 r g o v f m c J D c S e m Q c 6 a o / R M J 1 j b U 5 z 3 E B h l p X C T I X 8 c p q z I f Q 2 w N s O 1 o q X W r u S Q / s u 4 7 C B G 4 8 r s w f j 8 m F C x 9 K X 1 + v 2 p t H D G M Z r + h t h m o e c F / j c Y O G 0 a d P 6 F H K I 1 Q J m 5 M J u Z B s k 5 P D e R n t b p 5 D o B F Y p s p m s 4 Z Y a r W l s j o 6 b K m E z W y q 1 F C p 2 j P W W f h m L 7 K Z n G x e j y n F Z q T z W L v M z s z I 8 M i I R K N R o 0 6 1 t O i P F V c u X 5 F T p 0 + p t I 7 p r U H 9 o U p Q V U m D r W G V o t v S c 6 x D B b X a q N p c q W h K N u a 2 1 P 7 L y P E H R 8 3 v S 4 E o E Y d V H H j V z l 1 V 9 f L 9 O X 1 + A W F / T u 0 t k d O D G e k K Z W X 9 e k S C g V Z J x u P S f a J N N j c 3 5 d q 1 S V P f e + 6 5 R 3 p 1 0 L n N U E 1 E W I 3 d x 4 + n z C x 7 I 1 i 5 v C 6 d v X 3 y 2 l p Q n p i I S / A W c H m h + l 2 5 f F k J + n T d 8 1 J I n + W P N 5 R u c z J 4 Z 1 / h q o N U L C 2 J l Z x 4 g l m j L l K O 8 S h q 0 y F h L S B a V C q w h 6 F p 4 g p V m X r v h t q b O T n 9 + F j h i o M c T H x j W 8 K h D m V 8 N V b 1 G b y T e S / 9 z x v w S n I r K X m / q s u q I g f C f k k q k 2 a 3 v J J R o 7 P v V J f + f k u C v n Z J J 1 J y Y 2 Z e J l c u y T 0 P 3 y n d b d 2 3 G a p R 4 H p m P m d 6 3 S s 3 N g M 7 c 0 a 4 h J l n q Q d b C 1 G l M L + q b A n p P e k Q z 6 0 C S + g c E H S t U s q N t a u b k k n k J K A 2 m / U q B l Q C h f q 8 R j V D A s J 8 q 6 u r 0 t P d s 8 N Q E D n X A e F P H P V g / v K i J J b 8 0 t 7 j l 2 C 7 R 7 J J j 5 5 V q m 1 F p O d 4 t 7 E L y y G 2 r m r d a k o C K q J y y n e t w / o M V a e L s T a / L k t z a 3 J 9 b l L O H D l z m 6 F q A f o 1 q h u D 2 J H O t F x T C Q J D M e f j s J E y h f L Q L 6 a d 6 A e u M 8 F a C 1 B R s l t q O / T l 1 D a o j 2 A O A x A 0 B I 9 9 F g g E 6 p Z S F h s z q i 4 p Q / n D a t u F s O 9 2 i R m m B Q v z 8 y q N u r G E p L W 1 1 V x r h I H d 2 J j a 0 g L 0 G U G 1 L z t D 0 t L V v K B k Y / + t b 8 q b 7 3 4 s J 8 c H Z H h 4 6 F d v Y r c a K T B H U Y y B t q w 8 M p 4 w Q Z C 4 t k c 7 M 8 b I J S p 7 u y C Z O p S X i F 3 j q J W Z G K 1 T 6 5 g E 0 V u S m Y B l n v U 1 r a j C S o x 6 0 a 1 2 V G t f i 0 q k 4 B 5 m A j A p w H 5 q a W 2 R c D i s 5 a 2 Z a / u F L 6 i q W i 5 p y m 8 m M w E G g p e v + O X C p 1 P S o 6 o 6 g 8 C v H E N B D p U I v t T S g / k t 5 o 4 C 0 t O S l f f n Q z v h + j g g W N q Q K r h k c T 4 V H F A 1 Y e 2 q G s / J h L Q P t x W u f L a w 0 s g e b u Z p a 3 M k x k E A p n V L o u 3 t b S X Q 3 o Y k Y T H S s Y y E u x p z 5 Z c C b Q I j c V D P y O o N G T 1 1 v 0 y u h y X v C f x q M J S 3 y E m A a 7 T Y c V A t o n t 6 w y 9 X V o O F 5 Q 5 7 O w g P U b 1 Y n 9 p Q a e m V n h M d h S u H C w j D M g z 2 E Q R i m S i Z T C q j J 8 3 f X A c t B R X M z W T N h H 0 u 0 R l 2 s t R K r v 3 A p 3 Y S 7 b x f 0 E Z b y k D r 6 + u y u L I h n 1 x f k 9 e u 5 m X h y t v S 3 j c u a 6 k O e e l K 8 F e D o X L K Q B O 9 D m E A + q 4 4 P L 9 4 4 o 8 I h 8 e P J 6 Q j t O u 6 z h Y + M q + E a n f P q N o V y o i l Y t M q I b G V 0 h G / R 7 p P t D Z l F K 4 F E K w d W S 3 z W I Y x 3 j X F x U 8 / N f c F A 0 H x q 7 3 E 9 U u f X j Q M l l Z C P y h m A r Y d F h c W j P O B v 2 1 d 9 w P q n G 9 g w H O D i d z V 9 Q 1 5 7 a N N + f 3 v / K X 8 6 Y / f k t f P T 8 r y w p w c u e N x U 1 c k L O b C b a d E C T x 8 N C W d 4 c y O V 2 l p 2 y e D J S Z n 6 a y s 2 k H + K t H g x V i 9 u C 1 t Q 3 4 J d + 8 u 4 T h o w B w c 1 6 5 e l c G h I b 3 i 0 b + z x t E Q 1 Z G 3 r 7 9 / h 6 j t u R Q D 8 V 0 z J E c p w D y b G 5 v S 1 d 1 l R j 2 K J w x p P 4 6 J t c m I B D v 9 K k U a U 1 l p s 4 2 N D X n u 5 f d k a H h I 7 j w 1 K j + f C m m 9 i D K h f X Q A C r U b W j n W m 7 3 N U B b Q E L F y N N B j x 5 P S E W 4 8 y q A S t h e j k t r K S e + p m 1 U 9 M 5 r q Q e d Y q W H P o F E P G z D M r x J p b X X N R D 3 w X A i Y C V Q + 8 2 w I l 8 8 c b s a x 9 Q L 1 u q 7 r g Z W a 8 V j M 2 L r 0 B 8 z V 6 H v z + + 3 Z t I S H v C a C p B G g 4 r 1 9 c V 3 y W 9 P y 8 E P 3 S k d H h 3 h 9 A U m o r Y 1 E + m g h I G t R r 7 Y P l K P t 4 / z s l x O 1 e t t O 9 G X k k f G k D H V k Z D w 4 a 9 S 9 g 0 I m k Z W c 7 M b 2 W b W L w x I U n y 3 B g 6 2 t L X P m u 0 Y B Q c I M v X 2 9 x p i G S E O h k H k m L n F g 6 8 B k K g x k 6 2 V / 2 y g z 1 w p b D v Y a d l R n V 6 d R N 6 k T 7 V E v 1 i 5 t F W I Y G 2 M m O 5 B c / u B 1 w 0 z U y U w d K N e 0 B R 1 V n 9 C y p 0 4 n 5 W t n k v K 0 H r / U D G W 9 b 8 X A n i K n A k u 9 m Y S F o Y j T u m s 4 L S f H n R l 9 O n E / B F w O H m 1 x r / 6 z D E O H E X K z q W r F h o 6 G W 5 G I u T 4 3 e 8 N 8 B x g V V 5 a X z e f 9 w E o X 3 N I W S C V W 5 4 L r 1 6 + b d y Y u D S b D M W H r y W H b x N a r 2 a B + M D q H Z W A I + M a N G 3 s G m F q B Q w J X / f 7 h 0 B F 1 q Y Z f a o Y q h + P K Q C Q q O T e U L u l Q w N M E c U M 4 z W Y q D 1 q U / s + O u K s r K 3 J 0 b E x V m 2 7 p 7 u n R U b n L E P P I k d E 9 q g 4 2 z n 5 h y 5 y e m j J n + 2 y v l s N 3 g w O D h s G 4 T h t 4 l K h Z 5 o H a s 6 z 1 J J L B t k m z 2 8 W C s i 1 D U R f O R 4 4 c M W 2 S i C f q Y q p A q 1 c S 6 5 X X k 1 U C 0 h F 4 v b u q b z X 8 0 j N U S X 9 B m Y a x x I R d w e e M d i K N W O / I W A n B t p C Z 0 O W 5 S 0 t L q o L 1 m T I p z x 4 E h d p r F h G V X G A / h A z T x O N x O X n q l P k b w q U M V D 8 I t 7 U w 1 8 T n t r Y 2 M y K H w i H p U U Y f U I b u 7 e 0 1 b b G i z F U L c T U D 1 I + 2 o C 4 s d q w H L b 1 h y e + D 7 6 e W k n L 1 6 q Q c v e s r Z t C h X a r h l 5 6 h r K v b j Y 8 X y n e M b b R 2 V b N w H U 9 e m z R / 2 1 H Z H n a 0 r x f E r m U y j t E / O D h o z h C 2 G 5 a x g P 0 u t h 0 1 Z 8 v g 9 T K W v Z / y g L t M W 5 4 9 a A P 3 3 9 z L Y Z k c q Q U O g 6 m o N + X Q 3 r F Y r H C 1 N v h C q j b m i M W r v 6 9 w l f e 3 Z e S F 1 z + S + 4 6 1 S o d r I W E l / N I z F G g t S t O 1 u L 2 X g N 2 A m C w B g Y m J 4 z K n O r z t V N S A n H Y y R G 0 J u x 7 C i s x v 4 7 B W F S Z l j P 9 a g Q r I M g H q Q M y b r U + t 4 H 7 W F F n 7 y T J W L e B e e 1 D m w O D A z v W D A u X Q v q b e h Y Q x d j l H r b D 1 r Z e h K D M a j c t L r 7 4 t X / / G 1 6 V T V U f 3 A F Q J v x I M V T x p W 0 1 y W + J h N N Y P M q o 6 / N L i o v m O a z l t c N R B n A l 0 W D 0 S y y c t 0 n G 0 V T t N n 1 V j J 1 E m j I 6 X i f P Q 8 L C O 1 n F T J p 3 P U Q q E R k U S 5 I w r f F 8 4 m / e q E x A 3 5 T k e Q k c N O 0 h Q F j Y T M X 2 8 L + / N U U + 5 q S i S N C f + c H 3 v i / 3 I 7 9 Z 1 w D s + G J K O j t q k E / i V Y K h M U V R E j b R v Y I m P y V A r u b g W V L s D Z w I 2 S T n A a F a S c W y t R C W x F Z d A i / 5 e 7 b R a R z 3 g l p w Q V T a T N o Y 6 Z d h y i q U l C x 4 v z A c k E n d e G K e H v b c e 2 G c u 6 q C C x x G a r q f u j Q K 7 k Z g + y 0 y 2 D W r F 1 m J M c t 7 6 7 V / a B z t x + N h d p q 0 p t 1 Z 8 p g z F u v / D A P T g j t 1 j D q G e k m E g K y U s U R d 3 b L G U s J I D d Y V R f X l p S V Z W l y U f T q l d d s 0 Q N n p 6 v b A d 3 N H Z u S O h r k 9 O G u a y D O a u y + P j M W n X 9 + U 7 1 D 0 7 p 1 W r R A X 2 m U h I y m 9 E w j U C J q A B 7 + t + p 1 q R T 2 s 7 D d U f e O w M g H k Z 7 3 d s y X r w m T I U u e X I M X f f E W L i C h c P C P m 8 M 7 N N d q H H j + + u Y 2 o U V v U w 0 q J A c G 4 i t Z 8 H B g c N I X L u 9 P R L 5 1 C H T J w 4 Y R g S i V H P 6 G d h G R s G o f z j E x O m 4 5 k 3 K g b 1 Q o r y m 7 m 5 O U k W m L j e c n l H 3 g M 4 B O f Y N w e J m N q M l E H Z H L Q p 5 1 r A f a 1 d b S Y n R b 3 g N 1 e u X h d / a 7 / R J O r B Z 8 p Q Z A p l 4 R 7 r j e 4 / 0 v h 8 Q S 1 o C e T k y y e S Z v K 2 W Y C o M Z S z S l x I A D d D Q Q g Q H X a W h W G C t t C O x O N o h K E A j M T z e A Z n + 7 f 9 z g 1 s A r 4 b H R 0 1 9 k j x 9 7 W A c i B S J l l x z P B u / H 2 Q T I U U B r S t L Y d z L d J 1 7 Z M t S e e 3 J d R e f 5 S E v p U s r W 5 I f 3 v 9 0 v g z Z S h 3 v / r q U s L 2 Y q I 3 L f e O p K R f G b M c G i G i a r C d P D 8 3 v z O L b k d v O h 0 i P n b 8 u L m e j K T E U 2 M o V K O w 6 Z N t H Q D v T e S D h Z v x a g V E Z X / H J K u d t 4 K h a p U Y j Y D 2 R U W 1 E p l 3 s g M X 3 9 n 2 L 8 b C h 8 v i C X i k a 6 R 0 c p h K i C Z V o q c 8 s p V 0 V G v K t W V x 4 O C x 5 Z f C o T I U 0 q g z l J N 2 P d g j a Q 8 a J P g T f W k 5 2 Z + V w Y 6 c S r m 0 j H e z B Y t K o 4 m k i Y Q A J N 5 v K b H D R b M w O D w k U 9 e v G 0 8 g n Y 5 B a y I N 9 J 0 4 I M j W H l y + T h B l s 2 H L g X m x 1 w h f A t S F j o f o 7 R x O v c x k w e 9 4 D w 4 + Q 2 w R V 8 z f Q Y A y U D M p j 4 N B a 2 1 t b e e d O C j b v q e B n l p a O 6 T v T O e e + 2 o 9 l r f y M r e e l 9 5 W n u e s D Y u p y r x z a D v G V W 3 m M 3 1 M 2 T C 5 x a E y F D x z a j C j z J T a s 0 k V I E P q m Y H M T d e r w W Z h t T i j z 7 9 P b T P y e h O r R 5 n b S a / c 0 0 R V D 9 B Z j F S 4 r / k M M e M J h O D 6 + / t 3 l n B D F A C C J 8 M r W V w P A p b I I U B U J W I B A R 1 O h L n N 0 d A M m H f R s v D A L a h 0 B g f B V A x M l M N h y 2 Q y n H Z f W V 4 x t i F S m b J h B v o h G U 2 a z E W W Q c y 1 R F J S 6 Y x s x 9 O y H U v K S i Q r i 6 t b c m 3 F I 9 P L S Z l R B o J R Y r G E 9 I W i 4 s 1 G p a e r Q 2 1 S Z R h 9 x v X J K T N N w g A C E 1 H u 1 a v X J K 3 l J v V v y 3 S c D 2 3 5 B s T N b m / s A N F S J c Y Q m k t q / 5 B J 6 M O F k D Z K 4 Y s y e P J k X A I l 0 h G z I 8 K L l 5 2 J T D x 7 d y p T k R c C 4 E r / 2 Z V Q T f n D S 8 G O i n Q E Y T p W S n C N A / A 3 h G 4 R W 8 x I s E c l V o V s O 8 2 A I W 6 t w 8 L C o o k u x 7 A u r k s z A G F z M P E 9 o v a Z Z e p G Y d u O Z w I I F x u V Q c r C M o k b y 8 v L 0 t v d K 5 H p u H i 8 P o m k U 5 J q 9 8 v S e k L S o R G 1 c b V / v U p 0 u b T 5 H g e V 8 U p 5 9 L n E J h F g a c 4 e V c 3 n Z W v p u o z 3 e a S v t 1 u 6 l L F s Z l g 3 h a H 6 s X Y L R m W S n h 1 L + v v 7 D o e h y B o 0 3 p O V k c 6 c S R 6 o d a s Z V H x m I y C T q / 5 C c s K b 8 Y C q e h 3 K G E R A e P R + d n l g m f s 7 M 0 H 9 f e G m A k J q x z x 4 N C k b M Y 9 M b Q Y l k f Y Y h 4 j d 6 r I W 0 K l 0 O i 5 x C M m O o m 7 Q 6 X S C G 7 G l r I S 6 V Z o c A k P F Y l G V S o 7 L G E I v r k u z Y N u C s 1 U J q 8 E y j i F S P S w T W U a x X k n q X e m Z 3 E + 5 k Y W o L C 7 N S y r R K 4 u t O o C G c L f v v q + H E H / 7 / m T D d I P v C s i k k 7 I d 2 Z D p C 8 / L v / O l s z I y N C y t 7 W 0 S 0 P K L I 8 2 R V E g o C 4 K c M 1 m l 7 c N g K N Y a k e j k 7 E D j a t d L V 0 M 3 R T x Y c N X 9 E t h q x Y z k h r 3 / j N Y H R u d z 6 S e X h u 3 I + f k 5 G R k p z V C l E J l K S d u o 2 g N N n C O A E O 2 I b u t h J J Q C j x x O h F q I f D + g P F a 1 M p J b R i g H W 7 d i 0 K Y Q K W o e d b Y o V 3 e e A / 9 t X I 2 q h N q U G 7 3 H J L 8 T F a 6 D S J 3 v n M t m J L q 9 K e u L k x L f W J J v P 3 l a R o a H b 2 K k U r D M N T c 9 1 x h D Q Y T k V V i I e G V R G c W C e Z 6 7 R 5 w E 8 h F V 7 z 5 d D B h n A H v K o n 4 1 s t 2 K x c + v B 0 v u 9 F c L G J z Y m t J i p E M l h d a 1 z p X r e 0 C H 2 l H V j q T V s D k Z l / a j o a a l D L P E u R X Z M p H Y e N + o C 3 W y U q P W u u 0 H p i 1 0 d E 5 n n M l j y 1 C U T 1 2 Q Q v Y a 9 0 5 P T c v o k V G Z m Z m R Y S V a b I 8 W / V 2 o E G c I K t X Z P n f m / X l Z S H X I V j d r 2 L C x t A w r i e o A 9 l E 8 F p H 1 + S u S 0 P P p O x + Q r 5 w N m P a s F b R 3 w z Y U 8 z m k V n P 2 P S o P J E q 1 b E L 1 g L z T r a o y s n N F P W g k m 2 s 1 0 K F 0 L A G n E A W o R A T c H 7 u R l Z Z h l S L 1 Z n U p A T t C T 1 + f l G M T E 1 o X V N A 5 O X L 0 q P k e z 5 M d X Q + a o W g H O 7 i 4 J T V G P T n 4 Y C Z 7 n f t w h R P C B C z D A c 7 c Z / 8 u B d v u i 5 e W Z S O i U r i L V M s 4 f B y G r R c Z H Q T i 0 Y i s z V 1 R x o r L 4 L F 7 p L O 9 V Z 6 6 Q 5 / Z g A B o q G d f u R Y y B v 3 F p c o d 1 U x m A n j v o m r z 1 A t 2 X r e p k p s F O p 0 D r x M j U z W w 9 D 2 j B q w 7 b / d + E Y 1 u y 3 h h n s u n z 4 W Z 5 u f m T E i T r V M l 4 m w W I H K W d N h Q K n r d r L J V e 4 X v Y C A Y i Q P Y q H G Y x 6 q I M D 3 n a v W F m a K r M Y n E 4 o a Z s I 8 a Z S b i I W G m l Z l P J Z O M G W Y K t 7 Z L 3 t c i H y x U V / V K o e H e 1 X a S G X L V r f g l q Z I I r 9 l W 0 i v n Z 4 M m c c V z l 8 J G T S u V O H I / K N 7 8 u B a Q S y / S X A F l Y A m i F g m Q 3 E o p 1 e N J K l x o A l r C z k J E Q B 3 4 j J M E t c s 9 f 3 M o 0 G r A U D A S S V a w g 6 g H 9 W J u D M B c k 5 O T 5 p q b m e p h e p Z i z F y b l Y X g M U Y L s 6 q 4 E W Q y K Y k Z Z r p o a H l w 4 l 4 J t 7 C o 0 l H z l r d 8 a v f X 3 3 Y H 7 p T g f b / W R H W L l 3 + + 4 A q v B 4 j v p 0 7 F 6 + q 8 a r C j 7 s V P P p W z 5 + 6 o S B y r l y M S 7 g 1 I W 1 N y H O y q W R y U a 5 k a o g X N f M 9 K s H a c d X G 7 Q Z 2 M f a V 1 Z J X y + s a 6 m a O z 3 z W C x Y / W Z H o r I + t d o y q Z G n t G J p 1 S p t 8 y k o m R o H / s r L S 0 d p o F p c V g l / p 6 0 D z 9 o w y 0 L W U 5 2 r x R E j r p L b P L e S X g 9 T t / o 7 m 5 r R l h w Z k 7 z p r 5 K E v k p c B y j 5 b O 5 i a q h x i K G Y e / D 4 O Z e F c O g J f L M t O b M 2 0 q N X Z d 3 Z y N p F R b C m a y U q k R s D 8 T I / S m / m s U 6 V T C Y a b p j y W X T R t m C r e 0 l 2 Q m U M 2 s K c a B M x S 4 v N z Y S F I Y b G U h 4 i T m v z D n l + V t n 5 n P a g R r M a / Z x a 5 Z s M w D A V v m K g W 2 + W S E Z g a / G b B S i G j s S u U e F K z U 4 S B J J u / P P A x g j q / Y T L Q S l I P 6 N s r w e f 2 H p u E J N L b l D 8 y U i E d l a f I D H Q w y M n j 8 H g m F V c 0 L l h / o 6 v U s H 0 p v s L N 5 p X k h N y J q h 2 G D X V / z y S e L A f l g P m C i J W J p j y x t + 2 V q 3 W e + b w R 0 x v t z g R 1 G 3 S 8 g K E Z n C N y O 1 q W I J R l h N r 2 6 4 6 J W 2 D K 8 + k K W u Q 4 L M B M e R J w e T L q 3 q a 2 G N 9 F m Z W p w i 9 2 a 0 H u 8 S 7 L 5 r L R n 6 n 9 n J m 1 h p u X p T 7 T N s j K E z a T M F A x V N h + I 7 q k H h 8 J Q L O 6 7 s V l d z F 9 f 9 c q b 1 w P i 9 + T l e G / W b O S 8 G N E q Q j S F g w g H 9 9 / 1 H G P d G V W S 8 j U z d 1 U o Y c N U E D j h R + V G 3 0 z c 2 Y y 5 W a B M G C n B v I e W 1 6 g 9 U i / s o E H w r Z l v 0 v f l n e 1 x G P U I t q r 6 K F v G k 0 g q 6 V p A W 8 V j 2 7 J s b K a 8 D J 2 4 3 w T Q B q o w E y i X 2 7 E c D o W h h t u z S s y V X / 6 S 6 q r X 1 w M y 1 J m V M 0 M Z k 6 2 I M P p m o b 8 t J 6 f 6 M / K V U 2 z Z 6 V x D G r q X x 9 f t k d S O Y v K P 5 C m g F D M B b 0 C J v k G 7 o R S s V L I J K p s 1 P p Q D U o m D c r E V y R 1 o G d n N U A c N 1 G b 2 2 D 0 5 P i K h x I y p D 6 p b v j i c q A h I J 7 A x f 0 U G x u 8 s 2 E y 1 r Z O q N f u w x a E w F F v B F O 9 2 4 Q Y S Y 1 p V O V K L t / j z 8 q G q e S 9 e D j W V U O 4 Y 1 o b X 8 5 x K y t e u B e W 5 i y E j D X 9 2 O W i 2 I X l Z j 1 e u B i W S q I 2 p L I E h L Q I B Z 2 Q u x 1 A 5 w k S q + M u z B a l j m Q X w b M r h u 2 J Q V r j g C K i t x o 0 B q U S d 7 I Z r R K 1 T t r u e h w X 2 0 8 p k k u J t z c h j 5 3 p M 6 J h k n E x Q H O V g F o A m t q W 9 2 1 l c W c l m K o a y c O F T b T g U h m L w q p T J a W l r t x p T a 3 5 H z W s y 3 p g M y g u X Q v L J g t 9 k A 3 K D i A 4 r 2 o l K r w b r 4 V p f 3 y g Y 3 J X 1 O Z 9 f V c P C 9 B m E 6 B 7 x A U s E S E 1 m n 2 u Y i G t K J K Q a g y D M / e Z u B 0 u L u y n B D o q 0 K Z 8 6 s m y + u 6 f b h A o x p / R Z M N P G j K p 5 S k P d J 9 p N e 5 C a e r A l J q P 5 K + K L z W q d q G t p I o O B A u F 2 i W 0 t m b r X U / 9 6 V 9 s c C k O h v i U q z M c i k S w O q q v K M T R R Q M + c T e 4 c t Q Y y w E i s h G V d D r k a w E 6 6 r i J 4 g 0 6 q Y y Q N j A L o V M t A + o d J t I K h v 7 C 4 u M N M l y 9 d N u o V 6 l Q 6 r U x W Y C p G 2 c G h Y U k V F r Z Z h n M f t p z 9 g D q Y Q z 9 T 5 t j Y m J k w R t V r 1 P X d K I L + V u k c C 5 s I f 9 q E 7 U N R t 8 / d e V a + e l + / 9 I Q d z 2 M p + A o D n t E U t K 3 x 9 h 0 U D o W h 8 K 7 N R 0 p 3 A E u N D x N K F / L I s Z T Z M Q F 7 6 v G J + t d C Q U w Q m J + 5 l Y F + 6 e 7 u N t e 9 P L w E i N 3 j N 9 g 8 q 6 t r x k t G V A G L 0 m A s c o a T a A U C G S 6 k K 4 M 4 T p 8 5 v a N w W A M c 5 r G E Q 0 Q C z L y 1 t S 2 z M 7 O G k W 7 M z p r v u G c / j G X L g N F b V b X k f e 0 B Q 3 E + L G y v x C S V U F U v 6 O Q k t C F O t J N l 7 L M 9 m x L 0 M k C V H r n 9 / q A c u / d J W V u Y F L Z h P S g c C k M B V u O W w l t T 9 S f R 2 A + G O 3 M y q z Z d W u k F g 5 O o 8 0 Z g O 5 K V u W 2 s O 1 I C g w g t I b p h p J F e h x C 6 u 7 u M m x l 1 b W V p S Z k i L n 2 F / O a W Q I z H T O / h b M u x i T a J j I Z p I p s R I y F J v E I i x q N j R w 2 h 2 + B Y l l N s q E p a j 3 p j Y S U k 0 Q 9 k a A K 2 b r Y + h 4 n E m k r i Q G a n b Z J J Z x D k 3 W y 7 t b W 3 y d 2 9 S + L J M 4 j c T G u h l l Y J q t q 3 P P 2 R / s 5 R Z Q 8 C h 8 J Q O B 1 w M l x X + w j 1 b z 3 u M b b M O z O B 5 r m w a 8 D J / o z J e s T K 3 T q T i Z Y F U d P x R N y o E h A h x I h k c D M W O b Z F B U U 6 m T a d b 0 f 6 8 W P H h F 3 P C e 6 0 o z 6 H Y S Q 9 O N u O R 8 U B 2 G 0 w D X s n 8 R v 3 4 S Z 4 E v y T 6 L 9 W 2 H r b u s P 8 2 E v U h 2 d / l g g G w 9 J 1 p G O n L R h A W I 5 u 2 9 i 2 G e / 8 0 B H H o 1 f M V C z t 4 L 6 O 3 l H t h 7 h K q f I J S v e D Q 5 N Q t M W V Z Z 9 h r H e m g 2 Z e q h l R C 6 c G s v L Y 8 b T 0 m K Q a l Z H L N 1 d N I T A T S c I S c w x 2 l l C s L C 2 b F M J 0 t i V Q r 9 8 j 0 f y G x J Z U 1 d B O N Y S v R G o Z q Z y q C C A C Y H I o q D R D x b R E b p n H w t x b u H 9 h f u G m 2 L p y g J k g V h i I + p I I B b i z J R 0 2 a D / q t H k j I g l V b W 0 7 A J K G 2 h R j F j A U 9 3 S 1 K e P k S k + i B 5 Q x B y f u l q X r F 9 S O q n 2 i v Z 4 x / 9 A Y 6 i A w 0 Z c 1 C w f J o v T Q W E q e O J G U v r a b V S 6 L r R p d 4 r X C S h G I G 4 O d J R Q D Q 4 M 7 i U N m p q e N v T R 1 f U q G j g 1 J W 7 j b T P I C a l K J k S w s I b G / q z + w m 8 6 r H O z c F L k k Q K l 7 I V Q 3 w 5 u / l a l w i f M u q K C o p f U m e W w G b L 0 4 w + i x 5 Z R + 3 p W c 2 2 o v k g y n V D v Y v y e C 1 8 2 5 e O I 3 G C I / R U i 2 1 t h s Q d V z f X 4 t q I d q P t c M F S y y f 0 j + 8 s D R t P H W l b K N C F 9 q N i x D c V j i J y S I z h 0 b H z e E e e z 4 M Z V G a m N J Q q J z 9 Y c g U Q Y H z 6 q 0 t J s 3 h u i Y a K Y + w N b J A u a x N h L H 0 u K S r K 6 s m t 9 S h g X 1 j 0 W d 1 G P c f x i w T E M d 2 V y b w W g 5 q p J 2 I L y n D p a Z i t / N Y m L i G C N L 4 a 9 d c D + q 3 + D 4 n Q W 1 r z b n x M x G + Q G s G I f G U L z 6 I 8 W 5 + E p A t S O D S o s T S c k A w 1 T K j d 7 d c v N 3 x f N P z Q a E g L q E b U T n G S Z z M V z v R I + e A 5 K M 1 u d Z 3 M O 0 h W v F M I y i B A k R 4 s D g D K w U s g e E y U G m I p L / D 6 p E 7 e v v 2 x n d K c O C / A 4 Q e L N A u e 5 6 u G H L Y c 6 L A e H E y Z N m A B n o c G x H v u c 6 y + x B O W a y g 8 J A 5 l P T J s V z U 6 h 9 P S M n Z e 7 S m 1 q P 2 g a 3 i 0 v a Z z V G 0 R w a Q 5 0 Y y E h n W O R B V c 3 K 4 d x w W r 5 6 J m l c 2 U + e 0 u N k y i S w d L 9 K R z i v 3 y X l y / p d X 8 V M R T c z l L Z v x Q n m / Q L m Y Z c / 9 7 5 P q I V 7 4 M 9 K Z M Z J 2 H 8 Q Y C 4 L z x z q G h l t j X N h a 0 u Z T c v d j B g 7 i f A h t u g Z G R n Z w 6 w c E C F g Q 4 O x 8 T H z P d e K m d L e V w / 4 D Z 5 D f g + D u J 9 n J d P K 6 q q Z 6 7 I D U l d / p 7 R 2 h 8 3 7 E C + J 4 6 E c M w H L U K d O s p L 5 5 k l c l t G Q S i y d J M K i v J u 9 G O / f q C 2 o + l A Y i k I m e p 0 R i Y y c B L 5 a h A u q W Z d K l C N d D r X b a I W A f n f v a F q e P J 3 a k T g p / e l 6 v H q 1 e V 4 p s P z j o G C Z x 4 7 y p U K G 8 p 7 6 Z u p r h S E y P R j V I U 7 + H h k d M e 5 5 d m N k P R K e Q Z M I U / + G 8 O z h h i V W m B I p x + C A C x 4 m x C Y k u h 4 G K J Y w 1 Q D j W F A G m X Z h f v b v t e 0 x M z 1 j 7 D g 3 w 6 Y T G Q m E V N V V C W q Z 3 k r T S g g H P O J J l Y r q g F F V 8 h 2 7 W 2 K b K 5 K M O X G Y 1 U D c 5 2 o N T r T q d 9 Q J M s C 2 B 3 P S 0 + I c O A 2 K E 6 S c 6 M 9 I d 4 G x n l B J w z 5 G S K d y I K / f Q + M p F f 9 Z S a r a 9 s 5 0 Q F 6 9 V j n u r l Q w L n c P t m f k 2 s r B u Y G R U h A t 6 p J 1 E L g R a g u o 2 t G c V b t u E L 7 E E M r k M G U D 4 0 l 0 M Y 4 9 I E r 7 u R T s 9 z y L 1 G B M X E P o 2 I R I C u s F t J K l V k D c M A P P J t M u z + f Z T F A j R c e P j Z u / 7 T 0 8 O 9 B a v 2 P E e T e P t O a c d i h G I N Q i n f 1 H Z X H y f R 3 0 a p N Q 4 F N V / a q h a Q x 1 9 3 D K J F F 5 X O 2 k R 4 + l j N e N g w j v 4 n 4 j c u J h v l M 1 E C L / 4 o m U 2 c O o E r j v v t G M j H R l D Y O R o J J J 4 V i Z i H Q G 2 i F l Q D c 6 V W r R K C v R 0 r 9 p B i y R Q o i g O B y J j Z S J P M 8 i a p s E M w r r g X c R F Q 8 v H e A t H e L a e 9 Q C 7 r M S w X 1 Y U C Z Z j W p h K C s l k E w k k b G f Y R y O F m X W v K 9 D F T R n I t v W M 7 G W l O h q / a t z 7 T t 2 m P R i N 3 v 7 k F A 2 u Q v 5 + M h 8 V A u g O Y 5 K 2 B d D u b O t M p C Q p J 9 Y u I L W U D P q u f 2 u Y Z V 4 q g I + c D R l r K T 3 Z p 1 R Y 0 P V Q E K 1 C L R d K + x t X J y e e T O u H b r p k 1 b 9 y d U G p B S E Y e L x K h C R K V E b I K 2 q k b E L S t y b S i V k a 7 E 2 V a M a 3 P G B D F Q 2 M Y q b + J s N G 9 k R 2 X I 2 J a j E V N Z G s k A y Y U c B n m E Z t 6 d T 7 T c l x 2 t r p I 0 u k K V q d p 4 G 8 0 a A w V b V j M p s A 4 9 z Y m D 8 L t n e W J J E z E k i U w s u V V l 9 v i + G O j u Y M W o d e H P 6 c O c s 4 m m n 6 r j C V 7 a 9 8 u G c X 1 6 8 F J I P F w J y f l b P 8 3 6 Z 3 S j 9 e g v K d J O r P s N g R G p k a g z X M L q 9 E g 9 J H Y 1 B j c q j T F Y s h Z h f a l U D e m l h c W d 0 d q N 1 I C y Z 2 v u w J C i T O l A f z p t q 5 / T 1 O 5 t J M 8 o f F H g 2 j A A Y N E A 5 h r K M R B o x 8 o D b t m B d k z k X t U 1 Q a f V k X 0 Y + W n B S a L d 0 h i U Q b p y u O t R m Z I g r 1 Q f B Y E j a u g Z l / v L b + n 3 5 A a E Y S 2 q D V y K X k h R H A n 0 G d 0 Y 8 j l L o V 2 l E a L t 1 R f e 0 5 Y y U O C y g z i E N i R Z / 7 0 Z A E g W 3 J n 1 L + 6 F D V w O 5 z y / c C M r c Z v l R h 8 6 A c S B a C I f R d X l p 0 R j q 5 F M w k q j w v S U g I 5 n 0 d 1 0 9 T t B s M Q i W D X d U t 6 N 4 j 1 K d R z m 4 y D l f V + M e I u 9 S 2 4 O R / i C Z C c B M V v o h q W A W 0 0 Z a n + K D 6 z d m b x j v X F d 3 l 1 F J 8 T w S b s V z L G O 6 w S U 2 l O A b j x I h z 2 h k F 0 L a I Y S E i z k q Z j F M x i Q t r K W 9 W 5 + f r i t g N l o h o H u H A 9 z J T H F H P 3 U 6 Y b b r Z P t M N 7 i P 1 a / 3 q 7 3 U r d L J 5 r 1 n 3 y f + P i w w F 0 X E + F f 1 u F P V w G L M l Z F O b k C s m w m P S S 1 d D k a 9 0 0 6 d V c J g o p N w H m b q M Z 4 h F O Z G I G y i v i 1 h g d n p G X O v 1 e f d i C 7 E V T 2 t H k u G Z + n K i k 8 Z n p 3 c n W u W W W e m p s y z j 6 s K h S P E H Q 9 4 G K D s Q D B o H D C W g Q D e Q N q E e h K p f u T o E X M v 9 S K Q F 8 8 j n 6 s x v n 0 N H b Z l 8 Q P H C V I P H I Z V x m p x I k a 0 E w v n X Z C D b 2 j i P o m s z i l D F e y E K i C g m l w n 5 b D T 2 w w C R 7 u z a l 9 o w a 4 + w Q O H b W R x j 4 4 e H B Z n h 1 J G 9 T v e Q A L K / c I s h F W M d m X l a 2 c q h x 2 V g 6 d K O m k b H t Q S D k l 7 Y X t 9 K w n o N J w P f L Y Z Z K P b U e N l G z s 2 b r 4 v Z i i Y g f C X r r H K c X K s H 8 s q F 5 0 Z y O r 7 5 X Y 0 B X 7 P M T S y S 5 g 4 O W o J Y 2 o m e C / L w L j q e W 9 c 6 k h t G 7 L E k h R g 2 8 u 2 G U e t 6 D r a J o F Q 4 2 r f c I t j 5 9 F m x S C n R K i t S x a u v W e + L 6 e 6 u u F X h q I v y k m p n d 6 m O N J s E Y G A H m v h r g a 0 0 a 3 S y 7 0 I r y v s J D 8 5 6 E 2 n i 8 E A 8 O F 8 U F 6 f D K o d 5 b z k o D J + c V 9 V W 5 5 R V T M s P N A G Y 9 q 0 v 5 a Y D Z F o w 1 h i Y R k B + e f s t W K w 8 j S d q a x e o E o T y O v s o r c X X K H j I W L K q I c 4 D w I w C 8 y F S k f d b B Y k O 5 D w v Y W 7 z W o F O 5 U E W 0 I 7 d l e 9 6 O l q N 0 s 6 S v C T 1 s M Z E H q G T 0 o 2 n a w Y g U 4 z d 7 c w T e C R h 8 d T 0 l Z m Y 8 A 9 w y c u a C Z N 3 S o r 3 X V E G Q Z 0 F 2 y r W w E s W 1 / e U j V C p d O n a s S e n w 3 I j Y j X 7 C z v R r k t c C y q M Z Q l 2 K W l J X M u B R s k y 7 w K D M f 8 z 0 0 R E o p s O i d + C U v n E U f S l Q L d R O I Y o y m U g l I G a 7 C K J d 9 n C e p i 3 l 8 l k 5 W U t J u b m S q B P m J J z / V V 8 o r c 3 C G p T E z W r t T v x a E O 4 a A + L 8 e m 1 6 W l D 2 n E B s b v k M V r R K A n S k o y c K Y / b W J F 2 V 6 2 E k r 2 C s a 6 G + z W D q y K 9 V n C v u 9 G Y T B h u 8 / 7 j q R k N e q V r Y R X P n I t p 0 e S V h v Y E O G V Y C O S 7 Z 5 F p d z g w I 6 8 E F Q 5 H s 0 k 0 t L W 1 y n + l v I j 9 P S a 3 6 j Z l d D d w 4 Z i D i P f K t h h c H 1 / H D X l C L M Y 2 L A x H Q N 7 W v J y v I + 2 z h v v q x s M R N o T z h 9 1 I q g S z p 8 o 7 Z g A u M + 9 X r / E I s 6 A W S o C v U c l 0 5 j a 2 d B S 2 Y G u g J I 9 0 q L i z E 2 I d D A 7 B N a g Y h 4 4 n r 8 U k q k 1 n 1 H 3 A H t U / a y Q 6 5 w + d K c F q 6 W + M K H 7 N x Y 4 I 6 y n i m O u s J f s f p C J Z 2 V z c X V H 6 l l Q b z Y 0 e G s 6 K O O u f a y K Q Z 1 Q 9 / C s f Z a g D t Y R 4 T 6 A S R y j 7 w f 9 p K o E T s b T z r u 7 w 8 T Y J g l H 1 / K W V 6 I r c Z V M E e k Z G p S e U x 2 F O 2 p H O u e T y 8 t B 6 e 0 f M n 8 T t 8 f h t p W Y 8 6 I / h k 4 + q E y 1 q n b g X r W P n r p / 1 J n 4 p Z 4 s U q 2 E k g y 1 G P G Z H B D u K I R H V W 8 k A u J W Q H F q 5 9 3 u 2 A U 1 L 3 W 9 G H T o 5 e W b J Q a S i F T H h N l w D A w 4 m V G t D d U Q t L W D S n C J z b 2 e 0 w t z A e l U V e I L 2 s Y 3 s / Z e I P / w M B Y z 5 W E C g o w l d X D Y 3 J S 1 S F L W 1 r d k O + o Q 4 l I k L / M r W 8 Z s i K e 8 5 i B h K U s g V q M O o 8 W V j G b 1 b + y R U q s C W o J 5 S a 6 r n Z k M i L 9 D 2 7 s l U b e K S / n 4 B H C g H W 2 P S d C T E V / a i b p A / Y O x 7 J k c f a 1 d g 7 J w 9 R 2 z k Y C l H J q Y 3 9 P l 0 A k b 9 V W D q S U R 3 b j C m a S 1 y y Z w D U Z 0 9 L 5 V Q E d 8 c K O 8 u 7 I Y N 3 d T e d z Q z n X b j X a i F k Y i e p z 5 l m Q W 1 U B H M / N N b U C y M T / G / N x q T A e o c L v M J F T K R P 2 y v e i 4 a e d V w t 6 j I 2 A t z 4 X J c U n f C r h 4 I y Z v L w 3 J + c U u O b 8 y I L + Y a Z f 5 Z a 1 b a k P G R 3 o l 6 P d I V y v M w X Q K j q u s 9 L X l z b x l i y o X e J T L G f b g y H h Q E t G E p D Z T E q y 2 y 3 k R L i i d s B 8 Y 3 l E G n u 7 u T n n i R E r u H Y 7 J l 4 9 H p S N 5 x d x n J V V n d k 7 y m e S O q k r e D g A Z 2 I z H M F c t + 5 0 Z j t n S E S Q c y J l t P N 1 G 4 Z x K q W y + H h J q L j B W U Y N Y a R v T k W 6 l R L R v v Z k 9 y 4 E 5 n x 0 U G I q 9 l g C M d G H R Y a h a g B p K I s 3 n L 4 X l 1 a t B e X s 6 I O d n / G Y J g K d N J V R q 2 2 R A n V n 3 G m K r 6 m l 0 w a 7 a / a w k l C V C m 3 l o p y 6 + g H y y 0 S v + s K O a l f P k 1 Z L 3 E L C f F i u g E 4 W I m G K w P o l I G M 7 s T 0 a g 9 P I 2 W 9 R 6 5 W 4 d o D r D T j n U g / r R d 1 1 d n Z L L p O S R u 4 / K Q y O b 0 p Z b N X 2 d 9 n V K Y O u i D I 6 f k + 3 1 B R M a Z h E r U 3 4 5 m L v j p n J O d l f 7 u i Z S w p u v u u 3 n Q Q K H A Q b q L 6 a C y l i B P V L E o l T u a V S G e j G z v h t S s h x x Z u i n J i e d C 4 q T / d X F v U U l y c 4 m d e + n B y W r 9 k V 3 N l r V A V E M S 8 i f N d L e Q u o 0 L 8 G s T k A r W V a v 3 X D m f f Y L T z K k 7 x q T t o l u O 7 7 t g H C z p J o y R 7 t z Z l q E n f 1 h I O Z L h 1 T b K h 6 g Y C o 7 F 8 Z k N P O F 3 e 0 h 6 Q 5 G x b d 9 T T L B f k m 1 n V A J F d f f O u n e A M 8 Z 6 a h s M x V j p + c 7 Q j n j w W C w e f B o S g L K T K e M 1 + W z w 1 W X r V S K m c q h E d c + Q b U v X Q k Z 6 f L + f E B t g a y c O H V q Z 3 R D R a k V y 9 H K o x r v c j 2 W l 2 w D e 9 2 x U B A Y x 0 A 2 u 3 P Y s K e D B G V Q L s l o s p 7 i y V a n 0 S P p k N 6 z G z H S K J L p b e k d G Z B W X 0 6 u r h I 4 6 8 R g r q k d B m 1 a C V Q P Y C i O t V W V T A q W j W Q 7 m I N K i y / U I Y t X 3 1 Z b q s / k n m C d 3 i P j S T l R x 0 A K d n o e 0 f a w P o D K 4 o L + 0 s m k S X 7 y W Q G p y Z Y 2 j a C a K 7 w c I H S b x f a j p X a t g 1 9 e v N J q 1 D Z G S S v B K o F b W L N V D Z F A m w T r S P N l w a Q p e z E R 3 7 b F y m C t G N E J R v c / Y K Y y U n s p K S 9 9 m p a c N + S o e g X Y J R L 3 H 0 c 1 3 r 9 K 2 j n S J r G I v p f a N S w B 4 m n D H T n p V T u s 0 S A C W 6 e B w U H z L q d P O f s T J x N R S W y v y f C p R 4 X N 4 k j d j O 3 7 x l R I r i k z 1 w P D U C Q 7 g Z j e V n u F e L z P i p G Y 5 / p g 3 n m B u R K J M c g h U U s / 4 T 3 a D 6 w a 8 6 Y 2 K K B x L y 3 7 5 N 2 Z 6 s u g E S C 1 M F 4 y y w S 6 t n u d y b N Z d d v b 1 y d s f k 1 E O 2 B C m R g 6 K k f R N R T f M B a X V i Q f d H b f o I 0 s H G L N S 3 z L G f 2 R B P s F + + l G p p v v h E H K w l C q 9 Y k v e t 0 4 o S b f e 1 4 G x s 7 K A 8 e 0 X V 0 m A 1 M 0 9 c A w 1 E R P V u 4 c S p s d K o g 8 G G l w h 8 D 9 g p 0 x c N m T A J P l F R a W i X D j V y N o U O s O G t X g L m p m 3 W / m i q r t x p g o s V a t V G 0 G w 3 q j d m w 6 W u I H Z W D D f H D d E 3 Z E T k B z 1 u u W S E w U e m F e i G v N x t E R p g + c s m 6 G v m n Y W d T X F P i z 4 m d N R 4 2 w d e J s 2 6 M U a C 8 G g B T 5 4 s N O E h i m I 7 Q x V Q K G 5 Y v H W S S b l L G u j A k z q g e G o Z g D G e n M S q + e c Z 8 f B h j 1 m S d g d 0 O L y c K i v + I E m G X a 5 d B B N Z h P q R T O t B 6 / e U Q r p Y K e Z K L c k 5 R w d / V N v 9 y A o Y i Q c B 8 w G F H f R M O z r I Q l E 5 F I p O k M R d m j f S H p T 3 9 i / i 6 V 4 C Q e K b 3 s v B F 4 s g H x t + 2 l h X L g X b H x G E h 2 b b 2 9 f 1 v g l O B a M O C X b l 9 h R b C + G 1 g s r O b u C O X l 7 F D G n O u B e c r H C 2 q E 7 z N 5 i S X 6 q N p i e L K q I e j N G R X q Z b V P c D F j u z R x V f i B g f c k b t D i 4 q L f 1 N 8 e b B x X D D c D t g a y c m 9 2 R e J q / 3 S N 1 T / 7 X w o m 3 E k J o q 2 j 3 U z 6 2 i U T z Q b P Z G S / 9 9 x J C a a X z b V d K e C 8 Y 8 7 f n H d K s + u j S o w O t a W K A Z O 4 D z c D E f E O y P / O Z 5 s E h u + 5 F 6 A i 2 z j D e y d a x Z v a M J O 7 A I / h f m B a n U k w 9 r J 9 f y 5 o R m C 8 K g t l d s s o h 6 W o s / f t e W W S o y o q l 7 a d D n W 7 k P k M A x G R U r w A E O / a 5 w W o l G T A e e + G 3 7 R X r W D d 1 j m P 2 h g 6 s v e d L r 3 4 s F E g q V j G A W M B 6 w 1 s N r C N U M E f m n D s y + J 8 D V s b j g 2 1 X 0 Q X E y p J 9 q Z g d g N G s b B M T V a m 7 c i W y d S L x G Y Z C Q M M j P b J R x / t M B R J N C 0 C y l i n R 1 s k G G o X F h p 2 h 6 q v U 6 u E P V T M x B h J / S a V o V h K j q O i V u B m J A k / i V n Y 6 P e C M i e x W s w f E W p y a c l n C J D R 2 j K b E w z 5 + Q R L 7 l f q l O r t n p R K k 5 D 0 3 d l l B / Q D A Q T W 0 d k c S V E K E H l r S 1 B a E 8 4 8 n U P Q D l H b 5 D T 7 R e d Y q 3 T 2 9 t y U z M a q b j A L e 0 X h j E n E 4 y Z M 7 O j Y m P T 2 9 5 l M v a x g B t S V Q e D c X X c Z q U T e + V O n T 5 v v n M H B I 8 N d H h n s C U n Y p 1 I x 7 z B d o 3 K q o l h 4 7 0 b x X E N p 4 O J e 2 P K Z B C g k P 3 l z x h m 9 X p 8 M a W O L v K b n a T X q s Z f 4 + 2 O V h t N r P u k O 7 2 + u 4 r N E J T u q H L I r C c l 7 n Q i A Z o L O Z x T m s D k m I B Q r r Z o N q 0 6 O j D i R J M T E w V R e J c a x w Z t V t E a A F 3 N 7 L S K x 9 d 0 l F Z y t 6 o a a y 1 5 R p D d j a 1 Q O q 8 a Z d 9 e D v 9 0 H 1 8 I t j s 1 q m c n Y p P r Z 1 3 1 K r n 3 w q m z F 0 h K J 5 e T V a y G j S d W L i i 1 e b b c K X v P t m a C 8 p o U T a f D x Y s A w V u H 9 d 8 6 l Q P a Y 9 2 7 s z s N Q U j 0 h O J 8 3 4 K x i J 7 3 W n u b n 5 G P J A c R m j e 3 F B W c v q Y N G M L 1 g z p b g R 7 z T E g o 6 h L o f 8 A 5 m U A j m J L G Z 2 P m b M w z F e 5 J 6 z F 2 O Z X I Y x z C I H s X g m p u 5 A O e 2 t l b p D U c l 3 H V U f v L m n L z w c d K E N N W S 2 L I Y F X / B 7 o J X K r i J i Z J u V m I W u q S W + Z v P K 1 I q j B N x 7 a i t + t y w 1 c B k L g R N 5 D d n i I b N 1 8 z o u 0 / C L g d L j K M j Q z I a W n Z C d V R K n Z x w J F Y p Y i 4 F K 3 H c B 9 f M o c S w G V + X R C J p 8 r A D M j t x D z s q A s s c 7 q M R w I y P 3 j s h v S P H Z W X 2 E 8 m k E 6 p C R m S 9 S s R L K V T 8 B Q Q + p a o a s X T n i 9 Q / o o a r p T X + P N t I B 4 G 0 6 h C e J o p h i E u p z 0 R O Q I R m x b A S B 2 5 0 M 1 f V R I Z C Q p j y C r D E e 2 6 8 Q 4 b b V W J k V 0 w E Q y 1 l U l e 3 x L H r v M x n v Q a W l h a l s 7 3 H O F p Y V s 9 0 A C m l K Z d 3 a 5 R 5 y q G t N S w h S c j E f c / I 5 b f + w i z j u L a U M V M 7 F q x K e E W 1 s Z 9 d C Z X d G q k q C y I 0 t p J e 4 9 l 6 e z o k l 5 e d Z R 2 l g l L d I G j x R B + 6 f O H C L x l 4 r + J 3 q 8 Y r y b z 3 Q L x v 5 L u w W 8 9 g N y G Z m i m d I H 4 A w V t G A J a o / a k V S f t r 8 1 r C T P b 3 q 8 s r T p a k Q i q y S x c v m u u A z F L e n E 9 C 7 S 1 m 4 z e b o t k e z Y R 9 j 9 O j I a O W j 5 1 7 w q y N 8 m a 3 p K e Q z D W t T X B R a R 9 V k A W p v 1 B e y C o P w G Q f z K n Z M w m T a d u b u 2 s A R v i G M t W U 2 k q k Q n Z z b j H 4 h q 0 3 U R m 1 n T 7 3 G O j I m T 2 n 3 O C 9 i t + t m s q a 8 b G 7 R X M I 3 Y 7 q J P S H Q O 0 C y O a x 0 V 6 Q j 5 B d E Y l 2 t 0 z B G X T 3 D S i R e S W Z I n d D 5 U a w v 2 M r n T 6 t M 0 4 F J A + S 7 c z Z s z v q n Z G I o b S O Q s 7 c F w e E 3 0 y p W 4 z j o 0 4 O 9 5 b O P t O 2 S M X F 5 U 2 T N P X 1 q d B N / f v i 1 Z B 8 s h S Q x W 2 v 0 d h + M R 2 s n a E s S P 7 P 8 o i N C g w F T 7 8 7 G 5 R 3 i 3 J T f F 5 h 9 6 z a L 3 z 6 o H y 6 C t f V A J 6 A 3 Q J x Q m A Q H 8 s S D s K r Z 6 U T k 6 S t a r x b h r B M B T r 8 S f F k t m V p t f z S f C v d L A Y G d r P c w i h W 6 u A 5 Z M s d I s F 7 h r o l 7 8 v K x v W t p k u l Y h j J p y r G s H d a w u F W G T 3 9 B Z n 9 + H X 5 x X W v T C 7 E a / b q 1 t U D z D X Z y N 9 t 1 / L 4 c q h n H u t W B l 7 u W Z X M Y D + 8 N d C l R J j a f 6 P Y 9 T r k / 0 N i 4 O U z B K s S I p F M 7 k i J a t K i H r A R G t v g k N x z d X X V M B N M x h Y 0 8 L E 3 l 9 J 2 u r k 8 6 m C k j d a P u j I h i x T i b 2 A l z o 7 k 0 R N 7 O H U W 5 r O 6 x t p U a n T u 3 H 9 Q s O W P j x 8 R P 9 m b 9 K W O 3 f 8 N u f j m j 7 T + K V X V a 4 u 5 r J m h K M + m 6 I J R 3 D F 4 J d H E z v y s Q e b W T w s h R Y 2 + F e 1 n + k z t q P 3 A 5 F J X 4 m I p f E D 1 f Q g b V W R z M y L R W N R M c O L x g 3 A 5 b K r k e m E Z A c B M j O D 2 O c F A w D A T S 0 n Y l I 3 8 d k d a V m R 0 y N l E A F C v n U P t x u X l Z S O J n N C o o + a z d X U D + 2 y j w h b K 5 R 6 C Y 1 l B m 9 i o b b f B / Y D 6 d I Y 9 M h F i n 6 o O J 0 a y Z 1 Q y d e w a X 7 V 3 y Q X A s m W W m v t N r m m R l 6 + F G y a s Z u M w 5 q 6 q 2 U a 1 g H Z b j K q U K x D O f o E L m f x / u J V f e P 5 F + d E P f y T f + c 5 3 5 d / + 2 b O G 4 S D Q H / 7 g L w y B 1 p u H g t / C C J y v X L 5 s y u n r 7 9 9 h A K Q H a a Y t 8 y D B j 4 0 f d T 4 r E d r f s t C Q c y q d M i o e T G h / U 8 x Q V g J t r G / c l M J a H y H e Y F V S 3 T c o k / q d G B + U J y Z i 0 h a 7 L J v L U + I N h H Z i / a q h Y i 1 H O 7 N y o j 9 t l n a w V J u A V i Z v b x V V j o 5 s B r E f F v o 7 l D j 2 m d z Q e u 8 I H I U I X 3 j u R X n q a 0 / K t 3 / 9 W / K 3 / / Z v S V 9 f r y S T K f n 4 o 0 / k 3 J 1 3 y M s v v 2 o I u Z 6 l 8 z A E 0 o k J V M J 0 L P E b i V F 0 Q I B u 6 c X v L E M u L i 4 Y Z j a p x R Q Y / M D N L B b 8 h o P M u 8 B 9 T 3 o 7 1 R T b s x Y Y W 0 o P b V w 5 N d 5 r t t O h y V t D t b n p K z I U D o i A 3 k G 2 T D Z I I 2 f a Q W 6 p W S / q z c f w W Y J 2 b A 1 5 J M D m V P u s N l I n l 8 / J i y q Z n n z q y 4 a w 2 X s W Q n j 4 C w + Z H T m G h g Z l Z X l F j o w O y 4 c f f W z c 0 x y W 8 N 2 A M W E E e 9 h r l h F 4 f i k m c M P m C s S h Q N a g i K q d w 8 P D J k j V M p 1 l w l L P 4 h 4 O J C + A I X f g 0 / o l m z / d U A 7 U Q 1 t A I t k O a f H n 5 U v H k 5 J h s 6 o a U L a V S L t s t 4 i x 4 O 9 G 4 p s O A u S N I A j 3 V k b Y l f 3 q e F / G J G 6 U g D Z g A 9 W G E Z A 8 E G w 0 G l P 7 a E P 6 B / p V P W o 1 8 z Q Q K a o S T o O L n 1 w 0 O 7 v D F O y V u 7 2 1 L Z c v X T G / x a 7 C H e w m W O 7 j S B V C l + I q z Z B O A A a o B D O a K 8 j n z n Y 1 / A 4 V s a f X 2 f X C M p J D p O V h n 8 P 8 U z H Y M y 3 L 7 g m H B N q a O q e j y 0 7 O j r x H t j b X J Z / L V M 2 y V Z a h 2 F H D v U M h I N / Z r Y L P g 2 x y r 9 5 F f f b m / d L a v x u / W A k Q u A U q G 0 y w v b 1 l G O l j l T j v v 3 d B 7 r 7 n b u P K t k S P k w C Q R 5 D f T J y Y M M 9 5 7 L F H l M B 7 5 O c / / 4 U 8 + + w P j N 0 F c x W D u S 1 U N L 8 y J x 6 9 a k x g Y R l m e G T E 5 D G 0 v 6 u F k S z s + y J V i 6 V o x 2 i r M m n z Y y D L g T r D 4 C N D f R L q G J R 3 r 8 U l s n p D T n a u y s O j E Q l X G G N 8 v / X 3 f v s f F D 7 v A B V v w r U D h 8 X l l c A t Y 7 P c 6 g z l p i N W f Y 6 0 4 K n K S t v Q 3 u Q m b q T T K s W i 2 8 6 S B C M l O F J m 1 J + Z n p W f / v Q 5 S a t K N j o 6 I g 8 8 e L 9 Z w t B R 2 G I H 8 F z U w c 6 u D p m d m T W / R V J A 2 E i u 8 f E x V Q W H Z X 1 t x T g W I F w I x 9 Z n c W H B J D C x 0 s I y a i 1 A Q u L O t 8 R o n 1 E P q A / R 4 P y W 5 9 l 6 o S Z H 5 2 P K 8 F k J t h 3 O o E 7 Z e d Z H t f n k r X c + k I 2 p d 6 S 7 x a s D R r e c G P Q b 0 y d d I n f J T R K K h C 0 P H b 0 5 g J N B 4 / P k A L i V c M e w 2 h S z U c l 7 n W U V w F G z d h s U Y t r a i p i d N c 6 / + 5 7 8 5 M c / V c a K y 9 r a u v z 0 L / / K 2 C i / + T f / h n x B b S Q Y i m h r E j c W A 7 s H F X C B i H M t y q + G L 4 y B u 9 r Z d b 1 D 3 n z r H c N 4 M C 2 S j z K 2 V C 3 s 6 3 O i L S D o e p j J g t 9 w 2 H e s B / Y 3 1 M d p m 7 3 a U b D P J 9 k D 2 G y c d i 8 + A P V B h R 4 d H p C 7 j 3 f I l 7 / 4 s F y f m j b f M d / 2 + P F U y X R 1 e y Q U N x 5 R 1 a R c X o l 6 U y r d h o 5 Y 2 u h 3 D K Q l F / N L x x G V T n q B e S J C e S B o e 6 S U w B n h / / T f / F t 5 8 K E H 5 O S p k / L d 7 3 z X 3 P v M M 0 / L 0 P C g 8 Z L B L D C N V e + K A T P w v G P H x o 3 q x 3 3 W M Y B E w + l w + v Q p 4 1 5 / 7 7 3 3 J a x M h g R k 5 W 1 L a 5 u 5 v x H p s l 9 Y Z w h t Q B 2 o r 9 t 5 E V A 9 K 7 5 G a F P G c e x U A b Y g T A m D l H K C A L 7 j P j c z c V i G p r 0 C A b 9 x s J z S / r h 0 6 b K c P X u m M H C o S t i V M e v 8 3 L i p J C I h i k F A 4 I t X 6 k s m c h s O R r p y Z s f 3 Z F z V u I w T K Y B 9 w 9 w R y V T m 5 x b k 2 t V r Z j L z k 4 8 / l Z 6 e b j X w + w z T P P 3 1 p + V p Z a Z g K G i 8 e I y Y t Y B 7 s W U 4 i m 0 h m A u C + K 2 / 9 Z v y l S e / b A j o x y o N A 4 G g I S L 3 v Q c J y o K Y 3 Z 5 F Z A O S 0 6 p 7 3 G O / x 6 v p U 1 M k t X 2 z t 8 8 + h / t 5 H z 5 z p p 0 5 8 3 0 p 8 B 0 g p / n s z I w Z 5 K y 3 0 j 7 T M K P H b y Q n z M V v b B t h S x V 7 m v d I K A I 3 S S P m T i T I / k s / n 3 J W 3 t 5 G / b i b I O H r m 5 J p S 2 p r 5 + V 9 l Q p v v / O u P P 7 4 Y / L W W 2 + r u r V q 8 u w 9 / 9 w L M n H i u D z 8 8 E N m h E Y a E Q l B J D n q X b l R t l 5 A D D A r Z 5 i r p 6 f X q I a M x j A s Z c N w 2 H E Q G O U 2 W 2 J Z g g c w A a 7 y V C q t Z T J n 1 W K I m r p w j 2 U q w 2 R + j y Q 3 l T 4 7 n b b g O w 4 L 7 r f P x R 5 s 0 f f E + R L S M 9 e L 2 9 D + l h A u 9 v / l 3 T l g a n 5 n B 7 A M C z t i E R 2 c O s 0 8 H 2 1 l 2 4 T 9 m d m T m m z B L M j 1 / O k b e / M B n x t K y x F l K o D h 9 f 5 c g 0 Z g 4 c V + l c H A 9 N j w l i x O r s t a Z k E u X L h g G A m X N g R t O 9 + N V l W 7 w u G Q I S I 8 b t g 9 d P J B q W E Q b z K R l F d e f U 0 Z u 1 f u u f s u U z f S L W / r d y T W p A 4 4 N Z o F 3 o 0 0 Z 7 w / z 7 b z X R Z c Z 7 f 4 b p X W E D d l b + n 9 X V 3 d s n 5 t W 9 p H w h J q 3 4 1 c Y I V y M B g w 6 6 Y g d i Q T b c Z 7 U B a D A 6 p y O X C P t f 0 o m 1 j D 0 S N H T O Y k w q T 4 f n s 7 K j / 4 w Q / l r 3 3 j 6 4 Z B e T 7 S 3 4 I V 6 K h / N 3 n 5 c n m v s a G m N / w V d 7 u + j e o Y w l U + u y q J b E z O f 3 R e / t q v f c N I H C Q D R M K I a Y k V Q j B S S d U K Q M f S y Y y i d m S l w 5 s N y g V H j x 4 x y U 7 e f v t d 6 e 7 q k h d e f E l W 1 z f U b r h k 7 D H q Y + / d L 3 g n 3 g V G 4 p l 8 L p a E b B D O d 9 z D d 0 g L m N D n 9 8 r q 7 I b E s 9 s m c + 7 U 9 e t m h T L f w 3 x I O 9 p 3 e W n J M J h p O 6 3 7 V m T L M J o t D y Z B M t H m S G K u 2 / a 2 + y m j 9 v F c n s F n 2 u j P 1 P Z s 0 0 G P P Y W t H b w W 8 8 j V N S c K 5 C Y J 1 R T o C / w q A + I j Q v m x c V U W V B W I + l f l R z / 4 s f z 6 X / + W s W 9 q Y Q y z 3 k k 7 E S K C 4 e h s j m b B q j v 2 n F R i i 0 d j E t X R / N 1 3 z 8 u d d 5 4 z N h i R 5 S u r a 3 L n u b M 1 1 7 0 a I G b a a G V 5 2 b j p i 9 + L 7 y B g C N k w h I L f W K x d 2 5 R c Q q S f 7 F F F 4 L f U E c a y m Y / c o D 1 5 N k H E S B 8 3 b D 1 s W a h 9 M C c w z 9 z c N H b u 1 N S U x O I J M / D A z C P H z q i d 2 y Y f r 6 i 9 e p u h m o / t 7 Q 0 o V e 7 2 L 0 k 6 k p X e O z r k L 3 / y U / n W t 7 9 Z F 1 H a j m U U P n b 8 u F n v R P 6 9 / c J N n I z q E B h 1 Y p S O b E b M E h A I G Z U m l U r K 9 5 7 9 g X z 7 1 7 9 p J A g H o 7 o d z S 0 s 4 V e D L T u T V r v I 5 z B M v Q M F z 1 i 7 G J F c J i 8 d 4 6 3 S 2 u 3 Y h L w H g K k s q G + p 7 6 g 7 Z f M d 1 / h s 3 4 F 7 u c a K Y h Z B 2 m d Y i W S f w X 2 v v P K a P P T Q A 8 Y O D o Y 7 S k / s 3 k b j o L E J 9 Y / N n p c r H 5 + X 3 v E O e f n l V + T B B x + U b l U T r E O g F t D B d D w d B x H z u / 0 u b e d 5 1 N F E q y u h s I s H d Y K x e D 7 l R C L E 4 Q 0 V D P S M j I w M G V W Q 7 E B 4 M H i G d f f b o 9 Z Q J f s + G + v r R i W z q L V N A O 3 S O o D d l Z f E a s Z s X r d + Y 0 3 a + l v M O 1 n m 4 L D P L X X N f a + 7 f D 7 T R i G 1 Z f m O z 5 y t X c a B K s i 7 M A j x 7 l 2 q J r a 1 h B w J p f d K T 1 s T j d 4 C B / + q I h G P y d D 2 k r S E f J J q i R n P E B 1 C J 5 D g v x 5 A f C w 9 H x 4 Z N h 3 J c 3 a g 7 V w q v 3 g l 2 N F 3 8 t q k S Q i 5 5 3 k K k k d i 1 x F h Y R l u U x k M e 4 M Y w v P v v i / P f P 0 p W V p c k q n p G Z m d n Z O B g T 5 5 4 o n H j U R D P e X 3 5 e C W j t c n J 2 V s f N y U U 6 + U c i O d 0 j b 6 c E W G x k Y k m 8 / K 5 t K q D N 2 1 u z a r G t x 1 s q C N c G Z Y 1 d E y G e 0 H I 9 l 2 + + l P n 5 e H H 3 7 A L E 8 h y a d h q J a g R 7 5 2 d / O 8 O L / y 0 P E k 4 F F 1 i N 0 f T Z 8 6 o 1 p t 3 b s X D E 0 k k m S 5 h o V 9 D h 2 7 v b W b k r h W W A J i / o t 4 P 8 u o P M 8 N S + S o O s 7 k b 0 5 t q j W 5 c v m K 2 h + j R n 2 F g Z B u r 7 7 y u j z y 6 M P m m r U 7 y o H n c B A e N X p k 1 J T d K E O 9 c N n x E J 4 Z S M t g K G 7 U 4 s h k X P z d X u k a r k 7 T t A W M Q h t Q J + p i B h x l d i J Z r P O I 1 O G E c i 0 v L c u b b 7 0 l 3 / j G 1 + W d d 8 7 L u X N 3 G G c F g y X H b Y Y 6 C G i H B J S Z v I 1 s p V g E w 1 D a 0 b v p x 3 a f y f V G G M q O t J y x l 1 i B a 6 U E 1 y x h F Y / w e M l w 5 X M P 3 6 M C c W C 8 E 2 f 4 z D N f U w J s V 8 K q H g Q A I V u v G 2 i U o e y e 0 E T 5 2 O q m k x m J L 2 a k c 7 x y P W w 7 M K m L m x w 1 l B h H 3 P D s Z f y 2 M g z O C y Q u b n d c 8 0 y A n z p 1 Q n 7 0 w x / L Y 4 8 / I o O D g 9 L a Q v Z a p 6 z P L U O R e Y l Q u G r Z b T 8 T a E e x E 2 T x h g i N A I Y y Z z p f i d C t M u Z z W W U o Z / 1 Q v b D E x B l 3 u Z 0 8 5 q g H P A P v 1 / e / 9 0 P 5 9 d / 4 l l H 7 Y L J q g K H Y e Z G J X B 8 L 7 R Q w d T E T N 4 q 1 S 1 H x t + e k c 3 R 3 r q g Y V l L y D p R t g U 0 Y j y f k R z / 6 s X z z m 7 + m 3 + 1 t E + p I u w F s T v c 8 W n 2 t d w s B W v X f q r X X B m 9 M w b s Z 9 i l 0 o i N B H A I A d C m f T V b a N J 1 s L t c E N + G u F P a c b Q S o g h C X O 2 d 4 r c A p s W f A K L x X M x A e V A m b D c v W Q v n l / z A T m L s x Z 8 4 M J l Z y O h P e 5 N J w b F 9 U W Q 6 m E j g j s W x c p R u f W 4 Y i 2 W A d 9 H P o g L i b V b 8 d 0 o d R 1 Z a i k 2 0 i E w h R y U D C g b x M b f h l O 8 F u 7 P W B U R b Y 0 b o e 8 B s I s L v L m f O x D F Y N l q F n p q e M W k U A K m g W U 7 V 2 t 4 i / Q x k m 5 Z e t + Z v X f g H L / O y n x X t Q b 1 v 3 Z 5 / 9 v n z z W 7 9 m P r u 9 e x Y M b q X U 1 M 8 t Q 6 H u N b I D x q H A 9 E m 9 Z F 0 Z v O n u 2 3 r M q l g 6 3 y z T U P D Z r 3 b b G 1 M B e W c 6 I N O F t G e V Y I m E U R e m g J h 5 j j X U 3 e A a R z G 4 h l M C x w V q E p 4 x A o D X 1 t Y q M o c l Z l Y U E / H A x D I o L n c / a O k O S T 6 Y l v S 2 R z a u J W R z L q J q 8 u 7 z r Y R i 8 h r p R N n G s a B t Q o g Y 7 w P q s e / M P F R A j e e J Q c c 4 / N 6 z f y 5 j Y + N G j / z O n / w r E 8 9 F Q b / 7 T / 6 x C e S 8 6 6 6 7 z X 2 l 8 P 3 v P S v H J y Z 2 K u D V D l Z T 0 X y 2 + P u / / Z 8 b w 3 Y 7 u i 1 v / u I N e e G F 5 + Q L j z x a + F b k h e e f M y s / / 8 d / 8 t / L D 3 7 w P f n q U 1 + r q k a w T T 4 2 Q D 2 g H k 8 / 8 / X C X w 6 w B T C S X 3 v 1 F Z n W k R N x / s / / z / 9 D v v j E l 0 x 8 1 3 e + 8 8 c m 7 K S / k K S x L P S V f b y 5 6 q X N Z v m 9 z 8 u b K H a i 0 f F u d b X k T c g Y e x G b Q E 2 9 u d K W l m 5 7 i T b G K C c n H g R F n 0 N w 9 r D g s 2 V E C z 4 P D v T L B x 9 8 K O + 8 8 5 4 h 0 K G h I X N v s U r k h i 0 H k M O c O n C t X j u u E o j 5 a + l j F 3 9 l / G h e 0 h G R 6 G p M / K 1 a X s B J L o M 3 D 4 e D L Z u j s 7 N D n n v u e b N c g / e w z p N q u I m h i N J 9 + + 0 3 5 f K l i z I w M C g / + P 6 z c t / 9 D 8 i r r 7 x s / P G I 9 n / 4 X / + O 3 H H H O f n v / t t / I O N j x + R / / 9 / + F 5 P h x s w k x 6 L y R 3 / 4 L + X C e + / K 8 e P H 5 X f + y 9 / W 8 8 Q O E T 7 7 5 3 8 m A / 0 D O / F W L K i 7 e P F T u f f e + 0 z Z l y 9 f k r / 6 6 U / k 7 / 4 n / 6 n 8 9 X / v b 5 i 5 i t / 5 + / + F v m C X v P L S S 3 L 6 z F n 5 w z / 4 l / K i M t 4 P f / h 9 4 9 b 8 j / 7 D / 0 A e f e w x 0 4 n F + N 3 / 4 R / L 9 7 7 3 5 3 L n n X f J z 1 9 / T f 7 X f / o / y 3 3 3 3 a + M + 1 c y M j q q 3 / 8 j u e e e e 4 0 + / O / / r b 8 p C / o e C B c C I C G M n / z k x / L 2 W 2 / K 6 d N n T E O / 8 c b P 5 b H H H i 8 8 v T w O i q E A z + S A G F K J m G E m / j a E q B / W o l 5 j U 6 3 o e a I v W 7 E O E B E H Y H Q G S 4 u L Z r 8 l n o f 0 A Z P X r h m i 4 u C 6 / Q 2 D J 4 y A s 2 R E B 8 I 7 7 j h j F j 5 e u P C R H D 0 6 a i I i u M f U r Q j U n w N X P P c E l K j d z 2 4 m A i 1 + a e n R u i u Z J y M q D d M B 2 V 6 K S r g n I C E d k K B d V D s k L F I X J h p W e n r v / Q 9 k Z H j I D A y 1 1 O u m t 3 z y q 0 / J R x 9 + a A j 5 x I m T 0 t 3 d I z 9 U S Q E u v P + e j k B v G a K e n Z 2 R j v Y O e f 3 1 V w 1 h n n / n b X n / / D u q E 1 + X c + f O q S q y I D O z c 3 t + b / H R x x + a c J r 5 + T n 5 / v e / J w 8 + 9 L D p l H f f f U c e f f Q x W V 5 x Y r z A n / z x / y f / 7 J / / C y M 1 + B 2 q C f W Y n L w m f + f v / M e G 0 R 9 + + G H D F E i + / + z v / V 1 z / M W P f m h + z 3 3 / 8 L / 5 R / L / / t E f y v v v n Z f f / Z / + q X z 3 u 9 8 x 3 / 3 h 7 / + e 3 P / A g 1 q H Z 8 3 f D z 7 0 k G G W T z 7 5 W K 5 f n z Q M N T Y 2 J i d P n Z K X X / 6 Z X L 1 6 p e a R y o y 7 h d H 3 I G C f j E P B R E 8 U O n u s K 2 s c N o D i s T W r A U K h / S F m D j Q E P H 9 E e K O h 8 B 1 t Y N c K W a l i Q Z v g 3 U N 1 x B 5 j g p N M q y + 9 9 I r E E 3 E T P + e W c h Y 7 B J p X S V Z w a p R i v G Y i 0 O q X v t N d 0 n b E L 7 l s X j Z n H K f F 6 s q q 1 n P L q H k w 1 M c f f 2 J 2 g S Q z L q j V t i t Z e x o H v R Z i Z p t F M m h a + P 0 B E 9 R 4 4 8 a s W R G 6 s r Q o m V R C f u M 3 v r 0 z Q 2 6 J 7 k 9 U Z S z + f T G + 8 p U n 5 d / 8 a 4 f A Y a I b c z e U q L + o U v C / k t / 7 F / + X u f 5 H / 8 8 f y M b m h p F s q K G 8 t O 1 8 w N k G k f 7 f v / f 7 5 v h 3 v / k t 8 x 2 T h 3 + g j M M 8 A 4 M A n 6 k 3 G B 4 e k W A g K L / 5 m 7 9 l / m a E Z k T e 2 F h X B n 7 V X K v F B V w K 0 J x b X z 8 o t O s 7 A x u S h I f 3 3 P B u d p i N W H W G s q A d k R Q Q O g n 8 i b q 2 2 Y s A m Y 1 A K e a w Y C S n / 7 / 0 5 S d M S j N W B s O A V t K 5 Q T k c J N G 0 6 Q B K 2 W k H A c r t P d U u 4 W C b Y S y Y h 7 L f e O M X 8 s f / 6 l / L + y q Z X n 3 1 d R 3 g v 2 D u Z 1 C x I L d i N p 2 T b D J r 0 p s l o 0 m J r i V l Y 2 p L / n + k b r t l 7 d t 3 r w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 N a m e = " K i h t   1 "   G u i d = " d 6 5 2 9 6 f 4 - b 8 8 0 - 4 b 5 5 - 8 7 3 1 - 2 9 6 9 4 0 d 3 9 b 2 5 "   R e v = " 2 8 "   R e v G u i d = " 3 5 f 5 9 1 3 9 - 9 3 8 1 - 4 3 7 e - 9 a 6 5 - 7 6 0 b 8 e 9 5 a 5 f 5 " 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 / & g t ; & l t ; / G e o C o l u m n & g t ; & l t ; / G e o C o l u m n s & g t ; & l t ; O F A   N a m e = " T a i s A a d r e s s "   V i s i b l e = " t r u e "   D a t a T y p e = " S t r i n g "   M o d e l Q u e r y N a m e = " ' T a b e l 1 ' [ T a i s A a d r e s s ] " & g t ; & l t ; T a b l e   M o d e l N a m e = " T a b e l 1 "   N a m e I n S o u r c e = " T a b e l 1 "   V i s i b l e = " t r u e "   L a s t R e f r e s h = " 0 0 0 1 - 0 1 - 0 1 T 0 0 : 0 0 : 0 0 "   / & g t ; & l t ; / O F A & g t ; & l t ; A d m i n D i s t r i c t 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 / & g t ; & l t ; / A d m i n D i s t r i c t & g t ; & l t ; / G e o E n t i t y & g t ; & l t ; M e a s u r e s & g t ; & l t ; M e a s u r e 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4 & l t ; / X & g t ; & l t ; Y & g t ; 4 1 7 . 6 6 6 6 6 6 6 6 6 6 6 6 6 3 & l t ; / Y & g t ; & l t ; D i s t a n c e T o N e a r e s t C o r n e r X & g t ; - 4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3 6 8 & l t ; / W i d t h & g t ; & l t ; H e i g h t & g t ; 1 2 2 & l t ; / H e i g h t & g t ; & l t ; A c t u a l W i d t h & g t ; 3 6 8 & l t ; / A c t u a l W i d t h & g t ; & l t ; A c t u a l H e i g h t & g t ; 1 2 2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d 6 5 2 9 6 f 4 - b 8 8 0 - 4 b 5 5 - 8 7 3 1 - 2 9 6 9 4 0 d 3 9 b 2 5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2 d 1 d c a 2 a - 1 a 7 6 - 4 c 3 5 - a a a 9 - 0 8 6 c 1 b 8 4 6 1 c 4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 5 8 . 6 5 0 0 1 4 5 7 7 2 6 2 2 4 7 < / L a t i t u d e > < L o n g i t u d e > 2 4 . 8 1 3 7 8 3 9 4 0 5 4 9 9 1 8 < / L o n g i t u d e > < R o t a t i o n > 0 < / R o t a t i o n > < P i v o t A n g l e > - 0 . 2 4 7 1 6 4 7 9 3 3 1 0 6 9 0 2 7 < / P i v o t A n g l e > < D i s t a n c e > 0 . 1 0 7 4 6 3 8 6 8 8 1 0 7 3 4 9 6 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J y S U R B V H h e 7 b 0 H e F x n e h 7 6 T u 8 D Y N A L C Y K d F C m S E i m t y q r 3 1 W r X 6 6 z b 9 f U + 9 o 1 v Y s f e x C 1 O Y u c + S V y v n T y O 4 3 L j G y e x f V 3 i d d 1 d b 9 H K W q 1 6 p S o p i S R Y Q A B E H W B 6 O 3 N m 7 v f + Z w 4 4 G M 4 M Z g Y D k G v x p Y 7 m 4 N T / / P / 3 f u W v l r 9 8 J V b E d X z b w e u 0 w O m w I J I s l I 4 0 j 6 D H i l h 6 9 f 0 9 3 i T u z H w f L P 2 f x p P h H 0 I q t 3 H i E Z D 3 x + X 9 F t l v 5 S 0 W u b F 4 F a S 3 1 6 9 j e 7 e O g G t 1 3 j E p V m P 3 O r 7 d k N O B u 3 y / j 5 5 A 6 U C T o B A / e E M R V u 6 U I Z z y i W C I W M x + A U e 7 X i k d v Q x e T y J u 6 7 G j r 8 O G k M 9 W O t M 8 S C a i V U 5 s F J m s l v o P X k j Y c H L W j u W 0 Q Z 9 o 2 o K l p A V 5 3 X K d U F c b 1 L K t I K 8 X k e r 8 R z j S d + E K U l T C 6 6 p S z H K P / v 6 P 4 + C I j m M 7 3 K W D A j l u G / i M 2 g 0 t / D J c d u P h H q c V D + + 8 i C N j b t j k c b t c z + B m 6 / + D Q + 6 / V O f W C 7 f j K p i a G i g U j W + u V z a J r B X j i 3 a 1 T y J Z 5 G K H T a m i 6 7 i a + O S N + R W h r Q Z b H b b 8 / e k g n j q 7 T Q Q A u P c G b + n o l S j w g g p Q u x e 3 / z t s n 3 o c I z M / i E / s G l 8 5 / q 3 o 5 1 C 0 G J b H J G O H 1 w r 7 4 t + q 9 F h F e F y F J V i L G X j 1 S T w w f B w + 9 / p E K a N Z Y L d e O 6 R q B P G M 8 c 3 d / g K 6 v A U s J q 3 X C X U 1 s V X c J t u 7 n 8 J o Y L Z 0 Z D X G + h x 4 4 k B E h H l t t + q Z k 6 n S n o F 7 9 v t W L F d G q y 6 o X z v V L e 6 W X J S + A O e Z H 8 e n D 4 b V 8 S 0 9 D j k q Z 4 o a C r o u W x 6 R R F b O F N G T e x p H t 2 a h J S + q a 4 n C 8 v O 4 1 / / 7 e L T 7 j 1 Z t j 9 / k F 6 1 d R 8 1 X I F 9 o / N r N g O l S 1 t J p 1 F P l a c 7 R U l 2 v l L h 6 G A t p O L z 8 B I r D P 4 w v T n 2 m Z i z x 6 W M B f O P d B N L Z Y l P x B g W h i n F a h X u 3 X U T n x D 8 p / S X X W 7 y i Z T M i T R L f y L 1 F m w u 2 m 7 + B 1 I e / o l w g u j b N o G h x 4 I L v 8 z g 3 l 0 d W i F 0 t O X Q h C 8 b r v u 1 w y 2 g W Q d f l l F + 3 U F c R 5 5 c c m B / 7 a 1 i S H 6 L L b 1 g h X 0 X N E V H U 0 3 g 4 9 w g + Z f s M H j 9 U W + x I o B t G D L + e I J m O 7 f C U / q q O t x b G g M D R 0 l / y j K J Y O p J J o M R f z 0 i s 9 W P q r 1 Z A K z e W + E + 4 3 / e b e K T z t / H o g S z 8 F T H d A w e c e G z 4 G / j 0 4 Q y G u i 6 n / 9 s B a W 3 1 t 1 w n 1 F X G i + c 8 + N v I v 8 F S Q l d / J y X Y r c R i + J L 6 t R T S y I / / Q l 0 X Z C D 3 Z T y w O 1 o 6 A j h F P n s C B l m 7 S 7 8 E 9 w d F e D t d C Y m w 3 y k d v R J F i x 0 5 / x 1 q v 1 n r V A k r C r B O / R 7 u 9 P w O B j u t 2 N H v w I 1 b 7 L B r 8 n 2 i V L Q L / y 8 O F / 8 z H t t z C W 7 H + t 6 1 W X D Z V i u a 6 y 7 f t w H o E j 1 R / I T s 0 X J Y M T n 2 N N 4 4 l 4 F V j g 9 1 O S S Y N 8 h 0 c V F T 1 z 7 q + i l M 9 / 8 W e r J P w h 1 7 E i f 9 / 0 l c L g 0 D n X b M R v L q m d 9 5 Y x i F E z 8 o j O H f t U W g K I G E 5 e Y n k T n z G 4 p Q 6 y W V C f O N t Z 6 m u 8 f w U v R T V 7 S T X U t g 2 u / d J e V Q 9 h H X C X W N g r V p e l k A 9 P D + H L w f f E r t F y x u F E I P o N j 3 X X B 8 8 A N K O C 3 2 b l y 0 P I C l z h / G E d v v o T j 7 F + p a E 3 H f g 7 C 6 e u D f 9 o P I x 9 6 D 7 d y / l g f l S m d r g 4 S y 9 n 0 a q X R a C E x C X W l B N w x D n 8 N X 3 u 8 o / d E e + J x F J H P r V w p 5 T U M h n 8 Y D + y x w O h 2 l o 9 c J t a n Y 1 u v A D T 2 T W N Z H R f M C p 2 Z y 0 P K r s 5 8 W p i 9 o w x 7 v K z i Z + B g W Y o Y r + M T B B G w n P q v 2 6 6 F g 9 c N a E D e u S R S F v E V d N i a n V L 1 l o e q V 9 N A q p f w P w S a J s 9 I s l q B l N d j F p 2 y X 1 a q E P v x j y O V y e P e S U 1 V J t w u m R a G + 8 j q K 0 H Q L N D G E b n s B m X x j 7 4 l H w 0 g t T + O h I 1 1 w u V z w + X y S P 7 b r M d R m 4 l D / P J w f / i D 6 z 9 y H X V P 3 4 e H g 7 5 b O A P f s c 6 P T Z x W r B H w s 9 A w C 0 / 9 e F b h H t G C n p 7 i K T I V 8 A b l M D r l 0 H p q 4 R L p W R D 6 T R 0 F u r k c m P a / L P T l k U 1 m 5 T 1 f 3 c s s m N T m u K V I p K C J Z F K 8 K Q n g 9 V 4 C z + 3 5 5 g A 3 Z a B H h 8 0 n M n 4 m I Q G X U b 3 g i J m k w X M n 2 o Q i n Z j R a H x 7 O 4 c 4 x V t u T + A V V j V 8 s G I q m F f A z z U 9 N a Q a Z i E b J R D g c L j x 4 U z d e f v l V T F y Y Q D Q a R S a T u W 6 h N h O f P h i B 5 c T 3 l v 4 y U B B X L T z 8 X 9 C 7 9 G u i 9 t 5 B a u 9 f Y n J J x 5 7 5 7 4 a e 1 W E X 7 V c o 0 L 2 Q W I b S J Y W v F / K w O W w r M Y 1 q u B X p z + f 0 C p d M r u c p 3 l Q s w E I L w 4 B L j v A + K 8 1 h A 6 D b h 1 3 / N y K T z 8 L j l O f I Y 8 v f k 8 / n k V x M Q 0 t J e u 0 u a M U M P H 4 n P B 1 u 9 Y 5 m L B j f l V x I w + F y S s T f j f n E w 3 B 5 3 M b 3 y v c n E z m c i i a R 7 x i Q R J j W 0 e h C 5 R V 3 r s u j w 2 k z a k t 9 8 g h C 9 W C Q 8 9 m 8 B b M x G y a W b a r N q F X w W R / f n l U 1 m P F 4 H M v L y 3 j x x V f x 2 G M P X S f U Z o A F c P + u M P z j P y R l v 3 b c Y o I k y o s 1 M n t L W G 1 C o C Y a S t s G R U o h Y d + n s L w U g c f r W e X 6 V Y K W M J / N I x X N S J h m E M r q K K B z K F i 6 o j r o c u b i Y m m L e d j 9 Q h a 7 H 7 m e 7 z c I L V D K Q 6 z w 3 L k F e O 0 d c P j F T e t w w u 6 2 I x P N I r 2 Q g 8 v n l X z T 1 T 1 W q w 2 Z d B I d W / 1 w y D X l 4 B M T W Q s m l u y I p K 3 q b x M k Y L + / g L P h K 6 v w y d + P j W Z V L J Y T y + 7 w 2 p G M J 5 H K p P D U U 8 9 c J 9 R G g P L / w L Z x v D K 7 E z c P z q M r / F s o x t 4 o n W 0 M K q Y p W J C R j f 3 c S p y 6 a q B M W 7 b 9 J O J z b 4 u 7 4 6 h L q G p I R z L C N C s 8 I Q n g q 1 g s T Q h Y y A j x x A L a X D b o j g E 4 B z + D W C K D 2 Z l Z 9 A / 0 I 5 V M K d d q Z M s I D S 6 y S 3 R 5 N V i L D i G h B n e P A + 6 g S x H P R G I x g e k T c W z 7 W D d c 7 p L J q g D T R k u q X F 7 5 L 6 / c V w v e m 5 H r 3 Q 5 J j 1 N Z v J D X 2 B x F H c s X E p I P T v W u g i U P i x w X Z / o 6 o d q B j + / 1 w l O c w o f h f l V 1 T b B H 9 n 3 6 D 8 C i z a m / m w G 1 M M l E q 1 A U 1 8 p x r b R 1 B o 8 h m v F L E G 4 I U r n g N o J s X O I g I Z W z Y 3 V F R j Y u V l v i F 7 v f o l y 7 g s R J V s 8 w 5 v S P w x 8 U M 1 S C O l 4 i s t 3 e e K b k c 3 l c e H k J g w e D 8 I W M j s A k Z H Q q J m 6 b H U V x B Y U l c r Q U T C n r Z t R o 5 t N y n P t U a v K b z 0 g a L O J + u n Q E h 3 2 K g K l w G r l E Q W I o I d Z 1 Q r U G t u g v x i X I F 7 f s 2 A 4 X R s 7 d J 8 X h g L 7 1 p / B S + F 4 s S Q Z 7 n B Y 8 k v + E Z H p j A b R R 0 8 b y l M J z 0 F U q n b h G o F y v P b + F 2 I W / V j V b z V o p g q 5 g U R M L R C s g j 1 P P t E h e d Y m g y / c W R d J 5 r N h 1 H 7 L 2 n c Z 5 Q T m B W 3 k v l d S F V 8 L o H + 1 S 7 1 D G y C I u o r i M L r / D i E 9 r Q a 5 l u r W U J r 8 F e H u M m K 4 S u r z j O q G a g E / K / N B W D z w u K 4 L Z l 6 G d + n l 8 0 / V l d E o g f G v 8 k 5 L x J Q 3 X / 9 0 4 Y f k / M R n W 8 G j + c T n e W A 0 Y a 9 N I K r v 7 y s K 6 V i B U R 6 b / X 8 C S O q k 0 t m J B s 6 D E 1 b h N k U k 2 7 7 5 / C 0 3 T M H X x A o I l K 8 V q 6 W a t 4 i r I e x P T G n x D h n W r S 6 I W E F 5 O f L S r z Z 0 V 3 U Y q U V l 2 S Q k D + o q v I T j z i 7 B 0 3 i E B a T / u 2 W v F p a g V z 7 i / J i e / w 7 h w 7 s 9 x Y P Z + P K o 9 0 j C Z z F q 8 a 5 l M C m J C H Z 5 O Y 7 d V V V x H j k 1 L l P r g F 6 C N / y r 6 9 b / D 0 t J S 6 e z 6 k E 3 m o O f F L Z N 8 b j e Z 6 I 6 + f F 5 i w N L f H 0 m w 6 r R e v l Y T m C + O H 0 T O s R X F z D S S W 3 8 N E 2 H D K k V S B b x d / G d q v 1 l Q I y t B u s a 4 Z F o L Y + M B 4 7 g l v 6 S O b R T K r V D Y / W m E Q i H l 5 q 3 L O g k K 4 g F o m c Z r W d c C 8 y C V S i O Z T K r q c 4 v + E W y H o l U q b 4 N g U w x l g z 6 1 C Z K s / G 9 e z b I 0 j / G 8 3 W Z R 8 Z N J S J 7 j + K a b w w 8 a B 5 p A g c M a J I 6 w 2 a 8 O o 0 x u 8 B v L i W L u U / v S 3 T J h G f w + Z J L L c j 0 V w c b o Z L 7 T E j i A t P t 2 S U e h q U q I W s i m s 4 h f T K N n j 2 F h W 4 V q d x M S 5 T Q d C 0 s J T M w l M B / N Y 3 7 y w 4 8 e o d i M 0 x / U x U 1 b W 3 g p Y J 1 e G + 7 u / H N Y I s / j N d f v q K H n X p c N i 7 E c d j p f w D b 7 i 1 J S k 9 A 7 7 h W W d c I 2 + R 9 L d z c G n c 3 0 U g K 2 N g w j b x T V r M t K D Z q c 4 t m C e z s c A x I X u k e Q y b N m r C h u a R a + 7 n 3 Q Z 7 6 g l A l y C x t K q O K W f 4 F M O i H v Y K 8 N I 8 3 r i a P i C w n k 4 0 V 0 b Q + U j j Q P d o W K x x N 4 7 p 0 Z T J x + B 5 6 + 3 Q h 0 D U i 6 n I r 4 1 y s l a k E K 8 O G D N n j e f w K W o t H t h S h C C h S 6 s E 0 I 2 W D t X U 0 I l x g 7 W Z 2 t C U i r M G R T r M v O X 0 R h 6 T k U k m d g H / o e F F P j K C w + B f v h P 0 F i / q R 8 X n p F e E 2 B 5 q / P 3 4 H c 3 J N K 4 W w k o d x 7 f g 7 h + U s S 7 1 i R T q b h 9 X s V 6 V u p 5 S N i s w l k R R H 2 7 g 6 V j j Q H p i k S i e D F t 8 6 i y + f A n h 0 j u J R w 4 V I y C L c o 2 R 6 P d r 0 v X y V W X L i C j s l l y Z 5 C x j h Q g i I T s V 4 y C b R c X l R u h T 7 j n 7 J R c J U Q l + 2 X b + u B q e A L F g / i j o 8 h H f o c p u Y z i B b 3 I j P 4 L x G 7 9 L q c T K v 3 U I h M 6 8 W N F s L W e a P a 3 y g y E S R y d v w 3 o O U L 6 O r u R 5 / 3 n D r e 6 r f z G y w 5 B w I D t e f e W A t 0 8 8 7 N a s h G Z r B / 9 1 Z 0 d A R x a C y A h / Y X c f c O H X 6 P 4 6 N D K F u N q a H K e / K w R w L H t 9 y 3 K 4 0 b + j X s x h d K Z z Y I k q R y 9 0 W R p f T P h L l v C l I + b x B 5 3 a T i v z M / h a 5 h Y 7 R u R 7 B D k S W 8 Y M x v w f 6 B F M K Z G W N w o 6 7 r a m N 6 t N S 8 H F n f + 9 c C s 6 W o p 9 A Z / 0 N k T / 8 y 9 K V X V c d h f j d j m G a x d D o O T Z S j O 1 g 2 w 1 O T 4 P c n F k 7 j t j t u g 8 v t h t N p 9 L x g H G 6 1 F j H W n f / o E E o v T Q 1 V D v b H u m d n B r d s y a p f 9 m j m V d w Y Z 9 l 6 H l D X K e H d A P k x Y w N z I / S C D b r n R l j G f h 7 W 0 X 8 u F z m g 7 / 5 t W A 7 8 M X D 4 K 7 L / O z C n u V o X S o 8 o T P y W s V O C v V Q x E o k u K y s 0 O D i E T I Y 1 W Q l J I 3 t 6 F 5 B e O g X 7 6 I 8 q w v H Y x s B S s o r G L w u g I / e s E N 8 D m 9 2 u S E U B b x R W j z y h v K a p B b C 8 z k / H 4 J D k 2 G 3 V K 0 k + M o S q B t b 4 U R M G P U U 1 6 t W E a T W i G T d S W 3 9 d i p K d J y 8 L f b t A j 8 l 8 J J 9 d K L q Q G f p Z Z D o e R y J d Q D z r g 7 7 / j 5 F N L i G 5 9 C G S s y + K i Y q L q K 1 f i F e + p e c R 9 W P 2 P P c H j A 6 s w c D l g X 0 O u x N e r 0 + l N R w O Y 3 5 + D v H p Z 9 Q 5 H i O x N g 5 G W Z B U h e Q 4 c u d + C 8 7 Z / y q x T P T y N z S A Q L 9 X v q P + / B r 1 Y F p o i 5 5 U N b p G o / a V + E g R i r 2 I y 2 G O g 6 k G V t P m t R y y t m 0 o O P p X C q + d p G K w T Y l U Z N r 2 f 6 G w 5 3 f V M R W n y G a V L R N + R y Q 2 K 2 5 F q a g s t p X q + 5 b T U r q N X W V y M A J 0 u o D G O y U 2 E m F h F T 5 / K c j c 5 3 G e 7 + 7 u R l 9 f P 1 w d u + E a + 6 d C y M f U / e 3 M l 1 q g o j O V H e O X Z u B w O 9 T W a j o j k S Q m Z m M o + L b C 6 b C p D s L V 8 J E i l K n t T H D 2 z 4 V E 7 S w w C z C 7 4 7 8 h v f e L K F p 9 6 j g L 5 c p N n W o S 5 n 1 i A d 3 b k Y 2 d B S e R N M E 9 J e Q l M n E / n 4 0 h P / I v 1 d + E + f 5 m I H c Y O y P / R N 4 5 o Z 5 r w i p m s 3 z j 9 6 s 0 8 O 8 y s u f T c 0 j M v 4 2 5 O W M u v 4 2 H E d O Z 3 9 o R a L 5 d K p v K q L F W z c K I W / N 4 6 / h x H D 2 8 F x 5 P b U v 3 k S J U X i x S p a G O l W b / r A Y K D i 2 V r m v I a X k k d / 4 p C l b D F W L h q o 2 R s k L z x G L 4 Q d e B c 0 d o a Q b 6 j S F f E E 1 7 4 M 8 l C N x T G m p A Y q m f h l H 0 7 E f G N r a i 8 Z s B C W k S e S C w q I 6 1 8 p x G o W K 3 k l l m j w R a V p v N p f 5 u B n k O 9 a g z S 2 8 t J B J x T F w K o 7 t / F F u 6 i n C 7 a 1 d s f O T a o R x W E d 6 y 2 T 5 Z + X B w w B h y U Q 8 U H v r Q d q u O g C c H q 3 c 7 w g s z 6 l x 3 7 y C y r 3 8 S 9 o L R 5 6 w h 4 Z J c L + g S w 4 l x s O 7 7 H c R j U f H B E o r E a 4 F p M e O W w N a H k X / l 4 y U r R o u q D l 8 B V U M m v 5 Q n E q J w 6 G t I z b / a 0 P s q w X x g G r L Z L A L 6 2 + q Y a U U 3 A s o y y e b Z 8 9 N Y X o 6 V j h p o t A e F e k b C C a t f U 6 5 s M 2 B f w j / 7 q 2 / g e z 7 z I A K B w E r t X j V 8 p C w U U d m 7 J 1 5 a Q W E t k C Q q r i r Y s J z 0 I L q 8 o I S I G 4 m V 3 v E / g L G f K 1 1 9 J U y N b m 4 c r m 5 a t + L s / 1 L x U q M w 3 T D G W / G L T 8 K + / 7 + U C L b 6 H Y p B J b D O Q S + N s S L y 2 Y i 4 M p o i R z N Q z x U k R d v 3 j t 6 q 9 j e S T C Y K j g F F J v P b + c 5 m u i M l F 1 I I T y 8 2 T S Y z f 2 w W T i 9 g q R k 7 m b g m C M X C 7 n Q b w r X R y J Y 1 Y X A S S F / Z N L q N g I V o F q R J K G Y 0 h d M W P K C O X 4 H S K 1 j V y 6 5 L n K n V M v Z 5 Y P e v I L / 9 1 4 G u e 1 W M 0 i w Y b / H d i V g E 9 r 3 / U T I y A M 3 S a W h j k o o v L v s 8 p 6 1 E Y D n n P P 9 T s L v M X u O N 5 z 3 v p Z A N 7 H w A m X O / t y l k I h w u w 8 3 i 9 / L 9 5 j c 2 i o J W E G + g e R n j e z R x q / 2 + x l z M a 4 J Q L n s R R 7 f m c N / O D H b 0 r O 1 + r Q d s w + F E H h 2 e A m 4 a y e L Q 0 P p 7 H 5 u k Y r W u E u S K g l a C b f W g s P u 3 o Y 3 + I p K + h 0 R b e p D J J C V Q X k Y i J U T L G u 0 + z U K R W r R n I h 5 F Z u T f o j D 2 7 4 W k v y q a 2 A i c K 0 W u a H E Z J O 7 9 D g R 6 D Q X Q T I 8 H f h s V g 0 U z Y i c K X L P C 3 Q r y e k 6 N j + K 7 C P a p a 9 S 6 q r T l H X A G 6 l u X a u B 7 c u L a e r v H D K 9 A y r k e r g l C U c A J y t N Y S F d z p W 0 k 9 v Z p O L Y l B 7 + z P e 9 h J l O w o z g A y 9 D n 1 D F T w E w 5 o w V L R B f B y R H Z u z y X y a o C K t / W K q x 6 U G T M S 8 C e W Y C W S U i i j K K t f K K l + y F k M y k k i 0 O I z 7 7 a E o k D v f u h h V + E 5 r 1 F / i q q L j n 8 3 o 0 k l a g s c Z F 1 p F I p R W g T j Z A q c p 4 V G R o 6 B g O l I 4 2 D 7 x q f 0 7 B z J K j K a C 1 c E 4 T q 9 a 8 2 x V w r q B U w P r p 9 W w a H h z V l 9 W o h k W s + E F 8 L 1 J y 6 L p r b 2 V U 6 Y p J K B M 3 m h / P I n 8 L t M l x F z q F g 3 6 C J I s y c 0 y y G 8 N A 6 r h L 0 x b 8 z h L + g C Z k u t + s 0 C g p V P n E O m Y J 8 p 5 C 2 0 P U Q 3 E O f Q F Z i w g 0 l l K T z 0 q U Z N f S e L j c r B t L p 1 f 0 N q 7 0 / P p u Q P L G 3 1 M M 8 L X J 4 I W z B u X M X 4 P C G 1 H v 5 D p L Y 3 G g 1 8 2 W k v m q E 6 g v o 6 B S 3 i y 5 X j 2 8 1 o V o p F o r F n W N p e J 2 Q 5 + m q G x G f z 0 k S H 9 i d U Q t i E X v 6 O f / 3 x h R 8 t / U d a G d / A w U 4 o R V E 2 E g y F v a + P 1 S z B U m k p Q S S 8 y e w h m 8 j Y B L E u f 0 n J R + N N B A r s i Y k o B C o 3 R b i N o L 3 m V Y V e k q s b g b u / r v k z O X a x 3 a C n 1 T I X M L o t l H 1 T j O G Z W M 3 a x p N Q l H A a V F W W a 2 c A / 5 h D q 0 w X N V m N r t F k z I r I h Z Z F H k 1 l C a n p M 7 I O 8 0 t J 3 n J N C T F c v L 8 V S M U l f V R c b s q r R P B f n W j X Z p a 0 a 5 R / U l 5 O V 8 2 j x o L g c 8 3 y X r j o C F E X B + 1 k s B Z y f / 1 i D c z s m v h F 6 C f + Q X Y b / z v S A / 8 N H J D / w q 2 r f 8 Y 9 m N / L 0 J n N C a a w s 7 5 9 Q L d z b X 0 N w M K X S I R g / X m J 2 E 7 + A c i H P x e w 1 L q 9 o G 6 1 b 6 t Q E 3 B Z e 8 x 1 q 8 q W Y x 2 g s r A s / f n 1 b P N P F R W S q w V L V Y y k V Q k m p + f V z E P r 1 M E y u a R 4 8 Q q u b x K E 5 / D 2 V 2 1 Q h H x p J A g U 8 B i N I P p c A Z n Z v P 4 c D K J 9 2 e A 8 F J E v C S R C y H K o N + Y 0 D I r L j o t E c d C z c 7 M S c z K v o 3 G t 0 Y j U W U t 0 1 d j 5 l h a D V q I A b F Q g 8 H G M j 4 i 8 j g d d W A m V t 9 V Y 9 + 8 u 3 Z c H r t k g n N X s 9 v R 3 5 8 2 a o o 6 x V q R Y O a c E m 9 O O b G c s k p 6 d O x v o E 2 q H M x U F m Y o + 2 W R Z A / i u Z C q A m e 7 i X m e Y B V 3 e S 8 I P W W H z d t 8 r + l m w b R 5 e w 6 j M P 5 z 0 P p / W I Q r p Y S y l d h p L d j c A / K 9 k n 8 L X 1 I K b b 3 D O 0 x i E I X A U W R d h 5 W y M E l l C r S 5 T 5 B Q / L b l 8 b i 4 1 U 5 x 7 / P I e j K Y T X m Q s 9 N N b b x i Q s 9 n E Z u / g J l T L + C x B + / g S z A 8 M q z O m f n H t D C P m Y 7 p 6 Z n N J R S r x y V V O D i Q V y 5 Y s 6 5 X M m t B W A T / 9 E L t T K F 1 Y 6 P 6 a x d d 4 k 6 K F p J 4 a S p i Q 1 z u Z T t M O V h V f 6 O 4 h K 9 N O O G R R 3 J V 7 3 t 2 Z K 5 o q 6 o H u g Z s T / I 7 o 9 D i 5 1 V G m w V u g o V d e a y Q c s D q b Y 6 8 r Y C F 7 e g 8 I G Q W 7 R w 5 r a y J R E 6 l s + 2 F Y Q W K c N v E Y s T e U z G a i J x x s i b K Z Y D X G i Q q 8 U O 5 p 4 7 Q M e T 9 t 8 o + p 3 q u H X v y W x M L S U Q X Y o i J n M w 6 X C i 4 + y j 1 p S s M A p g V N q q r S j n K F A A V I h c E S M e X U F x 8 C / f c c V T 1 Y 2 T s y 7 a o 8 v J k e u k K E p t K K L + z g N G Q 4 d 8 O B C S A r x C y R s B 2 p O f P 1 e n 6 I Y 8 0 C 4 N g m Z q d S S t R f i 3 n q j Y 7 z z b T 9 k d C E f G p p x E K d a l v a k T 7 Z 5 e K c I W a / / 5 6 K F A Q S x r b J D a F 3 G L 3 q i 4 7 X s 4 R z r h n A 6 E s Y v d e a B f / Q P 1 d L y / Y / l V e V i b 4 H a 6 + e 5 A r u O V Z N 2 J p a V k d L 7 d O 5 e A 3 8 r 2 R 8 S R i 2 S Q u W L q h O 4 2 p x 3 i 9 6 o T c h B L h 4 N J U I o p s O o 5 z b z 6 J 7 / 2 O B 9 A R 8 K C z s 7 P q + 0 0 o x b k e Q n F A 3 k 0 j O Y S T N j W V V v k C v m M h E k Y C d Y l X 3 p h 0 i v 8 J H B A 3 i 1 P Z q h f K / + q k r S b Y u e C 5 s 6 6 q 4 5 s a Q V B c z o H A Z c 0 0 3 C H p l N 9 m S F Q O Z i I L 0 1 W c h Z a Y V I X e i N B m F g t w 9 6 x N v E b A N J i u D 6 c q 5 t I q S p N T m G Q j y a z e L R L K z W 0 K o Z g e W + o 9 2 J A q E Y r p u y x m p u V i m h n T O H 3 9 s A S P o r D 4 D e S t I a D / u 1 a u Z / r r p d n M / 5 l T s 4 i l n Z j 2 D c h R U S Z K o T S f v 0 x T M r 6 M X D q J 8 2 8 / h T 2 3 f R r 3 7 J I Y u b O x W s J 1 E e r g k I Y e r 1 5 y 5 T Y P Y v n x 0 g U X e n 0 6 L s V q u w D V s L U z j 9 1 9 7 Y 1 d W K C h n n 6 M v / 7 / o a + v W w l B P c 3 M G j 5 d l J C j w R h y L f D 9 7 D A 6 N z u D o e F h J R Q L C / P o 7 6 d w U Q k V 4 O n c g 2 x 8 d c / y j Q C 1 u 8 g 4 O r b c j 9 S H v 1 Q 6 a g h q u Q v I / O E x 9 8 7 P Y z l i r G B P l 4 r j r Y i 1 i G S C H k I y n I I W s + J N r Y M 3 i l v b n E y Y I D k T s W X k t S z O v f U N 7 L 7 l c f U s T r U d E j l v B O u i w n u X H H h m 3 I 1 v y U Y h 3 y x w F t w 7 t m U x E 2 8 + 4 1 x i V W u 5 g K 2 C B c + h 4 z t u / t + U u 7 I W c o k c Y n P t m b z R R C q V V G Q i K K w k 0 6 V L l 1 C w O B E Y v l + R q d 2 T O 1 a H 8 Y 5 E 1 B g 6 T 8 S F L 6 4 t n 0 W u / 0 e Q 1 A x N T z I R i Z T x S 4 t K M v G X W y N k U o p E X J / l 2 Q h O Z H z K K r V K J o K W K a 9 l l G X a f e w T a m Q w J 6 R 5 c 8 q h R i o 0 g r b Y F r 7 s x f M u 5 P K s t Q f S O Q v e F b K d n H X g 6 T N u V b t W r y K h F b D i I F B l x f S 1 c H a R K z W U / m g j q F H 1 X E T 9 r g U u d m b 3 t d d S e M X N I 1 Y 0 u / w O D Q 3 B 3 3 9 M j f R l Z U Q r / Q W b B b U 8 N 4 Y D r J b O W 3 v R s / u 7 J b b p E g L k 0 T X 2 a O l K U S z 6 6 l U 8 6 l U 4 V A P f c / G d a S x m O 5 C z c 3 7 y 1 v L U t E x a N o X x N 7 6 O X U c f U z W E X t / l U c s v T 7 i M U G U N b G q l x O 4 + T V y u 9 p m y u b g N 7 8 0 0 T 9 S g u 4 B b t r Z v B l H C 1 J Y B V w K 5 2 H h d D Z u Y z c H X v 7 q m a D 2 g S 0 f X h 9 X y f O + K k F r s o j y a 7 w 3 R K k x 3 z z 9 4 B z h M K x 6 P r s S m T B e t E o X X l 3 s N e U s n / E N 3 K c v O c 6 2 k c W F 8 C c l E A W e c / W I a 5 B l l 5 G w U r B h J x i P Q M m m c f e v r 2 H 3 r E 0 I m l 5 D p y n b C 7 S E d 2 9 f o a 7 r x K q s M l y K t m + N y s N A I x l C t g I M K w 2 1 c s 5 W g E N M K u L v 2 q A Z A E q w m J P 3 t E n I K K D P E f J r 6 2 0 Q x D 5 d / C H a P C N w G g k Q x y G I o l l g s I Y I e x T s z X m T F C t H y m J a T v 0 n n L c g 6 d q + L T J l Y F l 5 v E B N 2 H 4 p y / 6 r v b h A r Z M p l c O 7 t b 2 D P r Z 8 S N 4 + W q X q j + / l l m / r G e t h U Q i X E F Z y N t / 7 K W b F I m g T f 3 z r r x r t i m e j B 1 O u z V w 9 v T T v b 6 v p R k F i o H B v l G 7 q / d P R K Z C V + K r Z h T j 8 T p i C Z D Z q V w q l n w y h o z S 9 i 3 S j M 7 + b G N J B Y i W R S n T s 4 K J a 4 Y n g M C W T G S S b R W g H v c / n c C D h L F U x N P o b p J Z l y 2 Q z G j z + J 3 b d 8 U s V f v h p k I p j V 5 T X Z 1 b C p L h 9 x 4 1 A O f V W 6 G 1 X D x Z J G S E t s F h e r k p F f z k v O Y 5 x P j 3 F U + f i m Z h H i E I 4 t 7 X H 9 6 H K x k F y 5 9 0 X I 2 K d L U 8 J T i d i l N K x O c Y t 6 W p + B p x I U 6 m w m A 0 d p z a a V C V 0 E N l c X 8 j l D w N s N k 0 z 8 d f p H 4 O v e L U L J b k 0 W p V i a j Y m a x e z p e a Q z D p x x 9 M g r x U N o N I a S N C d Y N S 5 u 3 n m x T L u O P S 6 W y Q F f Y O 0 5 z + / e I f l c 5 z W b a q E I u l t s S 6 o H M v y Z 0 y 6 c n r d j q K O A X b 1 5 R N M W Z M V 9 N Z Z t l E K U 3 6 x m 7 L e y d X v 1 u r M e t Q K r z Y G i n l V k K g + 2 V 0 N c H 0 d r W r k a V O d b + Z 5 0 R t 4 r W r u c T I Q 9 u K u 0 1 1 4 U S r 0 M W O n Q v f 1 R 5 C w 9 i C w v Y 2 l x T r b Z D S c T w e E Y L o + U Z 8 F Q Z o 0 i m R A 3 L 5 v C u T e / o s j E C o h G y E Q U i / U p s 6 m E o n v G j q l r t V s 9 f c o F v 6 u g + t W x 9 w J r D d s F e h j s Q 3 h k R M O t o 4 Z 1 Y l H Q + p W j l V X C O c 7 I 3 X 2 j 2 q / l y m h p Y z L N t k E E i U R y O I 3 K m X K x c v f c g s y i M e d D u 0 C X T l k m U W g a h 9 D b e l a s E S 2 y u W 0 G Y p M p O P I 2 d D l T 8 u H G 8 J l G i M V v u H T m O H b e 8 o S y T F 7 / 5 d q 8 t c C O t f W w q Y T i s v b z d a b t I p Z S x v l k j p b M g u f G n X j l Q v t 6 R 7 N D 7 A 2 D m m o 3 m 4 1 Z 8 c I 5 p y L w C 2 e d + K Z Y x R f l 7 + d k / 3 n Z K v v + V Q M L k O 4 e m d r f 3 1 u a p r g 2 D J 7 V f 6 7 q Q l Q h G D x G Q a Z F W g W T u F X K O R 1 u L 5 m Y J m 6 p U o z k E G H s 6 e t T + 5 u N 2 K U 4 n C 4 P / N t c O L z N i S O D a R G w Z S F L / Q o h l a + y Z R L L Q v z m y E S U T 9 1 d D Z t K K I L f U w 9 s L C b Y t n V m w d 6 S p a g H 9 j x / 6 b w T z 4 6 7 c G L G s W o w I 5 U P B 5 W x P Y 0 Z 1 0 j n X R Y e g / G O g B f x q W 8 i n z J m Q q o F m 9 O G X N I I / F i 4 J E g 5 S f g 8 j k w 1 L Y G 5 s f u Q I 7 B T / f L v F c g z u C K E z + c 1 y F W W w c 7 A a G m v P W C a O P I 4 2 H + D K E e X v E r S v Q l t W 5 X I p f K w y P v d v R Z x M 5 f U E H W P L Y s R x y Q C e T Y o G 8 q n G p T n I J v L G 4 S u Z a H J 1 g x o F O p h 0 3 O D l m c + X t 0 l Y G L L e 1 y s Y V 1 b A p + Z q u F C h s Q d v X N 7 T m 2 3 j T V e W T E 4 P C o a 8 1 W 4 e j 6 G W C y u j t V K u l r y 0 2 L 0 v V O b F L z d 3 a c E w O x l E R h 5 C M H R T 4 j L d m y l s i O w 5 W G J v d x w h / b K s d V a m J 0 2 N V p J u a 6 c i A 7 / V i G r Q c 7 1 g s 9 j O r K 6 X 5 j a B 1 f o B t h D t y K y t G g I 6 S Y i d j E h r l c a y 7 E l 9 I q F 5 M T 9 H q 8 X e / b s x t E 9 n d j f w 5 7 f t K b V v 9 t u d 2 J w 1 1 E s z 5 y V W G r 1 6 i p r o s a i E y a u k o W q n q i 3 p t r b m 2 I t c J D j 3 T u z a g z V 7 U K i P X 1 5 1 c L P r d H q e H Z P W Q r P o e g / o K b W c n t K P R b U / 6 + E l Z O o S z l T O I u O f n S O P Q 4 t O Q m r s 0 t Z n 4 K 9 F 0 U 9 g f i 5 P 0 V u 8 X m E d n w K H U K u 1 P T X k F 1 8 G a 7 g T j n 2 h H p W O a l C 2 5 8 Q j X 0 r r O 4 B x D M S g w 7 d I x o 4 q W I d Z Q n l 2 l a J J U 9 Q v 5 2 j D 8 E T 2 i O x Y h q 6 W C r + m r H T Z k E X 1 8 X b G U R w x I e + g X 7 J + 8 t 9 / 5 g W V g Y N i B c X L M 6 q 7 + W 3 V 8 L l 8 c L p 9 i E s h D I a o x s r a 0 L T 6 1 N m 0 w n F E b o h 3 5 U f Q M u R y G 6 e p m M L v t d Z x O l 5 h 6 o G 5 c Q w X I 2 j W T D F Z s 1 a N q v B 6 T B 6 O i v C q K M V k I O 5 j A T z R R v 8 o S 1 C n D + D q 3 M P 7 M H d y i r Z s u N C n q 8 b b U p F D Y n z f 4 r E h T 9 D M R 9 X l T k k m g k 2 I A d H H 0 P R O S j X / R k y C 6 + h k J n D w O h N s D q 8 s L s 6 h A Q P o m P r g 3 A F t j U l O C a o 5 T n e i 4 T U c s Z w c 7 P i Y T N q 8 i q R X k 4 j F U 2 s v N v p X D 2 9 F 4 + z z + L N O 4 N w 5 B a q E o b V 6 + y J 7 u v o l e + i Y j A 6 5 z Y C L o N a D 5 v e D k V w 1 C 4 b / S j I H D Q Y k + 1 C 2 K 7 i l 8 3 C o R E N v R V D 4 d c D u m a d o T 7 E J 7 + m a t 3 K U d 7 g m k l k k Q 0 X 0 H 3 w F r F A z 6 p j 5 e B l L O x q X h Q L i s L t 6 r s T m f B 7 8 A / f i + T k l + W E Y a m M 9 6 h d E S S z W G m h 5 F z X 7 c j H z z R k T S i A 5 d a M f w e G 7 1 b x C t / B 7 W o h f D o G Z 9 C G w I B v x R 1 e m J 9 H X 3 + / + j b m M 4 9 R A b B 5 5 t n T 8 v 0 2 j 5 x b T f 5 s O o l 4 d B H h 6 V M Y F v f P H 2 x s V c P 9 / R q G O q r H Z 8 R V y Z l I y o L n z 7 p U r d q r E 0 5 8 M O t Y N 5 m G Q 3 Y 8 e k M a D x 8 s Y q j r S s 3 p d 1 v h K V v H N t j k B J d r Q g o y s j Q v 8 c 8 j C C 8 n Y P P Q 9 X K L d 2 d X w q k K W D a H x 4 6 h O z 4 t v 0 a 7 h 0 3 M D j U q N + 6 X k 6 I S 5 m G H b w T e / l u R m P g b O a a r + 9 R z y u 7 j U A l u i k y e r Y p M j c A k U 7 4 0 B 9 5 S N A e n t 0 + 1 s R F X g 0 x M k 0 q X u H t s v P a V N Y q f H R 9 H d 0 + P 2 u c 1 B E n l d n u k v I H b d h q Z U h l P O V w e c f 3 8 i C 1 c L D 2 / M e W 6 l p R e P V X T R t A V 2 u V 6 G Y X Y u 8 L W 1 3 C D 9 y U 8 e q M V z j J l z J 7 P m b K W X H a D a i f s J e 0 Y W V 5 A c P g u Z C x D c I f 2 o 2 P L f f B 0 3 6 B c M 2 f H T r i 6 j y B 6 5 k + w 9 P Z f l e 6 U Q p D 7 K q 1 a T c h l a u B c a f 3 b e g J e k i 9 4 + 4 6 p 3 1 r X 0 j k 1 S c 9 f C p i 7 a z e 8 X T v A u W T y 6 V m J x Q y t b A r t Z s F U R N z i C 5 y M R U N R 3 C 7 V V C E Y 2 7 5 d l I m R 9 + X f 5 z r 7 o 3 C f / 3 F 0 p r 8 u 5 l r u q U g 3 r 6 X r F x r a D S 2 T R D r Z W P e s 7 B q 1 z r V L Y 6 M g H 0 b Z u W G 4 M Y 1 Q D R 6 n B d 2 B y 2 z x u 2 0 r 0 w w T X J 6 x s P w y 7 h 1 6 F f e N T W D n g F O 5 S + V Z E U 8 3 K M B N w I w r y t 2 q + f l F p O d e V L G S t n Q c u f l v w W a 3 I p f N I T X f Z A 2 T g E M w k l N f k W c + r z r j 1 g K / V 1 k a E T w t X X u F D E U i 8 Y 1 4 b T K Z w u L i M n S u M J K d Q T Z y y r h I X E p T g / O 6 z Y C Z d h J h Y X 4 B y 0 t L C E c W V L z D N B P 8 N Y l i 5 j k r h f w L v y l p N n q F u w v T 6 J I Q o 5 o i c D r d 6 N 2 6 H x f f f 1 4 R t R F M R + u 7 z J t P K M H N O 9 w I z 7 y N w 9 t q z w 1 h o w t E V 0 j 2 + z t X u 3 B u h w V 3 7 f N K J h r X e F 2 1 3 S R H f l a s h / G c J 4 7 6 0 d 9 h Z M h a M y i 1 A 5 2 h b g T 0 d w z t q V w y 4 5 f a s W P E J + l 3 S k E 2 J 6 D 8 T o s e l 3 v l e a V j l a D s m A s R B L c 9 j s T i e 2 r f 1 P T l G w V 3 e m o K M z O z 6 N 9 x L w Y G B u A o L E L P x V Y p h o X x r 6 j B d u 2 y U H w O C c O t G k l 5 j N d c v H g R v X 2 9 6 A q F 0 N 3 d A 5 v L i W Q i o e 7 z e I N G J U S p 8 L 2 + A G w f / B C K S U M R 8 H g x 9 j Z u G T O s G b + 3 H H a n S 1 1 j 4 R I o A l Z g r A W G J u e X a l f G 2 L 7 r H / / r f 1 f a 3 x T w 0 2 8 M n U a / N w 5 / o B t n F 6 4 U 7 B 4 J O m 8 N v Y I x / z R u G P W i F + / g 0 L 5 9 G O m 2 4 8 K 8 h n S u i F P T O T x x L I i t l u f R 7 5 q S u 2 o V t A W v T h l D w T + 8 l E M y a 1 z H B t 7 t P W t n Y C t g I b F N K Z M W b R p 9 V w k m 4 x l V e G X X 5 O J Z p C N Z u D u a X + t o L V A Y A 9 u / D 4 n p Z 9 E 5 + j B S q Q z 0 r D F K m I T W t J z B P P c W d P o L G N r 9 E J I z Y v U s u j r P j c / g R r K N H v o e x C L G / R T 2 8 o 3 X N g s K N 5 / N + 1 V + l Z 5 l H i O i k Q h 6 e n v V 8 0 m c b F j S L O 5 e s D e A r u 4 + 2 D / 4 A b i S z 8 I 5 8 l m 1 2 i S / y Y 1 F F D O U h 8 t w p N / E e O 5 u i W d X V 6 j w v b z P G E d F h S d h Q m l R g n r g l H N b u z j + r H S g D J t u o W 7 Z 7 U E x u 2 D 8 E X s T v S W L s a X H g d E e g / m 3 7 f a q P n x 2 2 X L R 0 6 r g k 9 N P w b r 0 T R z p e g v 7 t x g u 3 L w I I w t A H H x 1 X 3 U U c c v O 6 j 2 7 N 7 J W 0 a x K 7 9 j 5 f e q 3 f J K S F d j F Y r W w A N h a E D m 5 D H H X Y h N f h T 1 3 A U 5 7 U Y J x P w J D d y I 0 e p / E d 3 e p 4 7 w m c e m 5 V R a J o M A R u 2 / 5 H O Z m p j E 9 P a 0 m e o x G Y w g v L q o J V p j / t B b N w C Q M f y n g p z 7 8 U D 2 L k 0 m q 8 h T M z 8 2 L + + Z R 0 4 g R P K 7 r R d X u R 3 K Z q y t a C m l Y T / 4 A f B d / E v 7 p f 4 P i 1 s + r 6 0 2 o b 8 j O 4 5 4 d E f W 3 + X w T L n E R O / p G c f b N J 1 f S 1 Q g 4 L L 4 a N o x Q L A r 2 m / O 7 L B g Q l + 2 G E S c + e c Q B R / R l 4 4 I S j o 1 m 8 c m b v T j Q d R b 7 e 2 a w v c + J 3 N z T p b N X o s e X Q 5 / + q o q h X h 3 P I R + 8 H f F 8 Q D K q d E E V e D P H r 9 A m n l I D b q 1 e G + u F K Y x L i / P w D N x z R U E S R g z U / i I w y Z u Y + C u R m L K J G S V N x X x M y P O M 2 p I z z 6 r j J F I l m U z w f H z q G / B q 7 2 F b 1 x x C t t P o c Y x j w H s R / T 1 + E X h D C M 1 4 p x G Y g s v q b u b T 6 L Y x t S o g 5 7 z j c y 6 c P 4 + + / j 4 1 K y y 3 F e S t c A V L n Y B L q 3 8 Y k P c W h N x a B M X 3 v r 9 0 b D U 6 i q K Y B Z V p J D k J 1 v o x T q T F a g S x j O 2 K D t V E 2 9 u h O n 1 W H O l f U H F N L n Z K d S e i 8 D Y K X t 9 I L 4 W s W B e t 8 x 6 8 e S 4 t 9 w C 7 B h 3 Y Z n 2 + d P Z K R D 3 3 4 J X T x m S E B N 2 9 C 2 G b m i d w R 0 9 z G r Z R s I 8 e e z 9 0 d f q Q n P w 7 I 4 4 q n S M 4 + 1 F u u Q B X l x x f q 9 d l g 6 C 8 U G D 9 o 5 + R Z 7 q R D p + A l p i Q d 9 t W v X s 9 M L t I q X 6 F R S t 0 7 y E l q C Y 5 T W V S C 0 w f t 6 n J S Y x s 2 V I 6 a p C X x 2 m U K O f m Y 0 y y x y d y 8 A 3 b Y X P Y 4 E 8 9 i e L 8 F 9 X x t a B I 5 O z F l x K / r N q m K t u k O A d f I s J V S 5 L o 6 N 8 q o c j l B R / q o T + g 4 2 B p i m 8 T b V O P d C e M X / F D c 2 e Q j 5 9 S V q E Z M h G N d v n h 7 E X + 5 D O 4 t e c d 3 L H b g T M S H 8 W w V Z 0 r c o 4 B W 0 B M 0 8 4 V j T T U 5 c C h 0 c v + 8 b l F Y z V 1 n 1 N X 8 1 g 3 C w o V t 3 p a W b l 9 I h V W e 0 A J i h r L V Q b O c U 4 3 h 5 0 9 2 w E m x U x P K j Y r r t 5 X F J n U H H X q a H t Q X s 1 P I 0 u 3 S Z w x 9 e 7 K w L 8 c z I P y S g i S i c v T E C Q N C U W L 4 f H Y o R U d m I q 5 0 B n 7 Q 3 i 9 U p Y C l 9 + F o H s Z / t i f N 0 y m F e Q W s G e g u r g z / R 4 h 0 d z 5 t 5 W S q F e m 5 e C c J p U j e N t C q I C 7 g D t 6 X l W 1 a V t C 4 t / 6 9 5 b O b D x c t j Q u h k X j S R 6 8 P j 2 o L J f V t w M f J A 5 h J i 3 u T t e d i O T 7 c P x s G l N L V z L n x I w T r 0 6 4 1 P 1 r D W 8 2 w Q x X P c J l o w B R S M w g u 7 I w q K 1 V X z + L X Y T u y o J y e M W S J 9 Z H K L 6 S Q m p u / t H v R D Z m N O Q q Q T V V f Z t B A j B + L S 6 9 A G v 8 9 b q C W J 6 + y Y s X S 0 f l + 0 t d h 3 z + T v h 8 b r i 9 x o y v 7 B Z 2 w 1 Y / E h y C 8 u H / g c D c r y C 4 + C M o n P 5 5 e d + V P U w a w X b P W 6 W 9 1 a D F Y j k F u o d U H 0 V 2 s W o U H F V e j j U J x T a c e s X B c 1 6 n M e S B O H 4 + A 1 d g R N W E b B a O j N o R 8 l N b A G / F b k N G d + H i o o Z 3 L 2 b w 9 I k 8 Q n 2 7 M S F / h + P V t S d 7 u L 8 / 6 1 D j r u p V i R I k D j c K B m K v I 7 f 4 K t J p Y y k T 8 1 x 5 P G E O t 3 B 0 7 F d / V 8 I u 2 t j 0 4 1 u B G r E r G 9 9 H I g X H v l t i n r + H H a w R 2 x g i m a A Q m u 6 Y z V K E 1 2 e Q g d 9 f u T G N X L E + 2 B n C A d / f I J h 7 F j Y 9 g s 5 L P 4 P g p Z + F 5 f S P A a c + D 6 d 2 H s G g Y Z E I n 0 M K h w 2 z m S l R R 5 K / O c O 6 N Q P T B d V n x e 2 W X Z Z H J T j T U c + W f V i 8 + L 5 4 D Y 1 P G V D Z L l U 1 h r L L W / O i s t n X 7 p 7 B N y Q j j A S 4 B u / B 1 9 + + H I e w P e i O X R b Y Y y + p v 5 + Z v U 0 y r o j H 9 i 0 j G y 0 1 C m 4 S m E c W R w c + T B z A z L I U Y l m + s w K j F p n K w W V C j 2 2 t 7 f 9 R M I h Q d y / i 0 W V Y l p 9 S f 8 u b J d N 8 4 q b f p / I t H l k 2 R t C y I E X Q P b Y I 9 M h b q n t R p b W I z 6 T U c X 9 / / T k m 0 p o V l 6 T w R j r y y t 0 l a F V J W F a P F / W c E K m U H g o 6 r c c m g W Q 2 F U r n t k c R X l x Q Q m w q F e 6 z C n x b a A b 6 x O + q Y 8 w z a 9 8 n U Z j / k v F X R b 7 A K u 5 5 Y X X D N 7 s e C b d E C T X / b U w L X f s 3 / P 8 T C 1 G u 0 7 V a i T H 9 n O j y / R f + A v v v / K w a E t / I H B X b Q p q Q H h g s 9 e + r S q h P H f X h g 2 k u T A Y M 6 M + v x E e x r A 0 v L x j d W B S Z e l 5 B X k 6 5 S + e 9 g w 8 i w 5 l v w q 2 Z 5 H Y h r f s x U z y C M z M 5 N V D w j n 1 e P P f + 2 j 2 K O Q 8 7 h 8 b X g q l p X b k P Y d H m 1 D H V h k G 3 p y w X W S E Q D i 9 J o b H g J V C P P K U E x v j 7 M h h T p R e E I C G b B N q 1 h Y S P p s X n v P D l Y F q s r l 5 k s 5 m V e G 0 z i V Q J U / O 7 u g 8 h n r S K 5 c 9 L D K 0 j V 3 C h K / 4 / R Y A M l 6 u c b M Q V Z K o D P S P R m r v x 6 0 0 Y p B d S 7 f 8 C n n y b j d Z X e g X x 6 B I W J t 5 D o G c L g l 3 9 K r a q B 6 a C N c V s 4 j H n e a y a + + 9 P 5 Z S r t 6 c / t 0 I m I u j S 4 X M Z t x z d 4 V b t R C a Z i N T M U 1 e F T J x j b 2 L J t u J m u q 0 J D D p O U 7 7 A h Q J N M l X I 8 x V Y 6 z z J Y 3 c 4 o J e m 5 W I M Q R f C q N 0 y N i J y 9 g v w 2 q N C p K d r k o l g o 2 6 h K N q y H p k k / a n c l W Q i e I 4 V M G p G 2 K t M J s K s 4 c u G 3 4 E t e R y h 1 B f g m / w Z d E 3 / c 0 U m n j P J Y + 6 b f z c K x q F 6 i 7 P r s H G 9 o N f u 7 u X y e N A 1 t B N L U 6 e Q y 6 3 d L Y y S z 1 E T X K / Z R N U S O D O r 4 a t v J Z D T V 8 / l k B O P 5 8 6 9 h m v i Q X k 7 w N X F 4 N a b 0 D t 8 s 5 S S a C / / H i B w A M l E G H s G L 3 8 e y 4 0 u U j 3 U m x 6 K U N W 6 j I f M m Y S q y A K r x h k T 6 d G 3 V A G q r k Z V y E Q y F L I W O A O 1 4 y c m N 5 m z w O e s L U C e r t 3 q 2 6 4 V M I + o e K h A X D u E S A p X r o 9 V D 4 w w U h p 7 T 5 Q O r I J Q i p 7 3 G m V Z C f P 9 L h i 9 P a r 1 L n d I H G V 3 u B F b u m R Y t J K L X w 1 3 j B m E c 0 j x l X 9 a X Z X 2 6 j k J s M t 6 1 z r l Z v M j X R x 5 e o 3 g w s Q 4 T l 6 y Y 3 D b 3 c i l F / H 6 x S C C g x / H j N E 4 r k C z T C G u B y 5 B W g + M V w h v y K j F L H d b T D C 3 l L U S o T I s 2 O X u R u X Q s z r c f g + c d M B r I J K 2 w l 9 j m I n 5 6 u i k 0 Q i + U T V 5 r c B M S 3 L 2 5 T V H u F a C c 3 y Y A z 6 Z c Z X G y O Y 0 2 u w q m y A a R e y S 0 b G g a t m V e l / 0 j x 1 E J h 4 W V 7 p 6 m M A x U a x n I B w V M l P 3 a 5 c k k C / 4 9 p X + M m C L v g i 3 f B S 1 7 9 U E G 3 P f n H T A 3 n E j J j L 7 J O 8 t + P L x N N 5 a 3 I m 7 9 v s w F 9 U R L a 3 s Q O g N T P Y y X 2 N W W 1 V D V Y q f j L 9 r a 6 5 G k R d J y W W q t 8 o z F G E F h B K q G j A F I j h 8 n / p t 1 n V q J 9 g e x / i p f K O V 0 n N x u L b / m H F N A w T g X B + M S U x Q x N g z y 5 w Y R R f T l c 8 U x H L I 8 1 t o C G c S Q v 3 i w Q i Y f 8 a 0 Y 6 s Z y 7 g p 2 D u K + Y n 3 p c w Z T 6 9 O N 6 e 3 M y s g 7 t q e F W K p 3 R X U J R Q f N Z X s X t G G R L G Q w d 1 9 L y G 7 1 N 4 p q p p F v m h D w n k U X 3 / f I w V R x H J S B F 7 S G Z b w 5 o u v x y Q O v N y W Q M v a y K L r 7 N t X 2 Z 1 E N e A K k Q I B D + z a F O K J F I o p o x 1 l P V b B w g I V Q p X n L c F V S x g S c V R o I 4 3 c 8 e n a 3 b Q 2 A y S P Y b k l 0 R a b y I w h U q Y 1 j + Q H V b l k S 5 a K 3 8 u Z r M p n D + L f n P 6 g P F 4 3 w S x W u p u r 6 o v + 0 U W x O b y 1 3 e R a o L U n L O d + C R 2 2 G E Z C D n H X j E 6 5 J B Z B k h l 9 B K 1 q L W K O A d N y q 5 U e F 0 J n c p b T 1 d O 7 q r e 5 S 1 7 w i S M u p S l u G n P j w o I m g l r A 6 M g o b N n J 0 l V X H 6 y E Y M H Y f N t U d T g L 7 M p P u 4 x m R k g s y L O 3 d h k a i D C n + A o E u 6 E t P g c v p q E l p p W F b t Y q q D S 7 Q i I U a f m 1 I R n T U E w X V D U w q 8 6 5 y m O 3 X / 4 2 y r 4 u q P G 5 q j v Z x 3 R c L Z e P Q p i 1 j + D Z 8 0 M 4 H d + O c + E A F g o 7 s G v n A U x P n U d / + n + o D q x 0 4 / j 9 B A n C v 1 k u L D v u U + k p 4 l Q B Q 9 B s I q u s k s v f 3 B y N j P u 1 g t H 9 z X h + E U P u s w g N 3 o z 9 + A P s 6 Z x G z L Y P s b T R M M 8 5 I z q l P L z B E C J L C 3 B 6 / C s 9 0 L 0 S y / Y H j P I h p 6 t l + a q i O 7 b T j e i l 1 7 A z O I n c 0 p s 4 u t 2 h M u H k N B N 2 d Q r M h K f 3 F l j d g 2 q / u / 8 A 8 s G 7 s B h b v + t V C c 5 S W 0 5 A x k F E b N q o v a T w T s e 5 r l F j + a G 5 9 + K t 9 B P 4 x t w n 8 N T 8 J / D C w h 3 q 7 4 j 9 M A L D 3 c q V T M 1 r q u C T 2 u p R x m v B N 3 C n 0 p Z V S 3 Y T 0 d F 3 E J p a Y V 0 U n b M T 0 Y w V X z o e w 7 b e t A h O W O U Z w R 9 u Z t a R K I 2 G 4 n b J G L t d 4 s 0 a m p P E 5 B R 1 r M x g R U 4 8 a 1 V b X i w b a 6 L 5 L j M d L u 0 s f O f / G f T w 8 7 C F v 4 S j u Z / A t o 6 k S t t 9 B z v w Q N 8 X 8 X 3 3 d m P + w j u i u E g 0 Q y B Y 2 8 p y I i w 1 4 u 1 V n / P C h 2 l c y B / F n D a K l 2 f 3 o q / U Y L 0 j F J N M K u X C V Q I N x W R m N 5 a x D 8 t a C M f P p V f F S E Q 1 G W f V f r O I l E b z 8 k 7 G O o T u G l O / K t c N M W 4 I Y e z B b C Q v J B U X T 7 Z o S s d 8 N I 9 X p 4 Z w P H E / u o 7 + 7 3 D 5 P O J K 6 u h w r / 6 e t U C X x I y l r i Z m l g 3 3 m g 2 h b N / h x v K 6 q N 2 u j q 8 X u S R j G X H 5 i m z T M o 6 V w 3 Q f W R t q z l 7 F x f i 4 0 a q U g 6 Q y N 6 7 m n k l n Y C / E c E T 7 a X z n r Z 1 4 7 m Q E S d c t O L f o g p U j l e V D W L N r g u P o 6 m G F U E p O B J O L G v p 9 S e V f L q e A R w / 7 4 P d 3 o q t K O 8 h m I p b 3 4 8 R k B q 9 N B v H a + O X e G u W g l q q E e F Z N g y s v f j B n R 0 Y r y v u c q p H P n n h F n S N p h 7 s a t 4 x s l a + F i L j T X 3 8 n A + / Y v X C l a j c o 1 4 L d 0 6 s E g 9 J r d t Z d q 8 N u u 8 B 3 M H 4 i L k 0 b A / p M C 2 D i v V k X d N D L W V 9 6 6 B 7 T J W Z P C b P W m U + k J 8 G V W V i D 2 6 D D s A I z r S 6 3 0 Z c w n y / i K 8 e X 5 f l W f P l E C M 8 c n 4 Y / N C T v t a o x W H z H 7 d u y q v G / H h S h A u I z f u Y W w x x R K B P R C Y m l / D g 1 I x p h 7 p t i G l 9 o 2 D R v B B a z I b z 0 4 d o 9 H d o F u r f T E R t e O u d W 8 e S l Z U 1 s k m R k 5 y 2 I Z D 2 q 5 q l R z E Z L O z V A o X j l v E P I 0 f z y N q Y r 4 u v / m N K k 5 q Y C b d k 2 E m a N p 7 X 3 A U y m j V m H T J j p O j A g i q 8 0 t 8 N 6 w D k 4 z P n 1 2 G m W 3 c o o p 3 T j P O L O N U u m c p B Y 2 W x O 5 F v H g a 1 e K W X J Q / k 3 9 c E L 6 N 1 2 W F l d u U o R e a 3 5 J A h F E / Z + Y O 8 I g m l 7 f 2 k 7 l i e / i T v 3 G o t R r 9 U + s x G g o J m x T M E 5 L E K + O g 3 M T G 5 r Y T 0 p 5 7 3 M 0 D f O Z h H r / C y e O t O H V 5 f v h X f 0 e 5 D q / J R x 0 R r I N 1 C 9 O J 8 U g b E 3 N i 9 c O R L n / 5 c U v w 2 J q a + p S T K 5 B b Y + q n 5 F + t b 1 7 Y 1 g T m L J r 7 5 t K D o z 1 i R M g + S 2 Z V X X r 3 a A v U n M v n V U 7 u 1 4 r m m l z H h 4 I P H f k E 0 l j U G G V i c c T i f 8 A c P Q 8 J M m l u 0 r i 1 n U g j p L H / + D 6 S x u G H H g 1 u 7 X c f t O i 2 j h A h L T z 8 D T w m y q 7 U B U 7 4 F 3 8 H 6 k f H f j w n I p m C t D O e H q o d Y 8 5 s 3 i 5 V N p J S j U j F 9 + I 4 Y z c 6 I p L b V X u y P c W z 5 b 2 q u P g J v D / c W q N N G l x h R g m 2 5 M P s k Z Z b m R Z O n 5 V 2 C x O Z X v T 0 u l B j q q q 9 s L t + 2 y 9 V F T m 5 V g e n 6 D / c Z c H p W u Y E s w n 9 H G D z F d U f a C J w p d j 6 j H p 6 I L 6 N m y X 8 o E u H + 3 p r o W q S k Z 5 B P X m l 1 4 F d 0 Y M w T d O q y x V y W w N D r 9 t Q J T Q z U K X l 9 5 z x t z O / C l N x J 4 / s M M l p O X g 8 J W K h n a D e Y / 2 z H m X Q + U j l T H 6 c m y r h o l V F v R 4 2 B H D F p s T s U J j Y L y Z f Y f L N / o Y u Q T 5 x A Y v h 9 F R 5 / q P K u m C S s L r N s C S U C H l x N J G m 1 C Z l u O A e M 7 T L e w H e A 3 l H F 2 T Z A s J m H M f f P v S n D o P e H I T y h r x T W j W B Z 6 0 T j O U Q h 3 7 8 j i n p 2 Z N d s G V y X x 3 H w e a d f q n h G t w J x E k g q 3 k c X S c p 3 3 4 e X w x 6 D L r 2 f w Q f i H H 5 C P L 5 2 s Q H l X q K s F J o 0 V I 6 f E q q c K l 6 2 U b g 1 i 2 X o j 9 N A j e D v 9 h J o 3 v R J c l d 0 E p w l 4 Z G c M z s V n 4 e l 1 q B G 8 6 4 X Z Q T Y u l s q S P g 2 n y 4 u O 0 U f U s X b C f E 8 w / Q J 6 A k a 6 T Y E 1 j c n M o t F v r h 0 o i j C p q d G q Z F E l W c x 9 / t 8 8 x 8 l e y v 8 2 r y m H Z e q / 4 p F D b t h d H j U c n t e U D w N q B K s I x X e 8 d K E D G f e N h u D K 3 0 v i 3 z e L Z N a q W q b P L z q U y 2 i m P V 5 W 9 c 7 J 8 c 2 2 L X d + G v F 0 E X / / X h J / + 1 o M f / 2 q s S T M t Y 5 M r o i w h f M p s O r W h p j n X r w y P Y J v n L R i R t z o 0 j C y V T D z I u S 3 4 j b / s y j M v Q x H B z v R V p G U F k F L p T r l i t B n l 9 4 R S W m + D B u B 6 l 0 u U d z N f d O w F t K q 4 s B A q V w l h m o X L B I / q a W A K m A S 4 w q i O E L I j P 4 a i j Y O z 5 f 8 3 f u b g P + Q u H X 3 w D L w v S v l w O v L L a n / / I / g w I 5 + J J f n 5 S 6 9 6 c q 4 K y 6 n E n j + r B c T x Y / D 0 n U r w t k A H D 2 N t y c w o W w X Y C f H s W 4 N 7 u 6 b Y O u 7 T x I t l i h 4 V + k D i j g 5 3 4 f J m D H e p J A 4 t e I 6 E O b H f j v g x G w A J 3 O P o d D / G b w y 3 n i N 1 p 3 b E 8 g u z i G n J U U j r l 1 7 1 C y U S I u p s L l 7 E Z v 6 p j q 2 E W C 1 s i V z A Q 8 e M V Y y L J 8 s c j r R v t U N i 3 R b a 5 g L a / A I H P t + H Z b Q P b A O f 8 4 4 G L g Z h c w C U r 2 f R 3 r g X y G T m J N 4 / C G k n c e Q K I 7 A c e C 3 1 U J 5 l E d z Z i X G e v S 6 j / n + F s n I J Y y F m q + h r M o / B t 7 j s z l 8 / Y Q F v U M 3 4 e m T E p B J w T S K L Z 0 G s 7 l 9 a 9 y N b 7 2 f g X v g P p y 8 m I a j / w E E R h 5 Q Q 9 J 3 7 f 4 Y 5 j L 9 q v B d l i v j j W 8 X T I p n w 2 k A m k E h n R E X p g h P 1 9 o T K 7 Y K V l 9 r 6 X m 4 O 7 Y r c m 0 E z C 5 P A S + V g q E J T V L t i L d v D l U L + 9 1 V C w P F + u Y G f g S z l y a Q D T 6 M m N Y L y w 2 / j 2 z n 4 8 Z 5 N d Z D V 2 S h R T X H b G X S a T i D 2 1 Y q d 8 y K E y O O F f d Q 1 + B 3 S g g k 1 5 H H l X N H 1 E L D 0 4 j d N n Q e Q a s x S r U W O G K X t Y V T S 3 l V w U H 2 0 + I p l M z O g z e 6 8 e a 5 H M K J y 9 p m 9 6 A D p 2 c M b c D v a 2 M s u y l 4 4 l g A 7 1 z I Y G K h M Y 3 G u o O 7 H F + G T Y J d h 6 f 2 8 I 1 W Y H o A B k S I P A N q K d H 0 0 n s r c U + 7 o X q Y W 9 z 4 5 p T E j z A 8 D S f S e N T 1 e a X x 1 1 v L x 2 9 S m 3 g 9 1 s q u f E K o e d + P G E u i V o E 5 5 0 U t y F M R 6 D 0 k w f k i 9 P F f Q j E 3 L 3 Q K 4 s m l n 8 C 7 b 7 6 K I 7 f d i 6 w 1 B L f E u + x d v h Y a z m H O Z F R P 0 B c c 9 + B v X o + r 6 Y 4 T G b Z o l 5 G p D O 9 P C d k q O g + Y Z C K u V T J x D v V a + J J 8 d 6 N k I r i 0 T j 6 b R z 5 T T e W 2 D t K I Z G J M w H k m b K H b R M n d i 9 T i O 4 Y L u F G g 9 i 9 m 8 N g R z h V u H L p 3 v 2 N d D a 4 m S C S C w 3 M 4 B s r s n W E i O f K r 8 H q N R n H T A p V v a 4 H P T S y 8 i 8 T y J a S 7 f x D W A 3 8 A Z / e t 2 L 5 t C C 5 / C B c u z i C Z i I o 8 S 9 4 2 Y H o a J t T 4 X B 6 e o Q e M d V s r 5 M A S u g N v n q 8 9 Z J g 9 i b v 9 x s d N i / X i 0 j L f b m A / P I K 9 S g j K S u U i B s S 2 v r U t z r 4 R F 1 L J L P K 5 9 h K K t W B 0 8 w r 2 b s Q m n 0 I + e l L N z U c L U d 7 w u l 4 w J 8 p l y 3 T 7 c n P P 4 Y 5 t n B 6 g C H / a i N v W t E 4 W I w 9 X r F D F p s 5 B Z C d 4 E w q u P t h 2 / y q K n h 2 w 7 / / P c B z 5 c 3 m p M S F M u 7 4 v F f 4 A C d s h u J L v Y s u u I 5 g Z P w 5 d y w i p 4 j g + u d o 8 s v M t R y d w + g U T D a e C A / b Y L v T V U 0 P I d 9 x R O m r g x F T 9 x z x y y I + j N e Y X L 0 e n z w a f a O 9 r G Y m 0 o Q x Y 5 W 3 u l 4 O L G R D 1 2 i v e F f f Q 5 v E p 7 d g u l G Q P w R 3 f j 6 5 t j w q 7 j E n w G 9 X U j Y K v Y Z u W 2 W h M U K D 5 D v 6 y 1 4 2 N p F 5 6 X p 2 r B 4 u Q J D v 0 E y i y p 7 p A E a j r b l h 6 H x P y b F P H C I v d g 7 j n c S R c P y y u Z Q A x 3 3 c g G p 5 G 5 N I b K u Y x 3 9 1 O 9 I f c G O l 1 Y d c t j 2 P 8 j a + r w Y Z Z V Y l h n G e v d i 4 W + M 6 0 E 2 c W H S v L 2 T Y t v V T U 3 / p Q x y t L t 2 P R e Y 8 6 5 q 4 z R I V L 1 m T D x 1 G M H s d I d 3 3 t H U n q y D b R W 2 C z s W / Y h Z u 3 a b h 3 4 E X s H r I h m a 2 d 1 v I B d J X g g M j 8 2 B O l A H j 9 Y B m b G j 0 T P W s c 3 C A o M g m R E i m J J + R 9 K n 4 q 8 9 P 1 5 F k 1 V b L u G C k d q Y 1 i 7 3 e I 2 7 s E 2 9 j P q L R b B r 4 L K d s u J I t D w N Y f R 5 F T i R H 5 J J L p L L R 0 C o n F C 1 D L E 5 V I r C a o a T N o 7 f j 8 o 9 u d s m / B l h v u x M y Z 1 + E u x l Q o w 0 q K 1 y + u X j H l 9 U k X n j v r b p 5 Q J j h 0 I i 4 a m g 2 V + 8 W F q Q W r R Y q 7 4 z D e D O 9 H O F 4 R P F U B f d V r F a x w 6 f d G 4 b Z E 8 e H 0 2 t 9 S D 4 y j W t B n V U E B V w I p Q u D u 2 K H c P G K j B h 1 S 4 I b 2 f Q Z F 1 4 i a S l o R q 0 Q q a z 6 G k E u D s + 8 h 9 b e y O p X g L L r 2 T q Q i E + r P c H g B m Y E f R 0 r v U D a b 3 5 F Z / g C Z n h + C d c s / l e / T x X P J o 2 j T k J r L G k R q o w t b C d P a R R b O 4 J 5 D A 3 D 7 x Y J a b U j H F v D k e 2 l V c 1 3 Z x s j 6 A n r w L a f q o R s 9 G L M 9 p w j w r Z O 1 e 4 K / e T 6 L J 9 9 O Y T G m q 3 W d v t 2 x v H B B l M j 6 X a h A f q 5 9 L p 9 k K y s h P M N G p 1 i b O 0 S p L 5 1 s H 8 w G U G r p + M w r I k E z 6 N n 1 h D r G 9 7 L X d n D L / b j z Y D e s n T f B c f C / w 7 7 j Z w F 7 h 1 z A 9 B j f a 9 n / e 0 h 1 f K c k 2 6 i R T E c v o q i L G 0 y i l M j C r S h u a 0 J C c 8 f h P 1 N / + / u 9 c H l E m N P r U 2 a N g K T y u S z o 9 e f U P B M D 2 4 / g x R d f Q S 6 X R z p V u + N B S 6 t v s J L h 4 d 2 L y M X G k f f s w 9 N n m G F 1 U N J S N 2 x x 4 e R k + 1 r P r w Z u 6 n w D i / k t u J j o L x 1 p H r f u 9 i A Y / g J y k Q K 8 D V R i 1 A K z 1 R R y E i p y / u + Q 0 3 L Q O Y m J 0 r J C L r s d T o d D h D 0 L p 8 s F x z q n f e Z L / c P 3 I T z 1 O p z W F K L R p D y / C G d g J z p 6 R p G Y e x V R f R j e 4 p Q a U 8 d 0 m N b E 0 3 M M x c w E 4 s v T S p l w m c / O U J e i m R n v r U D e w / c 5 Q 7 c i y z X C B D w f m 0 1 I e G h B 5 9 b 6 k 1 C 2 A 3 R n E / k g P l z u h U X S c m 5 6 C V M f v I i x w / c j 0 N F d u m o 1 m l J j w y G j 8 P d J / E A y E d G C 0 a O 4 E X w w X X 2 W n 3 a h T S F J X b w V P Y q l v D E U v 1 W 8 d i Y N q 2 + P q p V b D 0 x N 6 B v 9 R w i f / S K S y S S 0 n I Z 4 I o H J q U l M T F w 0 h t i n 0 6 J V Z Z N f 9 g 5 o F i p O k o 1 C r s n z J k 5 + F W 7 R 3 k R H h w 8 e r x 8 2 f V a R i Y h N v W y Q S f Z J J p J e C e f c K 0 h G Z z A / N y d / 5 1 W n V J 4 n m U z S m T B d y M j s O + r X J J u L 0 6 4 1 U n / d J v j t M e w L n s a h H U G 4 X A 7 k 0 v W 7 x T V M q P s P e N G n v 6 h m l B 3 s c q p a j Y R 9 r x q K 3 i g u N z i 2 H 2 w s 3 Y x 8 p l V g O 9 t 6 w G f Y X K t n k 2 o F p v 7 I x q f U U O 6 F h U V k 3 Y f g H b o X f S O H M L j n U d U p l D M F 2 T s P o 2 D x I S O W S p G j Q Z i C z X u K n p 3 o 2 v o Q Q l 0 + F P M p J e S 0 Q N y U u 1 Y i R X e P o b 1 5 X N 0 n H x q L R N X v p e l p D A w O q h l 4 A 6 W x R u Z z K u H t u w 0 e j 6 f i n K X t 7 X e 1 Y K b L 5 7 I h M / c S 7 t 7 n U y t 0 V I 0 L S 2 i I U G q N p 8 i L 6 A s U M F J 8 H t r 8 M + q Y T 4 K 1 9 Q p F u 3 A 1 B k G u B 3 r k F S m s 0 h 8 t w r z f 0 z l G h i K K v e q g J q T h o M x 0 t o h U V t y k R B Z z 4 R T m U / 1 q L k B a L A 6 V r w U K j K r o M P 5 Q x + A e A T L n J X Z 6 d h V 5 + G v u m 5 + T 4 d K e o t 3 M d 7 D i g g P 1 K J x D w 5 d X V L z C z a u A U E f 9 l g s w O x E 7 3 K 2 7 y c 1 C f Z 9 o a + b H 4 s x Z d A + O 4 s Z h c a l L 5 y v R E K G G u + y w w 4 h 9 u P I D B 1 4 l N D f G F 1 r 3 x 9 s J W q d 6 1 d T X G n r 8 t T t 6 N g N a Z M Z G W m o B r p 7 b 0 d v b o 7 o X h U I h + P 1 + i W 3 E p X J 0 q h U U t w x 1 w O t x o m P s M e T F a i X E L a S L S J e w H C t k 4 m / J k k W i U S n / u C J E P Q K Q z C y F U H d I 0 l Z Q c 9 p x x X Y u J k 2 h 5 F n + M z V / 3 W c J k v O v I x Y z X C x W Y B D s 0 2 d r Z m q o N o H p 7 R 4 Y x o A 7 J n 9 x w p j L J C / H m o R i B 9 d d X Z e u q M 7 u 7 D + M c 3 O N d 7 f Z S L i u g U G H a 6 E 8 v t v W 5 0 R y I Q M L L X 8 L 0 L S 8 k C G F V D K h C D F z / j h O n / o A T q c Q p s O o I O I + E e w Z V Z U U q c W 3 x H 0 r Y n F + B s 6 + e / H h + A z S Y j l o r R J C L B O m o C y G o + I 6 3 g d b c C + 2 H v w e U Q A S 9 4 l Q r Q X T W p E s S 0 v L 4 s X 4 V 4 a R 1 5 r n v R r M N 2 3 d Z w z i N K g q z 3 U I G a 3 G a o m b B V p b V u z k 8 k 5 8 c H 4 e Z + c L S M S W s K 8 n f s X s v m t + 3 Y 4 B B w r J 8 8 o q m b D Y f H j 6 g 7 U z d 7 P A V u t r H Z x A k a C 8 9 a a / r G I I l 7 + + 6 0 K Z 0 f W C s k J 5 I Q V j U F o V L l + j 6 X b E s p 2 Y T 3 Z h f M a G v r 5 e I V N Q a V I T F O 5 I L A d 3 5 y 5 l u b r F c l H Q 2 T d t y 5 4 H k X U d R l I L q o l d T J j 3 D 4 4 d U 4 t a 5 + N n E J 3 8 h j o m J 4 3 f e p B r T M v T P 2 D U h D Z i j S r B 3 G K 6 o j N v G g d K 4 L M y 8 T j i l 4 w V U D Y D z E d O O W Z L n 8 J Q y I W J E 8 / h 8 H A B H r H a R w Z F 8 Z Q N i 6 9 L q G 2 9 D u z w X y j 9 d R k L c a P z 6 3 U 0 B i p l v b T c 6 B 1 7 P M j G s r C K 6 a 8 2 Y M 4 E 4 5 C k W C C u Q U s S p V J p 9 Z v L 5 p B z 7 k P E e h N y j p 0 I 9 B 7 E 2 N g o v F 7 v i l U y 4 f P 5 1 L H 3 z 8 Y x c X F G u X I E K w N c L v Y C k P 3 e G 5 R V Y s 1 g U t 7 F a 7 j Z v P 0 r V o A p b 5 Y Q v J 6 C S C K b V q t Z Z P N F s a 5 X 1 k p 2 b e 8 U w X U Z G m e T Y B O L 4 r D q + N 7 P P o 6 f + N H P I T X z P A a H t 6 p h I L e O Z t H t N V y 4 m l / a 6 b V h 3 4 g T e u r K K Z g 7 P L p k U g P a 6 j o U z N p x d p l x L X 8 R m a g m b p v R m Z h C S w v E 2 j e 6 b 9 w o 4 O w 7 l s y 6 4 e y / X 8 h z G y K J I h I Z I U H P A 0 j m g / B I Y N 7 R 2 a F i p S 6 x P C R P J a h V K c x D Q / 0 Y 2 v O I k D S t C M b j J B W X 3 W F D 6 v j 4 B G J J T b 0 7 m U g q d 7 K g p Z U 1 o J v H a 1 q B s n b c W g B d P D d j J Y v x b n N q M o I V E 6 l Y A p G p x k d 2 M 5 / X c h M Z p 7 F W s n w z 7 2 M X J 4 / H q 5 Y L P f v O V z A g 1 v f M q f f V f R x s f X h E U 1 N K 1 y T U L s 8 b y M 9 V n 4 j + b O 4 W 5 Y 8 3 h D U + 4 q O E A 1 t E q 0 q g z t b + w I B f i C R B u w g v r R E t D 6 u + 0 7 K l S j F N / 6 5 P Y D m a h V u u v 5 T c C l v 3 7 U i m 8 3 C 7 3 S p W U h U P Q p B 6 I m t a I 5 f r 8 j 0 E h T 3 g D y A R j 6 F 7 7 E F x G 3 3 I 2 8 f U 3 I P p v A v z 5 1 4 w r m v R u r Q E k R W z 4 6 1 Z C Z F K G 3 E 6 Z 1 X i M f N f z + 5 O i e / d a r 8 S 5 j U m 2 H X J t L z l I 4 o r Y b Y L m k T i r 3 k f 9 x 3 C G K f E 6 3 n Z p 6 L q 7 R 9 c I R z L 4 M B A r j a h 8 l a u M V r 6 o w T / 0 P 3 4 5 s z H M L G w 8 V 0 / / i H C l X g W O Y l p O B S A 7 h x r v y Y n L 8 H S e T s 8 A / f h z P g F n J g Z h X / g d m Q D 9 + O 9 E y e V 4 N N 9 G h w c V L V m t E S d n Z 0 N u 2 C 0 Q s F g U A 3 A q 7 y H D a s + r 0 + d 2 7 t 3 t 5 R 5 A C 8 8 / x I 6 u 0 f E C h h C Y q I 8 z m o 3 K M j K I s g 7 S A O L s w u e n p v g 6 j o k L q N B D C X c c p 2 5 k T C 5 l C i i u E E 4 R S H 2 c i c B S t e o Z 8 p G n U 6 r H 4 5 w 4 h X j W b X A d j s 1 S l e s d T z G z r B 5 1 R j O v 4 n 4 4 m m 1 o n / P y F G c P 3 v G s M I l c F b Z m l 2 P + j t s O B x 4 s f Q X 4 A 4 d w p f e 8 6 g E N Y W m b / i H C X r I 9 / Z 8 D Y n p K G x B U V i F P K L 5 Y e j 2 Q Q T F c t B S B T u 6 J G b I I h x e F t I E F Q F I I P 6 y k O l + c d l K e 4 N k a g Z K g C T Y z 2 Q y C H X 3 w Z o 9 C y 0 5 a 7 g 5 2 Y w S V M I j s d p 6 V q 2 v h C n c w Z H 7 k U 4 s w h s c w N L F F y F f r I 4 H h u 9 C b N Z Y O o m 1 l W Q 5 q 9 K 7 u j q x d C 4 K h 1 f c 1 4 H V o 3 W Z 1 v K 4 L V 8 Q N 9 e W Q 1 G L o n P 0 Q U S m X 1 P H T Q V T T j A 2 J 7 A x 2 T y 3 u L g A r 5 R B K p F C T 2 + P i H M R M c m n s 2 f P I T R 4 R L n d p g t N 1 L R Q X C a G y 4 A Q W s f d + L s T L Z D p O l b Q H b B C T 2 Q U k Z K W A X T t / G 5 s 2 3 + v I h M n C a G V I J n o w n V 3 d 6 l j X V 3 G L 8 F f 1 g x u V C G Q J H Q J + Z 7 I c h h f e v I k H L 4 R p F J J 5 E R r X 5 w M q 4 q L d C q l t H i 7 Q X u o R U 4 g e v H v V 8 h E x K e f Q z 4 b Q b D v I L q G D 8 O O J D p F d j s G b 4 K 1 2 4 a 8 3 E c + W N 3 9 c u x m + O U 6 W O 1 w B H e U n g B 0 D e 5 T Z K I 1 m T r x 1 / J d A 4 o Y p g U r B 6 v H S S b T 8 v T 0 9 K q K l a 5 Q l 7 J U P O 4 V w u 3 e t R M D Q y O Y X 1 h U x 0 l E d b 5 e 5 9 i b x l w I B W x 4 + t 2 U f H C L u M 5 C h W N j V r g v / C U y + S R e u d i N Y 7 c c E f I Y R G I h s Y C J c h f C B A u d 5 5 e W l l S j L d F O K 2 H C F D I K B 3 9 T q Q x i M y 8 j n s x j Z N f H x Y L F M B B M w m 1 P q / a l a m l t F n w n L Q o b m 7 m + L c e I 8 b l m u x M b i M u X / + Q r m V W 8 j 9 d F Z u K w F c V 1 7 R f F o 5 o m S p 1 x r Q 7 4 e g 8 j l 4 k L v z x I L b 4 P m 6 X U M V s u S + c K 6 B o 6 g l x 6 G b o Q 1 t W 5 C + f f / 5 Z S K K F Q 9 w q p T M I x 9 p q 5 N I P h k R F 1 L i b u I D s i f / U r X 8 c 9 j / 6 A X M v l d u S e e o T q 9 F r V Z C v c W g a / / i O M g v j g e S 2 N B / t f R z 4 W g c W r 4 c k 3 H P j 4 X b e p W K i R K m U V W 8 h G D R i N R t H b 2 2 t 0 2 2 n g 3 k Z g E r Y c r K 5 n p Q k t 0 t z 8 P L Z t M 2 Y I o k X N z D 2 v K k Z Y W b J e m A L r 6 L x R L J Q R M 1 b L k 3 I 3 z i S h i e h E k k Z J 3 E O j p p P P q P w e E 5 X n 2 M 7 n C + 1 C a n k c r o 6 d E p c t q O M k t j l 4 k W n M 5 b L i 2 j m N 9 N n E 2 5 B j r B G l K z 4 7 O 4 + + 0 V v w w Y n X 1 x 6 + 4 X L w w a U / W s F H m 0 + S 6 R G E f B b s K b y E o p 6 E X V y / 4 O h n s B S e E x e r U w q o d O E a M C d f Y f W 6 Q z Q h h c v 0 8 9 c D M 9 g m W H 1 P L d w p 8 Y n b 5 V Z t L 4 z t K E T B Y E D 2 k 4 r Q I w N B Z J f f U / c w H Y y r m D b 2 d O f 3 0 G 1 V w r / G x 5 n E Y P c k r 1 / y Q o S F 9 / F 9 z U A 9 4 x J X O L S i a M n D G 5 K 0 q + 5 J r K g w 3 m P C J C X P M U / L z / k H b 0 d i 4 a R c w / d f T g O f z 3 z i 9 1 G J m P n O Y 1 R y x l q 9 x n v W J N T H d n n E / 1 9 / w X 1 U Q c t i Y R t K U Y f T 5 V S F Q 1 B m m h 2 + z Y L i 8 y L L x s Q k 6 y U U B Y C a d n l 5 W Q k a q + 5 7 + 4 z 5 F y k s d D F d 4 p b 6 A 3 7 1 L g p g I h H H M 8 8 8 i y e e e A z H v / V H O H D D r h U h N Y X T J A Q b m z k e q y b 4 f v m e l G j 6 7 r G 7 k V 5 4 S x 1 u h V R E L p V D N p K X + + 2 S V 0 b 1 u 0 f I 5 f C s 7 R 5 b 3 A M o a N U H y r L M + G 1 0 8 1 h j S s K x G p 9 5 R w v F k u E i c 2 v G U M R 1 Q q 0 T U h A 2 I R M V n t J 8 J T l h g T Q r M q q g 5 H m R y K L 6 V e O I W h A 8 E y a h a J n M y o 9 y V B K E c R s t F O / h O Q r a y J Z t q p H a J V Z J y 1 P A R K j y i 4 h c e l M I 5 T Z q v + q k k c 8 y Y f P v g 5 4 4 r d 5 3 2 Z I 0 B 6 4 w y A W l t Y u L 8 D j s C P R 1 Y n l m A X 1 7 q w 8 I J L z 9 t y K 5 + I H a L 0 9 P O R K q w T u h F I R D n m s r L a 3 D P F A L a c v 3 s 0 a w t V R f R 1 N g T w O 6 T x Q s J S w t k M k E 2 1 u 4 / I o S 6 J J g t w q T K C Q T q 8 x Z m 2 f C t B L l Z C K o o W l 5 e A + t 1 g f v v 4 f p q U l M T 0 9 j f m 4 W 8 d g S Z h c z W F h a Y 6 W 5 E k w r y 3 a j X N w Y t N p q 5 n A 1 w z M L d i w k b B j e H 0 J o V x C 2 Q B 6 + j o D k W X W i E B a L H f 7 + m 8 R d N N L C h n V N L 4 p 7 n V M 1 m q x 8 m J m Z F m U S U 5 2 G f V 3 b Y f H t V Z U e 4 b g N 8 x H g 3 L k L 0 C 0 d / z A s l N N u u W J B t m s G I v A O i 8 Q G 7 J + y T h h f W E R 4 Y V a 5 H 6 z U I C j 8 r W p 0 o t z i z M 7 M q D F L F H S S q d J K l Y M x F Q W O 1 7 K S g r 9 M V 3 d 3 H 0 4 f / x M M D Q 6 s 9 D S v B 9 O l 8 v b f j t T c q 8 q S l 6 8 3 t V 5 E J x O w O q x X t F d d A c 6 y 5 O i C z d 2 N z O J b q o a x Y / B W c Y V T y K S T c P m H M H 7 m l E q r k U a L i h f Z L s i + r e x J 8 Q / C Q l k K O b j s G 9 e S v 2 5 U E c b W Y R F r 4 U B C L A p 7 o D P W U W 6 H b K 3 C J A 9 J a Q 4 A N F 0 f H q 9 G J s L s t U G 3 j o 2 b v I 7 C l k l F E e p i h U t z 3 2 1 e z 1 i t l u v V C g L D X n H J 3 M h E a 0 / G S u i a K I j E R U U m 5 o V d 4 q L 4 7 G t Y n n 5 d X M I T K o / 5 r a F Q l 2 o j 5 M Y 8 c I k y c T r p C j q + / Q m l i o D / K 1 y r 3 a E k c a L k 2 2 E / T f G k 4 L E 9 h F q S 1 d v K w k h h k 1 y 6 a M q F h B X p J o e 0 m J b o 4 s W L K / u t g P f O T p 9 S L m G j b W V m S m 1 2 r 7 q f w T 1 R r 9 9 d M 1 D u q 1 3 c 5 K x 9 V Z t W N S j l V C I z F Q 3 7 W T I d c 0 s 5 H H / t J Z X n d H u 5 k V z m R n K p C g t 1 Z 4 N Y C o d L e w Z + 8 T / 8 O / z l X 3 w B f / L H f 4 R n v l m 9 I + 1 G g 9 m j F U Q 7 2 q 4 M q q 8 Z U G L W I a T l 4 K P U + k 9 0 8 6 T A W Y g X z p 9 X Q s A a p 2 J R R 6 + / o G a u P b d o Q z j Z G L F M 6 0 D B o N t G k K D N k I v C S C z O X V S / n N C F w 9 / X s j Z m B 1 w 1 7 s r u h 9 v X L W 4 X u / m o w 2 2 B K + i E X s w i M Z N F c j 6 5 k t Z y k C x G x c v l l W C Y z 7 S Y I 7 v u w O i 2 M X W + m u U 1 j g H / P y 5 P d y y a Y w S U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 N a m e = " K i h t   1 "   G u i d = " d 6 5 2 9 6 f 4 - b 8 8 0 - 4 b 5 5 - 8 7 3 1 - 2 9 6 9 4 0 d 3 9 b 2 5 "   R e v = " 2 5 "   R e v G u i d = " 9 1 1 0 7 7 d 8 - a 6 b c - 4 3 1 e - b 9 a 4 - 9 e 8 b 9 3 6 7 2 5 5 9 " 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 / & g t ; & l t ; / G e o C o l u m n & g t ; & l t ; / G e o C o l u m n s & g t ; & l t ; O F A   N a m e = " T a i s A a d r e s s "   V i s i b l e = " t r u e "   D a t a T y p e = " S t r i n g "   M o d e l Q u e r y N a m e = " ' T a b e l 1 ' [ T a i s A a d r e s s ] " & g t ; & l t ; T a b l e   M o d e l N a m e = " T a b e l 1 "   N a m e I n S o u r c e = " T a b e l 1 "   V i s i b l e = " t r u e "   L a s t R e f r e s h = " 0 0 0 1 - 0 1 - 0 1 T 0 0 : 0 0 : 0 0 "   / & g t ; & l t ; / O F A & g t ; & l t ; A d m i n D i s t r i c t 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 / & g t ; & l t ; / A d m i n D i s t r i c t & g t ; & l t ; / G e o E n t i t y & g t ; & l t ; M e a s u r e s & g t ; & l t ; M e a s u r e 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G e o M a p p i n g T y p e & g t ; A d d r e s s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I s & g t ; & l t ; I & g t ; t e l l i s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6 & l t ; / X & g t ; & l t ; Y & g t ; 4 2 7 . 6 6 6 6 6 6 6 6 6 6 6 6 6 3 & l t ; / Y & g t ; & l t ; D i s t a n c e T o N e a r e s t C o r n e r X & g t ; 1 6 & l t ; / D i s t a n c e T o N e a r e s t C o r n e r X & g t ; & l t ; D i s t a n c e T o N e a r e s t C o r n e r Y & g t ; 1 & l t ; / D i s t a n c e T o N e a r e s t C o r n e r Y & g t ; & l t ; Z O r d e r & g t ; 0 & l t ; / Z O r d e r & g t ; & l t ; W i d t h & g t ; 3 3 9 & l t ; / W i d t h & g t ; & l t ; H e i g h t & g t ; 1 1 1 & l t ; / H e i g h t & g t ; & l t ; A c t u a l W i d t h & g t ; 3 3 9 & l t ; / A c t u a l W i d t h & g t ; & l t ; A c t u a l H e i g h t & g t ; 1 1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d 6 5 2 9 6 f 4 - b 8 8 0 - 4 b 5 5 - 8 7 3 1 - 2 9 6 9 4 0 d 3 9 b 2 5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5 3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9 2 8 0 4 4 6 4 - c 1 b c - 4 c 0 4 - 9 e b 3 - 1 8 4 0 a e 4 c 5 2 2 a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 5 8 . 6 4 0 5 5 9 3 4 7 4 5 3 2 6 9 < / L a t i t u d e > < L o n g i t u d e > 2 4 . 8 8 3 0 0 6 3 6 6 8 2 8 1 6 6 < / L o n g i t u d e > < R o t a t i o n > 0 < / R o t a t i o n > < P i v o t A n g l e > - 0 . 2 4 7 1 6 4 7 9 3 3 1 0 6 9 0 2 7 < / P i v o t A n g l e > < D i s t a n c e > 0 . 1 0 7 4 6 3 8 6 8 8 1 0 7 3 4 9 6 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F B j S U R B V H h e 7 b 0 J d F z H e S b 6 9 X p 7 R T f Q 2 A m Q A M F d o q j V k i j J l r V Y t u Q 9 j u 1 M / L J M V i c n m U y S M y 9 5 m c R + y U v e S 2 Z O Z u b N y 3 5 m x p 7 J N v H 4 e D L x J t v a J W q j J M o U S X E B Q Y L Y 1 9 7 3 5 f 1 f 3 S 6 g 2 W w A 3 U A D p C x + 1 F U 3 b n f f W 7 f q / + p f 6 q 8 q y / 9 4 K V r C d b x j 4 H U W k S 9 a k M l b y m c a x 8 H u H I 5 P O c p / m b B a g Q d 2 p U F h e P G C g W T 2 y u s 7 b R b k i i W U V p E Y i / x s t c 8 r w T t c S 8 J n k z o o F M t / 1 I B V C r y n I 4 e u l g I c 8 l 2 W P Z u H 1 J V V 1 V / A V Y S 8 X M c 7 C Q l p v E 5 f A X 3 B Q v l M 4 3 D a r x T j Y l m Q K O Q + x / L n u 3 s c u K H P g M t h w b 5 t D n x o W w Q f D I 7 j 3 q 5 k + R u X o 1 4 y E f w q h f R a w W p k I q Q v w f C 8 X d U R 8 e K I A c M O t H q K i k z E d U K 9 A z E W t m M 8 Y i v / 1 T g o A H c N Z L C n M 1 c + Y 2 I m Z o p D S 1 k 4 i K B R w q 5 / 9 T 7 c v s O O U + M 5 2 H / z R 2 D 8 z u c Q + u 1 P Y m + P S N M G Q V L Z r z E p t F t X 7 h V y B Q t O T D r V + 8 O D G c w n r M j L O Y 3 r h L o K o F m 0 v + t y Y W 4 E b O 5 G N E E 1 X h k 1 4 H O W s F 2 0 X G U 5 v l 8 W l L 5 W U / u V i g V k S 0 L c f B 6 v j e b h s 2 S B T F p 9 h m w G + 3 7 3 w 7 i n P Y K 7 9 7 j V c U 9 X A v f 2 p O E x 6 h c r P k d + D c 2 w 1 a B J v R o i 6 e X P Q 9 4 i U h X m 9 3 U f 6 i r g 8 K A I n b g w T 5 5 1 K T N i J d A c W u 3 z j e D e n R m 4 x P T j 9 S 8 s 2 H F x 0 Y 5 b + 7 J L p s s L 5 6 3 w u h y 4 + 3 9 9 A d Z j z 4 m D I d q o Q K L V K B B 7 C E K z v C W I S 7 / / L b w + U i b f O x R O W w n Z C u 1 T i Y f 2 L D / b T N y K D i E W q + E 6 o a 4 S H p Q G m Y 7 Z 8 N a k G R x g s I H + U S U O i P Z I i Q K Z j N m R z t V u 2 P W C Z s 3 7 h j J L X K h E X j Q S 0 S p H 4 R c / U v M 7 d S H Q C v v / 8 z e Y t b X h u d O p y 7 R q y G f D / X s d m E 9 a 8 O K 5 N D K 5 d 5 Y Y P r g 7 f V m 9 z M R t y r e 9 b v J d J T x x x r V E J q K a T I T f K G K o v Y B 7 x V b 3 C e F W g 7 s i k F A P S u J a r / a L y Y k J F O O R 8 l / r R G Q R + c 8 / i t a f v Q s f + y + f x s e T z 6 j T F M R o q o j C V / 4 K g Z + 5 C x / 8 k 4 / i k 6 F R u I 3 m d h r N A j V V N a r N V J J p M W m 9 r q G u Z X i E R I c H x G 8 R L E p P / t q Y o d 7 X A m 1 5 Q x p + M m q D X 8 y 2 W N p a k z C 3 i V l H g f Y Y J T h X c L 6 p o Z y G C 8 5 f + h i s q e T 6 N V Q N 2 P / T k y g d f Q a l W B j F v / 4 P 5 b M m S q 3 t m P n i V / H S x W v M q a q B S p N P Y + E 6 o a 5 t G O L j 3 D O Q h r U c W 3 7 u v K F 8 n q C 7 i P 5 g H r N i Z t C M G o u Y 0 b b 7 R J M V h U Z u U X w 5 c X c u L t o w L p 9 p P n i F R C R U P S C p 2 u a m k P / C z z S V U G u h a L X h / B 8 + h R O T 6 x 8 W 2 E y U S k X x f 4 u 4 Z 6 d p F l f i U t h 2 n V D X G g J C l k h q 2 f y 7 o T u L n p b V e 2 z a 7 x c W b H j P 9 v r I U g 8 K B f E H R L i 9 v / C Y G q T a M l J Z r U j 8 + X f w x q h F / K v m e C Q s O 8 0 2 j 1 N E X f 5 b l P p 1 y N 8 M d z c i / C X p v e L R R e x o y 2 F X h w V + v 1 + u v V w x p 2 e k 8 7 p O q M 3 H o d 4 s O n z i M w g v G J J 9 X j S N r n S X + D 4 6 4 H C g O 6 e + c 3 r G 9 K 3 o F 3 G s o 1 q W s 8 k M k t E U v A E v H F R H d Y I C k Q w n k Z b f p 8 M F x B c S C L Q G 0 b a t T Q m a j h o U 5 b W Y y w u P i m j / i 1 8 G x k d g E d n m x y V x H j g I b L V Z Y D f W P x a 2 I k R A i 1 9 + F q l k H L G M B c f G n M g w 0 i Y 3 Z + k q B f h q I B a Z R + 7 S M 9 g 7 1 I f + / j 6 4 3 W 5 1 a F w n 1 B b g n o E M 3 O w d y 4 h n S u I n u F V Y / L B 8 N h m 1 Y n j e g X Z v A T d v y 2 H 2 7 U U U C 9 K L D r a i z V N E d D K G k W O T c F i 9 c P m 9 K F l T s I q V 1 9 X X B c P t w u h p c e h b x d w Q E 9 E m H 2 S S B S Q X M y i J 5 B c y V h i O F r l r S c g q v p G n h G w p g p C Q y O U 1 4 G q R c r A g V X J a F G Y X x b x p + c p f o f D d r 8 n f o r H s N t j k o E w X 8 3 K 9 H M l V l H P i O w j B + L o R k L B F u a b 9 F 3 4 b F / w H 5 X 5 C W o 9 V z F Y r p p M 2 Z N 1 e 9 T 0 r Q / i r g K F / l p H D A n w N i 0 Z K N S l K e m t v S n q 0 R a R S K T z 7 3 B E 8 + M D 7 Y B g G A o G A + v w 6 o T Y Z z A 9 7 / 6 6 1 x 2 M K o r k s l q K Q z I L I c B q e V g 9 i s 1 H 4 u w K i V e J w t l r g D r j K 3 7 4 c B X G Y w t M R p G M p M d W E B O 0 0 R e w w v A 4 4 R Y N Z W Y h 1 g H 6 U v y U I 2 9 F n U f w P v 6 X O 1 V I Q J X H s W I Z S 0 S o E K 4 g 2 s y i S W o V g t c h a C 4 W s k I A J c V I H t g 9 9 F n M f / B H k E w X k U w V k 0 z m 5 N g M z 8 w h 2 i 1 Z o 9 U o 5 z I v S n y n K 5 8 n F t N L A V r l G S e o g 0 C d 1 w H t X I C r E u h S x K R O Z l k A 1 1 L f l f y R 2 L R z s y a H L b / p 2 s V g M u V w O T z / 9 L G 6 5 5 W a 0 i q Y n q a 4 T q s m w W a k J p G e V 1 + 2 t B Q y K v d 2 I m Z L P F F C M O / H c v B 3 v H 8 o I G c o f X C W o 4 E R b J / I / c q f 6 u 9 5 H M Q n G w W k h l U N + t N L v R P o K o u 3 4 h g T M i z Q 7 P v Y T m H 3 / R 2 G z i U a U g 5 i e n E Z H R w f i U 2 n h n K k l Y S 2 K C W q D 1 S m X t 0 l n J L 8 v y n 2 z m Z y 8 W m E T b R z q 5 2 j a l S B p o q K 9 K + E W j T a b s O L U 9 L I Z z b 7 I a i l h Z y i P / m A B i f k k s h G x B K R v c 3 c Y Q q w o j r 1 5 H F 1 d H e j t 6 b l O q G a C j i 5 7 M a d Y J B y o r Z 9 G J o q F E h a H 4 4 h k x c T x t + H O 7 U K o R i / S Z N C k a / W 2 I P O 5 e 1 T v 3 0 D f o F B k W F I 6 d Y v w o l p j k E w 0 H V l R N O + U Z v j 9 L y M a E J 9 O z i U S C d i F U J F I F G 3 t I f X e b j f N v W w q h 0 w 4 A 1 / 3 s r a q B L X V u R f G E e h 1 o 3 N n q H z W B D V q c i G N f L x 8 o g y W h a Z r S Q h E v 8 3 d Y o H H Z 1 d E L Y h P G Z 9 I y 3 s 7 H G L d Z S N i A p c c 8 n x 5 z I X n c W r 0 L d z 2 n p u v E 2 o j u K 0 v I 7 a 5 F R c W 7 Z d N d 9 B B i H r B x o 9 N J W A t G K L d 0 g h s 9 6 t z V 9 s B 1 6 C W a v m 1 z w B p M 8 O 8 4 W J V E E c d Z I 6 S O j F z R Y B 1 w E O d e e g T m H / s x 2 B n r 8 S / 5 W a s C 4 K E 5 t E I z r 8 y I U R 0 w t v i g L f T h e R s V q 7 t R D 6 b g S v k E B / S U G X i f X R 9 U 7 t m 4 1 n k O P i c p h l J 3 9 G B k j M N f 6 d P f U d B i p V N 5 h C Z i S K e S m L 4 w r n r h G o U 2 1 o K G I + a Z s i N 3 T l 0 y 9 9 E X l 6 O X D B U 7 l e H r y C k q j / 5 d e 5 s G K U s 0 L 5 P b H A R s G s N D K E 7 H E 6 4 f v Y R J f n r 4 T l J U c z J b + k m U Y L 5 y g u V r 6 U 4 4 w 9 i 8 Q / + W k 6 J H 1 Y h 4 F o r r R d z Z y J i O j p F / n O w u 6 3 w 9 9 T W a u t F J B L B 2 M Q M o u G F 6 6 l H 9 Y D z h x 7 Y n V Z R u I A 7 j / f u T K n z J 8 X W X i h P C 7 I L x + 7 b m c E N Q j K O H d U L 9 n D + Q B B t u 8 W J v g b J R N C P y U q P X u j Z U T 7 T O C j A N q d o G D G f L G L e K f O v 4 n G V f M f C a P 0 X H 0 X w N z 4 H t 3 y Y S W f M D z c I q 6 M k W j a N t q E W t P T 6 m k o m B o G e P m v H t 5 9 + A z t 3 7 X 5 3 E s p t X 9 k c o + 9 T j W z e g m f P G y q k f X r G z F Y g + P r 6 m A u n Z 7 V 5 A v S I x r L X 6 / j I 7 3 M L F u R K C R G 2 q x x 9 q A C 1 i T 4 q 4 X z k h 8 v v N g e s P w s H u V I J x A t 5 G C 6 j Y R O v F k p 5 K 9 y t 5 t S U Z i O R i I s l H E N L R z 9 i G d u 7 k 1 A p q W A O q N Z C r S R V g q P q T 5 x 1 o S A / e 3 5 k e S C P m I u v j w x T b y 6 o A U x f l z m + c j X B 4 A N 9 J R 4 0 8 f R 7 f R C W G + 9 Q r 5 s J t o r 1 j v u X i N Q M Q j E g Y n f W P w C + G r L Z L M L h M O b n F z A 5 M 4 + R 2 S I m T r + C t v 4 D O L 3 g f / c Q i n 5 N p a Z n d s J a i o Q J p / y d R m W H z e z i H W 1 5 l c 2 w p + P K v K 6 1 E L 4 Q h a f V i 9 B u c 0 B w K 0 C N U 0 0 U f Z B Q H M y N R q O Y n Z k R M 8 + O e D y p f A + n 0 6 U + X 6 y 0 0 T Y R 4 Y / / c 0 U k H q p c 1 F o b g L Q 0 i n R y N w D W 0 e L i I s 6 O J / D k K 8 P 4 0 t 9 / C / / w z V f x 1 D N H 4 A l 2 S F n t M A w x V K 8 H J a 4 E f a a Q u 4 g b e s z A w m z c q o I N v Y G C y u L 2 G R y A V R / h z I w d e z o b I x Q F J D N r h d E h 1 2 l C D 1 w v q H n Y w / J w G o a i x 8 L C A t r b 2 z E 3 N 4 / O z g 5 4 s u Y g d G Z u S r 0 u w W 5 H c M d e 5 P 7 5 A 5 d 1 T M 1 G S d R J 9 D / + L 3 l 3 O Y k 2 E p h Y v B i D O + i A a 4 W B 8 X p A M p 0 + O 4 Z T w x d x 2 8 0 3 Y j j e U f 7 E N F W d h k d 1 P O 8 a D V U v i m K 7 W 0 t 5 7 O 9 a d o g Z A t 8 m Z K I c c b 2 F S s 3 W K J m I u V M R Z D L R u s h E r U I i 6 G O j c D g c C P k D 8 O X S c O V y 2 O H 3 I u D 2 i E O 9 F 7 a J C + L T z c o x I 0 J i U V q K B 8 P G c n O U T r 5 W v s o m o l i A L 8 P J i C V E w u K b B N v L H 6 w f l o I 8 h 2 v 9 h G Q U b y p c E E K d w U c f O Y y h 7 R 1 4 6 C Y f b t o Z w A d v 9 m F H d 1 C R i b i u o c r g 9 O + j o 1 L p p S I O t k 6 i o 7 1 1 w + H a l R A f z 8 O 3 b f n a J E p 1 A G A l a F N o v a D p w l v Z J y + o v 7 P Z H G x y P e b o 1 U R Z H d m E V L 7 e H S h 8 / l H 1 9 2 a i 5 G 2 B 9 W M / j u J X / l J 6 A C e i f / S 3 6 v x 6 2 o N 5 k f S h 2 n f X z p i o B 9 T i X / v G s 3 j 0 4 b v h 9 3 n h 8 y 2 P R e W k j 2 M H y 0 O 9 L 5 9 / V 4 E y w s V J W A n b g 3 m 8 f 3 d a J a E + u D u l w u P B g F l h F L 7 N B u + h T b G M H M w K Y O I l w d d 8 v o h g W w d 8 / v U L R C U Y A u f z u w Y P q L + d 4 q w z u z x f 9 j F G L 4 6 K S V o S D W p q a C b Y k o E F 0 R y J x V l Y H v 6 U O r + p i E d R / J v / K G y X M q R T i M e i c n 8 z a N K o l r b Z D L Q O b N x P T S U j M K S u v N 7 L A 0 g O I S v T k 5 T Z J 3 z / g S d U r W j e j t a C M u F I H p p s 1 c M / 7 J H S Z a H e q E N c C 6 z 8 b D K 7 R F i + d r a G 0 C V H W 2 I B P Z 3 d i k j e x W k Y M 6 O I v f U q D N f 6 7 f 9 K 6 O c x / M x A N 8 G e f 3 J i H P P z 8 0 J c v 2 h A i y g G J + L x O M L h C G a m Z 5 D P 5 R G b m Y b 1 o U 8 q D V e n Q l 0 X W D 9 L R z G P 3 t / 4 U b T 9 6 R f R J p q U 5 W + E V M z z S 0 X W v 1 i M v l d e 5 R u u j R 9 4 Q t V a 3 I Q 5 d 7 V A U 4 q + Q 1 d X F 3 I i Q K x M N m C z N V U m l k Y + K z 1 + g t P L b Q i 1 B B E / 9 x Y S w y f l U w t i p 9 9 U R G J G g f J f B P F Y T J V j o w S n a Z l O p 5 G Z H l N / 0 0 f i M / d v 3 4 5 Q S A j d Z m p C Z r 3 T t G E W d W d X p 5 B O N B s F + p W n U N p z E 0 r y + W a S q h I k V u n U G y j + 7 f + n 6 q B e 8 5 h w B W 3 I J 9 d f 0 L n F u H S w Y b R t 2 6 v q a a 1 B 4 X e F y V d d B e f n a 9 v i p i N u C r D P 7 x M t l c b M z I w i l m 5 I v u d r I 4 1 a j Y K Y V 8 w X o 7 n l j M 4 j N X J K E U f f X w c C T P P M b E R b f A F W m z m W w r I 0 0 k t r 6 I 6 B J E 4 L o T R Z 9 T 2 r D 7 M M 5 i v L 4 H a 7 E N t 7 E 5 I / / D P A F 8 S / 2 W I U X / g O D P G p G o H h c 8 J a s K u E 2 E b B + n J Y C / j W d 5 / H 7 T f v v 2 w i 4 U p 4 V x C K U y o q w b k w q 6 0 N T g G j t i K p O j s 7 l X b Q Z N I m h y a Z J l g j Y O M y z S g v p M r H w u W z l 4 M C r E G B z s x M o L 2 j U w 0 o 0 v z S 9 6 8 X u o y X L l 2 C Z 3 5 c d f u V 9 6 g F / T l f W Q Z F Q H n P S 2 2 k Q 2 k E 5 r 3 K 9 x M / z t n g 3 C 7 W c 7 E k 7 b a O 1 T T D 4 T j G J 6 a x b e g m 9 A R K a i L h W n h X E E p N 3 i u / 1 4 j X W A x f g w J k 9 t p m D x 4 I B p W Z N D E + p o S Y E 8 s u j Y 6 K Y O f U + 0 a E O 5 / O q w F d w y 8 9 p w i H q 7 v f T L x e A x a L F Z H v v 4 y u X A I d 3 d v U P Y m 1 T E A u H U z o 7 w 0 F T d + J U b t G U S j I M 4 p g W w N t s P 7 + L 1 x R p 8 2 G y d k S b L / 0 e 3 D 8 2 d f h + N I z s H D w d I 2 O o B K 5 V N 5 s z w Z T u 9 i e V m s R R 1 5 + E / f f v l 0 F I + q 5 7 7 u C U K p d q u q C s z f r g Q 7 V U t 3 3 b u t T 4 z g 8 6 H P Y 5 Z W f j 4 1 d U t + p 1 W t r s u l j 4 X w U y W R c N Y 6 v k E N 6 6 p I U r Y 6 G Y m i b 5 p f 8 L v r W K 2 h z u R G L x 5 d 8 P B 6 1 7 p 8 R D n z v j A v J s i 8 Z n Z 1 U r 5 q Q 9 U K R S X B u + D y M 8 B w l 7 o o 6 3 Q x Y f + Q X s b j v Z i z I o 8 0 n o i p V q 5 F h g / h 0 E g V L 4 8 t e s 6 N k n b Z 3 d a u 2 c j r r M z X f F Y R S q J K 1 Z A P b w Z A 0 t Q 7 d Y 3 V L p R P V P Z g W c g o 9 G 4 i w S k / Z v i s I m / w + a V 9 f w i a 1 S / L S O f T 3 D 2 B 2 Z l Z p T 9 6 r k r w a P q O E + 4 c S S w n B X T c f x u y s E E I q p F G z j a H 1 W 4 N e 2 P 7 v f y H P W j 6 5 y b C 0 9 6 h X 1 r e 2 G u r R F B q c 0 e v v X t v 3 q Q b r k G 3 W 1 S H a u A E C X 1 V C d f k K a t 0 5 r j O 3 2 e 1 T K T r 7 O n P Y 0 7 4 s d O s F B Z J C z P U F i F q 9 P h v G E G 0 S C r b B I 8 6 b v y j a a W w Y p Y t n 4 Y 0 v q O + s R z j p z 8 R O H M V Q b w + 2 9 Q 8 i 1 N E t x M o s E V d D k U a O q c k p Z L J 5 T E 2 P o 2 f X H v V Z I 4 J J c K p C a e S 0 2 V a N c X H 9 6 D Q J x b r V x 1 p m r g a f 3 e G y C 6 n K J x o A 7 z M 8 M o 7 u 3 r 4 l 0 7 8 e X F V C M a X H L Z 3 0 7 f 1 Z 3 L 8 r v e n b m j y w K 6 X W 8 + b e S i u F z h u B 7 j G D r a 3 i X 4 2 r B t S 9 v m 5 0 m n O p 0 8 e R O H s c 4 V N n k V m Y N 8 + K T 1 Q Q z W J G 0 B p / c J K B J m B q b A T R 4 6 8 g L u T y Z R K q J 6 + F G 2 6 6 B Z 6 5 M f T 2 b k c + Q i I 3 z u K E l L f 4 8 p N q N S Q + p X r U T S a W p a z F W Z 8 z 0 9 O q g 9 J 1 v B Y W R 6 L I F 7 J w + h r P N O c 9 a M o H P R z 8 r t + S u L q E 8 i 7 3 p s x a q L O e a i L o L l y 2 r 1 E t 5 E v m A o f N Q m U P r 8 2 C y l 6 U r 9 6 W I A z D b J B S W u 7 v W T Z d e D S q J a r B 3 + t r O N 1 e Z f 4 R v D e F Q n + W i J t a N H r i V f X K e z c E u U 5 7 q A 3 Z f / k H s P 7 F 4 7 D + 1 P + u p q s r T m 0 m q d J J V Z f T U 1 P o 7 O p C J B x e q t v V E F 9 I i l l t I N h f M W W 9 T r D e u D P h 6 E x K y W U j d b X l h L K X B Z o Z D L a K E C j b n X O N G g V / d 8 9 A U r R c T q 2 c O h A y 9 T s z w i u X H X Z Y z a 1 b N g v + l h Y l z M w u Y I P z 8 D s c y J 0 7 r g p p l U Y p q V V 6 N q c Q K q S t X q 0 q 6 0 E L n e 7 N 8 / m c q U y k L N R s j Y J + m 0 W u x W s m x s 4 j 1 t 2 H + J 0 P q E g n s V m k s r R 1 q n G 7 b q 4 o J G U P t b e r O u Z z a X + R B 5 + 3 E p a U A U + n l F k Y w e 8 2 c p y f s + L M t B 0 G 8 4 p 4 L b l v S t o 2 m U y q I 1 E + + F 7 f l 7 8 j t p R Q 7 C u 5 s C O 3 c u G O E t V Y a d L f a u B z O L n h a R m 7 h F C 8 / l 0 7 s m q n v n a v S b D b x K z k w o f N h K 5 E o j P U g c 6 W A H Y M 7 h Y B o N / k R e L C O f W Z E k b 5 5 / D Z U G z e a s m X g Y 2 e n Z 9 C u 8 u F / h 2 D q i c n S I A l b a X O b A x 8 D h 1 x J F x / / N / l + h v 3 R 1 d C X O r R 4 X S o 5 9 O a g i Y Y V 0 S i X 5 g Q c t F 3 1 B 2 I B j s Q T r U n 2 X Q d 1 D p y Q l Y e D L j o c 1 2 e u H T I G f R 3 u N T g P s n E s T 9 m t p w 7 N 4 w L I y N 4 + 9 Q p l Z 7 G z x S 5 + F 6 O L c s 2 p + r k M R j K q V y 6 l U A Z 5 a z Z q R h X D L X V t f 7 0 k F x z M F T 7 m u w / n j z j U l v D 3 C Z a r H K 7 x 6 e H D X S J H 8 c 1 1 7 g w f 6 N g Y z E g 4 f P 5 l 7 K 3 r w A F o a w 9 O L g Y H k m o 9 S M 2 E x Q u L m p f 6 B n A h G i r v X v 2 I T 8 / j e y C O X G w m S C Z W u T 5 8 r / 7 e S X 0 8 l 9 z I M 3 B F r F + + R m E 4 + Z U F 2 1 W s 9 6 r c e H C B Q w M D C A 6 L R Z C V M o h w u Y d c G N 6 Z h Z T 2 W 6 k F q R 9 v N t Q T E z C Y r Q g U 7 D D D t F s R g i W X B Q l Z y u s 2 U V Y H G 6 0 5 C 6 q a e 1 c R J N p V 3 k h W T A Y u M K X I v k I k m 1 s b A x D Q z u 3 j l A t L i 7 W X k R A B L t / F U J V g x u O H R v n a k L L g 5 T V Y J S Q g Q 2 C e 5 5 y p i 3 x 8 k U D 2 1 t z O D G 1 X B H t 8 h k X U a E 2 5 / g M S R 7 y N r Z K E c F G Z U S N c 4 s S 5 0 8 q k 4 s C p a G 1 V + U 5 L j O 8 K I Q K 7 d k a Q q U N P 7 p 2 7 0 P k r V e l H B u b 9 r E a S C r v w F 7 g 5 z 4 E S 1 E a a i O k K h N J v Z W 6 c / 7 t S 5 i X j q A 6 2 F J p H V C w m R s 5 e X Y S r a 0 9 O D 4 + i r R / Q M p h F T N 7 7 e y G S v C y X L 9 8 Y e Q V 9 A T y u P 2 W m 9 E i Z G I 7 G k I o X Y f 8 W 2 k u k Q P d x q N C 6 i 0 h F J e v p d b h l v S c J r E e j C z Y M D y 3 c r S G A Q k + F 3 e u C L g L 8 m p q h Z X Q J t / h y q F 3 i m n I z Z q 3 B b m 4 S v n D O s C K d L k 8 y A 6 f U B V a T 8 + f z + Q R n 8 w i O O A p n 2 k O K F w k E C u A K 7 V q Q s H X K r 3 1 v B K C Z m u m S v B e v K f 3 5 S e l l / q a a o e 1 U M E H 9 f 2 l v 6 W s X E f d 8 R v / H t H B f Y q s l d q p E n x u t k P k o v h U s O H t + S h S / h 3 m B R W o q c y E 5 7 o g 1 4 v H w s h m k h h 5 / V v 4 9 E f u Q 6 u Q i b t s r B S Y U M M U c n 2 a + Z x i s i 5 C U f D o n 3 A T s O o N f r l O H V N 9 O N m K i 7 Q T H P f h a k C M Q T C P r s F 0 L A W a f 5 V L 5 D Y K 5 v P p k p J 8 P l F a r e 4 8 O v z r 6 0 / Y K / r 8 Q Y y 9 8 A T a Q m 1 S p 2 t r g F w y h + R M F o G B 5 i z K Q o H i W u I E B U s P N l N b K r 9 G 3 n N u E 7 X w Z h K K 4 P 2 c o R 4 4 f u 2 H p Z 4 v r 1 O S p V K m + T f L z f r i M y i B p + B / / o t C i C B c f W K 6 S X 2 a z 1 K b E P w d 2 2 B u O I x I I o 1 R R z d K d p f 6 r h q G q P G b 1 c D r J e J h t Q D m 6 Z f / E b f c 9 z E c H h L r J x g s f 2 N t c D 7 b u g h 1 5 / a s 2 i W P 4 B J b l R e o 9 E X S 8 p m Q 1 t y X Z 4 P g A 3 M H v 7 h o l X X k O e K G L i F 1 o H 5 T s x 4 o I Y 4 u i G 8 y r x z n t Y Q 2 E 8 u q t b l D u 5 f n I q 0 X l W R a m F 9 Q i b x M t v V 4 l 7 M C 8 l L 5 d i W Q m 2 f u a X A C Y i q d R f u f / g 4 s K U b h y h 9 U Q M m 4 n O d H 1 n / 9 J 2 B Y i t n j x T P H k d 2 x G / k w x + j I L Q s 8 d z 6 A e L J q r e Q K s O 7 T k S w u n B v F R M u N 6 h w j q X I X 9 b 5 R x K U d 2 S k M v / Z t 7 L r 9 Q w j 5 L H j f g c Z D 7 u u q 5 a N j T r w k / k k 0 b V U L m p B E + q g E o 2 r N I B P B n o d + U p e f N m v 5 Z A P o K q / w 2 k z Q D C g E 2 m E z z M l / F P L V k E v m x S 9 Y R 2 + w C p i 9 Q A 1 J h 5 l k 4 j w u T m u P R K P r G o Z Y N + T Z S y K Q F s 6 V W r q v k H 7 X D b D 9 J r f + p F l q k g k d 3 Y g t c u 2 K W c S n x 5 E M h h S Z m C z M O m U H k D 3 9 f X 6 z J m h e 8 r g w P I J p j / h u Q i J z i 5 v 1 k o n b B + W E T N / B 0 K 0 f F E 3 v R M 7 e j q n Y 6 m 5 D L a y L U D T b 4 h k L X h l 1 K l O s E v y M 4 z 0 0 z 0 Y W 7 D V 7 q o 2 A f t h 6 r v n U O Z c y R Z s J k p z + g x 4 0 X Q v 5 d B G B 3 u a u w c d c P k I H R R w O 1 n k J w b Y Q D N r W c m 6 z t Z M G k 4 Y h R F E d i 1 S 1 4 7 8 + j / Q j n 0 b K L u c r t L d l 6 E Z Y + B X R R C S Q W t O C R K o g R H G F a S 2 m Z i 7 i / B s j S O R 7 U Z B r m 5 p p f U j E F s X / y W L 4 9 S c w d N v D s I v G 9 P j M K f P c V H y 1 a T 6 1 0 J S g B C N m H d 6 C 2 s K x u g C G o 6 T G n J o p y k d G j K X s 6 X p B r c Z y r C c 8 v h p o e n j F 7 k + f P i Z / L Y + V 1 E J i M g d P l / g 5 d G q a A J o o H I / h 1 A J N K A q c R 5 z 5 x I X T a i C W 5 z Y b N P f k x i i 4 W 9 D W P 4 j i 7 A T y Q p L 0 8 C n l v 9 G P a z l 4 B 3 I / / y h K r S H Y P v V z S D j N V W F X K 5 / t l s N q v Q t + x S V a q y Q + i t X X g u F j I 5 i a j W E y O K S e W 3 2 h Q b C e k v E I c p m E k P O 7 Y u Y 9 p m Y P e H y X + 0 z c S v S 9 Q 1 e O m a 6 E L Y n y c d 0 G L o b S L F A V s / d o F D Q / 7 x 5 o L r n p G P N o C 7 S q q e s r + S u 5 V A 7 p + Q L 8 f c 1 Z G 8 L s q Q t q t N 7 j 8 V x 2 X 2 d 7 l 5 r E y O X A t g I k d k z 8 p 1 B L C 1 K T E 2 q 3 Q A 6 T 6 P J Q o 8 g f c H X 0 I i M a r J h J K y L V o z k Z p V M L x Z S R y x Z R 2 n M 3 n n 7 t F R Q 6 7 y y b e o 2 C e + W G x e d M 4 / x r j 2 P o j s e k I 7 T D 1 1 J 7 I R x u E L 6 3 z u X i t s Q W m C r v V r F e 6 O 0 c p 2 N W p Z k 4 l r Q e c M s Z 7 t T d T F C w l W B I g + S E W C p c X Q M p c a B L 6 5 i X s x J I J t 4 7 E U + U z y w j O z e 9 6 W Q i i f R B t H X 1 I D 1 5 S Q 2 c J 7 k J W g V Z + J 5 / Z W f H U c p l l B a v h 0 x E J Z m I x F Q K i W e / A 6 P n l v K Z x s A 6 M 8 m U w b m j 3 8 T Q 7 Y + K z + R Y k U w E Y w X 1 o v 5 v b g D R t E V F 5 + p F g b 2 r e N R c h D 8 m v 3 v t k h P H J h w 4 P u n E y S m H W q 1 1 v T g z 0 7 h d v B L Y O A T X e m D 6 S m D n f v V 3 L X B d A y N Y f 9 b y W q B A s p f P l p f 7 q j a d / D f c X n 7 X f G g S T U 1 N I 5 P J Y n 4 + j G w s A q P D n B f W u + K u 9 a K V R J N u B P 4 e F 5 w e F z o d k f K Z + q E 6 I P G Z 8 t k 0 z r z 8 j 9 h 9 x 4 e l H 3 T A W / a Z V k I j + / N u C a E Y C Z x L r H 0 r P v A z 5 w 0 8 d Y 4 b O l s w 2 F r A y x e d K v y u F + T n 2 N b E O j U e 7 W H i h J C y m W g V v y B 9 5 h i S F 8 / I X 1 d W P s 0 v 9 s o O o 3 n 3 V W a U o L d v m 3 q t R l z M z 8 2 A J t P I + R H s u v t + u M W h b 5 f 2 t Y X n k Z + f a Z p / u B K s D i v y Q m L D a 2 o U 3 a n V A w 7 a s t 7 O v v I N 7 D v 8 S U U m j i V K b 1 T + R m 0 0 4 h N t C a G Y j z f Q t r Y N + s K I A Q 4 8 M 8 D B A N X r Y y K A r L A m H T 3 S c 9 4 7 m M Y t F V n o z U A h p 6 + 3 Q l B C 2 o v h 7 W Y L 2 9 z s 3 J J m q n z 1 3 3 g H S v n m m Z c a m s T 2 9 h 7 s G R x E 4 v X n R f N y X U P R P C J 2 y p T b o A Z a C 4 w E l s R 6 G X I l l a D T 9 N X j c a u B S 2 x L z 4 b T L / 0 j 9 t 3 z i b L P x K 1 H 1 2 6 T R q L D W 0 I o b v r L l K D V M D x n V 2 v o 7 W g r 4 E B 3 D s f F x M u t z c G 6 w c m M J L V L O E q 5 m I l b 8 d I F B 4 6 M O H F O 7 k 2 1 / v a 0 Q 8 z L + r W I F r C J i T E x U f m e T X w l K O R M p y k 1 1 N e Z Y A / M S F c t t H e 0 Y 3 7 O H A z V M H q 2 q 4 U x m w l G 8 a i Z t H + Y n B x D M Z 0 U s 7 O 5 H U Q 9 S C 6 k 5 L 5 2 5 M 8 f x 4 c P O W G o v X m Z N b G 6 s O S 4 Y Z x 8 x 9 3 S r t q j O p q 3 G q p X z V o N W 6 O h h O E M q a + G S 4 t m z 3 5 x w Y a X L z h V A I I b B z c L 9 I E v L V p F C z r x 1 F k D 3 x 9 3 K L + O g Y o L 8 z a 8 c N 6 J s b C Y E 3 X e k + F y N q T H 7 o Q / M g O H q F Q L Q 7 g r g G u H F z K m Q B K c 9 V o J L b R 8 V T N i K S T l 3 n f 5 / O U N y w y J U H t I G L t c t + m J i 7 B w 3 K d J U C a V H K m U n u t V A n c z t B j c 4 q b x D m I j 4 A 7 5 J W k z o 9 W G 6 Z k p T D / + P 3 B f / F m 8 t 2 N O O m 1 O 3 1 i Z V C o K K t q t m D M n Y G q N X g + K p W t M Q x E M o 3 J L m F p Y E P + q M p 2 I P l O z M R 2 1 q g U u U z W W D 2 v z l J Q G 4 9 F X R y a 8 E j K B U 6 o v P n w S K Y e H M i c W x c q / N c l R J o o 0 P K N X f C V J l K a T V 6 5 r n k h l R J s x E 8 A c 2 8 m k s 5 i d m V N + G K 9 f S S q 3 p 5 x m J A R k 6 F 6 Z P / L e 2 d m 7 V M a N Q p t T J Y e B z h 2 7 k R b t 0 D G 0 D 4 X I Y j 3 W U l O R m s u i a M 8 h n o q h q 6 t b f N c 2 N S j s H j + N h 4 N j a P W W c x h r w M H t e 8 Q k z S S j S 2 1 Q L 1 i V 9 V b n l o x D E b Q O O L D K A E U 1 a H Z V 7 q K + 2 e j 0 m 1 v T U C L y I i / b A k V 1 r h F Q g O n U M t q W S a e Q P n N C 5 d O t l M 8 X u Z i A I y i 9 q 0 9 M W b F l / b t u A D L y u 6 n R 8 j d E i w 3 s k z I B H s O N q R N v w C n v A 3 s O w i p C P X v i d a U V m f l M X 4 y E Z I S N s 5 6 5 0 Y D b z b E o M f l C X c j M T 5 e v K J e T 8 q 3 X r z E 7 g C I c r Z 0 o T Y + h k F j O C N F R x q 1 C I V t A a j 4 H d 6 c D G d G Q h t O c l m E W w T T 7 r P 2 7 8 f h M p 9 I o t X x Z J r 8 u T A z D I 2 a f 2 9 8 K j 7 f + n M q H 9 t S 3 P v q W a a j b + 7 I 1 y c T k 2 q 0 k E z E b t 6 m p 8 g d 7 c r i l L 9 c w m Q g 2 G D V G N p M u 7 4 7 B z Z B X q U 4 h A d N t i L Z D d y K R y 2 C e I / 9 t 3 d L r G m i 5 8 Q 4 h B u f X 5 B C O h e H q H 4 B j x y 7 p j e O I y n m n a A W X h 9 M + p H c V Y q n d K O R 3 b Y f u g s v F L G v T D D W 6 + 5 C 1 O r F I b Z c Q x 7 2 s C d c D 7 T O l z 5 9 S Z O I z 6 2 M r y U T E J h M o W c 1 d K E m m x Q V z x S h m S p j k l g 7 g 0 l l 8 Y B / b w B z 0 r o b T 6 U a g c z t G T 7 0 g d V h / 0 I Y B s n q x Z Y S a E J + o e q o H T f D T G x h T W g 9 u 2 p b D g 3 s y 8 D c 2 7 6 w m t F k V O c N F / t m M p i l B 8 6 4 a h a y c F 7 v W N b g f 4 X J W N Z f / c n Z 0 o d T Z I w I y q w S V w w V 2 e T W n Y m j i m o I d u u F W Z X o 4 / A G E b r k H 2 2 6 9 C 4 u L c 8 D 2 X S j 2 7 Y R V T L L F x X n Y u n v R s v 8 m b D v 8 o P p d v V C m k J R d P Y M c v J e 9 e w B s o S 3 m z x V w u t 3 w d r g V g Y h g e V M D X d f 6 f P H Y M / j g z X 7 1 L N W k Y p 4 e O z 3 9 K H o 9 j L V A O S 0 3 9 Z r Y M p O P Y G 4 Z 1 4 1 g A Z s 1 u E p w f I m z e d d 6 E A o F y d Q s m L Z 4 A Y H W d s R P H V M D h l z f w C O + j c 4 E Y A O y X N l Y F o n 5 N F o P 3 w T G + 9 j D K 6 L I q + r x 1 b d r g 5 q H a x 5 4 M 6 J x X B 5 k a M b x + v x t + T 7 V 4 G 8 4 4 9 U + P l K X 2 V c p g D T 1 Y r E 4 H L 4 W + N J x l M T E Y h m v F n L Z H H J h M Y X F 3 G M Z K d z M Y c z l s g g G W y 8 r m x q e a A n i O 5 l 9 I m d X T q x M J a K I z I 4 p i 8 H f 2 q P y M O s B 9 x C r 3 v a o F r Z M Q x E U L I a n m 0 U m + m W 3 i s n 2 3 l 1 Z 3 L 8 7 o 0 L u q 6 l n N o S K b j c J J A W F N S J a o t i 7 H f 4 D t y F w 8 D a 4 d x 0 U d d I L m 9 j o S r D F d P L v 2 o m W 2 2 5 B Z N J c S p h E o B a i N l q r N n g P b i e T S a f B X a t 4 X w r R S m T S 4 X y b k J u o z O K u h i a S J t P c w i L 8 7 T 3 o u + V O e I + / B K v q 1 d V H W w o + g x l o K a p 0 o 0 y a K V b l K S D y P + 4 E Q j J V w u g f g r u Y h e P Z r 2 N n p y Y Z p W 4 Z 3 A v X G + z E 5 N n X 1 T P z W v W g H j I R W 0 q o Z o N 5 Y 2 3 l v D 4 S a X d H X h F r V / v K c 6 a a H e n V U w / Y M H H p / e h T x e R 1 J h 5 D N t A G z 7 5 D M I Z u Q E I K l E c a 1 o K x 5 E v V C 0 0 c t 5 i I v J f W f i u B Q s i k W c v 8 h P q 7 l r + j z T o K l S m 4 J U z P L 2 L b y Z e Q + / s / Q e b P f w / F 0 X P I O x x K i L c K p t l s C n o q J R p Z X g u 5 E m w u R v D M t u a G e C q 7 X n p U r Z 3 s X f 2 w j I 2 g + M Y R l E R z 7 W k z C 6 0 7 F w 0 u g S 0 / h M v f p q Z t F A p r m 3 2 s v X r T j 7 a O U F I x z Z p s q F F r W 1 g + 9 k C o g D s H a m d D p H L N f 2 Q K r N I 0 Z c F l 1 C 0 Q M P P D u D F A K p V Q J H B 5 D G T T K c y d j a r P G g G 1 W V q u s x a h q B E J L W g E Q + m V h + k f l Y T 8 W T W W V X T 5 4 M u m s G N h H K W k W V a C u y b 6 y p t G r 2 d Q e i W s l E D M M n H I g K + R a G R p l a F Y P I y i t Y j Z u V l k h S x 6 j 1 t t x r p 6 d 8 D y 7 D 8 h / / L 3 1 N / U y P a v / g X s m f L c r C p w d 8 b Q t j 0 I z 4 w i n V h 5 V r A G r / D a W H 1 5 m F t H K A G X 8 e K S X a v h 5 r 6 8 W v N h T 2 c B Q + 1 m V K c a B 7 r z u G N 7 T o 6 V U 4 h 0 3 l 4 1 Y p n m k r o S D C g Q X P B S r + + g A w x a w E O 7 A 2 K 3 N z 6 1 m u A 1 a m k b D U b + C A 4 F 9 G 7 b I c J k l o W + W u W h e n q 7 E 4 G e f v T 5 P P B 8 / b + h 8 N y 3 g A u n F Z n 0 5 m T U F I X y N H Q K u v p b a Q / e Z 3 3 1 q L W h v t b y 9 Z a J R v 8 o 0 B K Q 5 + V m b 1 z c s l N M P A M d 7 R 1 o 3 X U A Q b F M X D v 3 q e 8 S e S F F S S 0 v b Y K a q 7 g 4 i 3 v 2 m Z 1 B t Z Y y x O x z + 4 K Y O v e a 6 i h q k a 4 a z O K 5 W E 4 + W A 1 b R i i u K s T J f T u F J F w F q R b 4 W b u 3 g P f s y G F 7 a x 6 D a t H K D A b l v A b F q d N f R M B d V B M b V 8 J K 2 w F F 0 p s X V a S w 8 2 h t b c X i 4 k L N h m J j Z 1 P N z S X U 0 J r F 8 + q T S P 7 b X 4 f x v a 8 i 5 P a q k P z k 5 B T 8 e 2 + B v W c H I p E I X E K g g p h 2 + W e + r o R W E b W K r L b P f B 5 z 5 0 + r 9 1 r z m f 4 W C V E e f F 4 H u K w y N 8 X W m 3 N r g r G 6 e L 5 y / T s G d Q y v S x 3 s U E o z 4 8 g f e x G l r / w F 3 P 6 A m k x p k V f b o b v K v 1 i G 7 x / + G L Y S Z 3 h f T i j 6 p N R i w a 5 B F U j i U E U 9 O D v r U I s P r Q b b p 3 / 6 N 7 9 Y f r 9 p M E S G O U F L j 0 M x I + E i p 8 f L + 7 s H s 2 o a v b S p G h O q 1 Q F z 6 T E G H C a i d h V U Y J o S z T 1 m X 9 T 4 + h I u h e 1 X + E x s N G 4 W w N d a 9 9 o o 2 F j U A g 4 O + p Y j J N V a J R 0 u w O 7 j O g j N 7 c 9 I Y B 4 e 8 Q u K o m 3 U u e G T y L / 0 P Q T n J l C Q V 8 u b L 8 I 3 M S J 2 K T c q q D 0 4 y 3 O 8 j q O t E 7 7 u b T B a Q 3 C 1 d 8 H o G 4 B D T M B s d B E 5 M V 1 N D V L / M y i N J C Q k O T k Q z c b j 7 Z n k y 9 Q s C j 5 J w / U w u B 8 X y 8 H r p 8 M 5 O H 1 m D 2 m P z M s P p t T 7 4 s j b K J x 4 F Y 6 B P S h N i 7 l a O Q e M 7 U 7 T 9 j 0 P Y z 5 e v K K c o q v h E F N 3 Y e o 8 X N 6 g m L f 1 L e 3 G M d P u F a e n y P M 0 K 2 z O c D j H m S j 8 n J 3 L H Q J 9 4 j O x w g I 1 F v G P p K 1 K 2 F t F 0 3 B T M E 7 i I t F W A 0 n w 4 g W H P J R Z O U x a v F 1 M P 7 9 R + x G m o z Y c n 7 x c I 9 0 l B D 4 3 Y 8 d g R 0 E t u r k Z o M C Y K 8 p y s F f M P j r C F Z g f D i t h C u 2 s P 0 F z L Z A A F F j m 3 H V 1 9 y L x R 7 8 O p 7 G 8 M O O 6 Q I I u v a 2 o Y 3 k m x 2 d / E c l z J 8 o n L v f Z V o I 2 7 6 i R a n 2 f t 6 C 8 a P A 7 u X Q O O R F R T 6 c 8 i 9 c P + 8 U z K J 4 / V f 7 G K p C L M U 0 r + e l f w Z P j V 2 a w s N O L x x Z x 7 u i 3 1 C p H z D y v 1 b n U w v t 3 p V U Q r B Y 2 U N u X g 6 S 5 f y i N m 3 q y a i X X v k B B v d Y i E 8 H z J B N B D b Y W m Q g + 7 + F B M 7 u B 5 i P T 6 l + 5 6 F x q d I I r / a T L b l q t l Y 7 e u O R Q c 7 O 8 j s 0 h E 0 E h Z o r Q 1 K S 5 W 2 A 1 W r b 5 Y D i b u 1 g L / Q S m Q n V N n E f u T 7 6 g y L R h S I V T y L S m 0 A e F 1 S J m G U 2 + a H l v L D l Z f q 0 N k o m g C Z c o B w L Y n i Q N D 9 6 j K L 2 M r W M b n K F O e H b f o L 7 A p d e K c k u L m K 6 u j p 7 6 y E T w 4 g L P q Z f V a 7 V 5 q s w + K U t L e x 8 y q Z g o 7 G T 5 k 7 U x v c p q S B s i F N e 5 0 w v 8 0 + + r z o T Y L H C p 5 X t 2 Z l U v w V 5 t I m J q u 5 c u O P H W u A N H z n P 9 P g t G a u z 2 r s f A m D 8 4 0 + A y U e y l q X 1 4 U E D Y A 9 Y S I 9 3 T e c v R K B 0 s 0 O A m Y K l w A t n E x n w p 3 l u l I E l 5 W D Z v N I y M + E Q W + X t J + D c J 2 f / 6 7 + A R 0 6 v / 0 R 9 W f 7 M d a o E 1 Z G o m v p o 9 n d / f g n A 4 r H 6 j B L t c V q d d / K V A E L a 2 H i T + 2 5 / C v W 0 A b e 0 + e G P T s D 3 3 T W T / 4 c / V 7 x t B 9 o 0 j C H h M E 7 Y a T s O l o n 0 z F 0 + o t K 9 6 w e k + K 2 F D N c 5 o 3 I E u 0 6 G b T d i U f 7 N S x T Y b l F l 9 r 1 N T D j x 7 z i T R r G g f k u v o q B P D c y s T h j m E b 4 k 5 y G s c G 3 O o 3 6 w G C q 7 u Z V W o W f 7 m H C f m 1 W m C V T c a 1 y p Q 5 2 p U i s 1 t Q 2 p h / V k b v B / v T d O F Z f F K 7 5 7 9 y p 8 r w S z z e d O g y C o 3 K Y j 5 t f i 1 L 6 t z O p K m C L S k D c w w O E P 1 m V w W g d v u g 7 N / J w w 5 e j s 6 4 B v a D 1 d r B z y 3 3 A N L 2 S T L i F 9 k m x l V 1 8 9 + 9 T + h + M o T 4 g e + L T e 4 0 t p Y C + z Y 7 D Y L b g 7 U 1 j 4 O p w s 2 h 4 F E 2 P T J 6 s 3 v 4 6 y J l e b 3 1 T z L w V J G 2 R i N 6 / T V f p A b x L R r F U L p K R k M U 9 M M 2 + z G 1 O B t h j r y O N C T U w G N 6 t V k u c j m W k U h i Z 4 b N u R 5 z e W K V 4 L S A G W B O T 8 8 X F 5 6 2 Y L p 6 W l k c z k s L i 4 q 4 i g h l 0 M L F z P B t b l U D e 5 O b j f W 7 s 9 G w + J H V K 1 Y y e v z f l F x 3 g M O J 1 o 5 t f t L / 0 a l d q n Q / V Y 1 g s A Y O Q k f Z w i X n 5 8 E E h 6 V 6 8 K s B 1 9 X H / w n X k H m r / 4 A j s g C o v / w l 8 g d + Q 6 y / / 3 P k P v W 3 y H z Z 7 8 L 2 4 v f h W d g L z y D e 5 E T b c Q A l n o M O d h x 5 T P 1 C X s l G M l j u 9 p O H y 2 f u R y 6 b f r 2 3 o 1 U I o J M x o w 6 1 g N O m q 2 F p a A E b 8 w w N A M E R G W 6 + r P D L r X 7 h Q a j H H s 7 c v L 9 E i Y j N p y c d q B X / J X 9 3 Y 0 / d L P A X T d O i M Z Z a c 7 V a j j Y a 3 Y e t a A F h Z P r w k K c v v 5 + 8 w O 2 t n y m k U y I C S f k 4 l r Y / A 1 N G o b P i e q g B H f h S M 8 U 4 e 4 x R / t X A y d c e s U d Y o f B d e M J l o c L i x T + 7 P + U D 8 w 6 p 3 D w 2 F L I c + r 5 W b Y D t y L i b o E h z x O V u k o l k 2 g N h R D 0 B 5 B 7 5 p / U d 1 g + 1 o 1 G r Y 6 m F r L x L A q Z E t y h x j O a 2 f l E A n 1 4 / u B P y P 2 v H M f L 5 T J I J + M 4 + + o 3 s P u O x + o K T h h 2 s V b E s b t z I A N 3 O X K t s f R E 7 K 0 P d G W V Z r q j v D W M x g 0 V R N n b m c O N a j s Y 8 0 L 0 o 5 g 4 u K 9 s + m 0 l J q P W J Q L R r z p c 9 q s a R e W e U d X Q l c s 8 O k 0 m O t F 6 w N Y 0 s S z w e L 1 q B a J k I o m J 8 Y m l R e a r y U S E x + J I i F Z Z j U y U O 6 4 / y O G C d r E S N J k I 5 d h / 9 T 8 r M v H e u g x b j v K 9 i c L J 1 + F / 8 w j 8 h x 9 G 2 6 l X 0 T 9 x B r 7 v H 1 F k q i w j X / V R L x x e x 5 o d z 2 q w i q / n c / F + V 7 Y z l 1 0 m a I G Q 7 P m l 9 U F W R r Z g x R 3 b M 0 j U W F 7 s s j N v j D s x u s i t E J d v z H c M g W t 0 1 F g T j 8 9 6 N d q T Q Y d n z z l V U I I C y C X C b h Q T s B L 1 t E O t F K Z K U B C 4 F S V T i v T f G h Q M H Q L m H r A e r w f b + r Z d d r 4 S 1 E 5 u j x + h 3 a H y m S v B O q d P 2 l 1 D a / I z R q y 4 u C V x V Y h U B U U Q K U c p n 0 X q T 7 + I k m j P k m j r k p j K L F + 9 Z a Q W r u X L 8 v e s S 0 4 y b B Q 0 + 9 z W L N x I S 7 1 d e X F 9 7 R 0 3 v h e R 6 Z F V g x N 0 a / a I Q q F M e Z 0 l 1 d F V o 2 Y 3 o Z f s I l g V O 0 R r a d R Z N 1 s C J i y 6 h f w 9 g S K e O G M o Y l W v C b F W s I F Y M 5 O 4 / N D R i L k W X K X Z o q H T i 3 j o 9 7 U E K X w x j t h 8 F N Z V b j o b t 6 z o u 2 r / y f L g J 8 t n r h H I s z K 3 z i I 9 v H H / h 8 1 T / F e n w M T S F r V N E j M R a k 0 4 L d m K K N Y f i F u G X I q Z + g U 7 V + y t L Q z c v t X w t m B m 9 K T 4 a 2 b E t B Y 4 I T W b s 8 I j J t 9 K q E k o T v q r 9 E V 4 e W 4 C z b p Z z T z a C o S T F k y J q c f 1 + f j c X H + C C 6 5 o z X l + f r k z q N d K 4 I 7 f t a B M g I q A h C b W S q D w r C V A 3 B Y 0 t 0 r q E Z + t w 7 t K H Z c b 2 1 6 S 3 l 9 1 d 1 c P r J / K Q x e n + O b L J v F X E O B q x I V M v v L g P M c k m U Q d y 1 Q 8 m 1 w 7 n 5 a r W V c W 5 J X A 9 m A 8 4 6 4 B c + E a V c 6 q c n H 8 j o V n 5 g Q D I N k a w Q k u x 8 w 9 0 f h M g + 0 r C I y g J q F Y M Y s V C 1 P y 0 a i l d o Z y 6 / J R m o k Z 0 Z 7 c 1 U M v 9 8 X 6 m Y 1 b V b i c a G S V T 4 0 z s 1 f 6 O T p M r g + a e y 0 t L W y h N U m z G k o l C z r 2 X p k h w e D O t D x H u 8 / s u F Y C R a E t 1 I n 0 X / y B 2 T B X C V p T V h 4 8 R x Q u n Y P j 0 c + p j i p X M f e N b V U J B g H Z M b r L G T W V Y J b N Q r S E x G w K B f m O G J R w + h p f z Y l y z M m n 6 b g Z O q e 5 b L Y p S a E L Z G Z u d A 8 e x O z o C b V M c y U Y v d 7 T Y Z K I y Q i d q y Q h 1 K Q H H / x i 2 I b h i o H R n p Y i B s V B v p q g + c Z H S U j v V d 0 4 t V C P u U d w / K q a i N p J Z b Y 2 K 5 u a i k m b O q N 8 v X D 4 R T g y L m S j y 1 q K S 1 V z q I I b a K + 5 L S k f P B 5 V A r g R Y m 8 E r B f C + r 6 P I P q T v 4 t X 7 / k x v P 3 Y L 8 P + 8 Z + k b C J / x w e Q f / 4 b c I r 4 W M W i o Q n H + m X 0 n 9 q C v N N m H b N p a n X S 6 v n k i 3 a H H V a X + J 0 N R v h Y Q t 6 n R a 5 P 6 8 r + X 3 4 X v b 4 0 P n 1 3 E B 8 f S J i R O i G W J p i T Z p 8 n i I W J s 6 p j 0 J 0 D w T K q q p a L 6 v l 3 K 0 G F z Z m 4 6 n U W M R l l g q I Z X S K 4 g u u h b V s f v a s E 1 8 5 j h R D P D x s q 6 H C 0 g c U o 6 0 W X v 4 i D F R t X k 0 D J Z A J 2 m 1 0 q 2 6 W E i K F S l 7 M + F T 0 m H R I J z V 4 4 I 3 Z 3 V l 7 5 P i 8 a q q s Y R c j m g N W f h c X j V v s P 6 4 2 2 V w O F h I O 5 n g u n U X r 6 n x q K l D U T W i O d f v S X c T a y v H I Q z 3 1 o v 9 T X 4 3 + N 4 t i w 2 f l s k P T x y Q S s U u e e 0 P L O j J V g H W t y s n 4 0 e E a b k b q 8 n L I S D S + i x e d F q i g + 7 k / 8 B p 4 Y l s 9 E r 3 z i d j 9 K s U V 8 / a W T m M u H 4 G k J w e 0 x M 1 0 4 J v b e n f U N w q s W o c / E l V p J K E 0 m 1 g P 9 q M U 1 F q j c b J y e t u G V U Y f S S s z R q y Y T / S R R I B v G Y m q 5 4 X X D e D x e a T D 5 S 4 5 w 2 o l E 7 k r T c C W c m 7 W p T Q 2 4 I u 5 Y x K o 2 x u Z Y W U R 8 w I T h Q y K W Q G w y q e q 7 H j J V I j c 5 X n 5 3 d a C E 0 2 p D u O h X f + t g D D X m 4 6 c L S C f K 0 Y M N k i k d z s D d 4 k V O O p 9 a 4 B w l B q F o H p I 8 6 l U f F Q n T L J c i d 1 7 M d i E T J 1 a 6 r Q U Y X / 6 / 8 J H C q 9 j T Y + D M Z B o X / t 0 X 8 d B 7 b 8 X 8 + B n p u J Y t i H U t x Z y r + J F X C s M 6 o + 1 J R + x q g t U S F R v 6 x Q u 1 k z 2 V F q h h i d Y b k N B g K h K n l F C L x F J F u a c 8 f 4 7 r 3 g l b p T G Y v F v v J m + s u 9 V W G + V 0 l b e L A b U u 3 D Z X Y 6 E r N W V i e D n L e 8 v B h + O L 1 E l 0 q R P i q + l b 8 m P L X Q + b p 8 v f X S + 4 9 1 M 6 m Y L h u 3 w n T O 1 7 0 b d R U 4 L K x S B n 9 H E F 5 C Q 1 O g M 5 3 A + Z I X S W 9 7 g x i L 5 2 B 0 6 M 5 3 D k v l / F X / 7 9 0 / C H e p c u w i D c o d 7 6 U 8 S W C E X b f a C V k S P 6 S w X 1 / u a r b O 4 x 1 4 4 V 1 y h I p v U 0 5 V n R K k + f N V T G x e v j L q l U Q / l N H M Q l + o P 1 + Z B M E l 7 L f 8 u K + Z F I p x r O 5 + P 6 E o m F O f V e 2 / q V x 6 Z C p N r M j L B g 4 v C n l 7 J q q m F 3 m f 7 O B v k k 1 7 G I X + O C S w w D m n X U S K m y S C 7 5 N Q 2 C A 8 Q k E h c n J Q a e / C s 8 d T y O X C a t 2 m x e f C h f a 7 e a H 8 X r c z 1 8 r i x c L 5 a k l Y N q Z D v n F n H Z 4 l 0 d Y q u L X 7 X V 0 M s w 8 x H W u 1 E b 5 0 m t t z H 5 s 0 T O I a 8 W v H z J h f P z B r 5 3 2 s A b 3 A l E U G t w s B o L Y t b V g 7 G E o c L B j S C X z 6 H j l 7 4 I 9 + e / A O O X f g + Z U A 8 K 0 o y p 8 g p H y h z b J O g r v 3 3 o E 3 i j M K D e 6 / X w C N 7 b Y i n B 9 t K 3 1 d 8 b y W 4 g 1 N Y 1 u R y y y Z y y m j i z w S 3 N 0 I x I s 7 s 8 M O 6 h r B T S K o 8 v F Z l H a N t + R T i H w 1 A y d G 7 O g e f O 1 7 / r p H p k T j s n z s w 6 M B j K X Z F t s J V 4 5 a J D 9 U S 1 l h r T U 0 X W Q j O m k T C 9 J 1 + 0 L q 0 j Q P + H G x i 8 O r p 2 t G k 8 X J + v V Z K u l / e p F 3 w q 1 s C i N P h C K o F w L I L i R 3 4 U 2 Z / 4 V Z R + 7 v + A / Z Z 7 l V A r U m 0 C s f S 4 1 6 E H 7 i J b l P l J 4 b s M 0 u G U A i v v B t g w S k X p d J o f X a Y 2 L + T N N U s + P m C a 3 a M n n 0 X 7 9 v 2 4 d w i 4 q b f S h y q / q Q N q m J Y C e P + u N G 7 v F 6 f N V V J p F V c D H C W n L / P 8 e S e e H 7 7 c Z 2 K z k W j 1 Y B N k S Y G B G w 4 4 h i s C G L V Q y x T S u Y 8 a v E J v K S Z v 6 n s m D Z q f 3 P W 8 + q B g p 2 5 7 L 0 r i w J N Q N M 0 o N J u h s f L M z y v p s Z z L Q d 8 q P 3 6 p / N f G U c g V p d e v v 9 P R n Y n q W E j u F Z 6 f 9 W V O u y / h 8 U k z u A K L 2 X m m C l 4 1 1 s Q E 8 d u E E / c N 1 u / n q p I y R 4 l O N O 1 S O n r r B d N H C F p F K z z H Z T g 1 7 c C o a I B w 0 h T C 1 T a i X n + p m o / q c n K M h W N Z i + L v 8 a j W r u R M t d b s i 0 z A K 7 5 G Y E f t c P B q Y M S q + q C A 5 P N Z l H 7 m N 2 D 7 u d 9 G 7 u b 7 1 I 2 b S i h 5 B N 6 n 8 P p z O G R 5 W 5 2 q n g n L s h Q a I M C q k K I b H j c c 3 h V M f z 5 a x e P p s U M 1 8 V O 9 l v 8 u + 5 f K x y x / n 2 N P / I z P 8 4 H i 9 + V 8 C X a n a d p N V q w s x o F c 6 a / q h n p y J m L S E d d T x 4 m q K T h 1 g V F B J t K e E 9 N R y r m E y m t V z l u i o 8 n Q 8 t F L h p p B e 7 V D 9 P W C m p L j T E R C X B f u L c X Z w q + N O t R R + Y y E t J U 6 C A Z / d l k X s X N X J z w 9 X M j l c q K t F y p s b R U y i 3 M d F 3 8 g s e 9 m u Z m 0 Q 9 l M a x Y o g E T / 6 9 + B v z i l h J K H C X 5 m M Q W 3 C e C c s X w 2 D 1 u N J a w U Q b g + h V q j w j x Y C s d H P o d 8 O c y e s Y t 5 3 t l n 5 m A K y f k 5 v 0 8 w u K O f p f D c N / D J O 9 r g C 3 Y K K Q v w O 1 e I t t Q B J c G s j / m k D a + P G S L c T i U Q r 1 w w 1 I b R 9 Y K 9 9 H j U L j 6 Q g V 0 d O R W d Y 4 C B o e Z w m S g k H K N o e r / d y j l I j P X X 4 e 9 f M 2 B H M J e w 4 E W p p 3 r B S Y / 3 D a U R M u z I W x J q K n w z Q S H R E U k u 1 I K c a C z 1 V 3 P B 8 H N J f L g H F o 6 q j l N r K f V e h I n 5 i s 0 A 5 0 G V x L S s h i Z w y v C p m x a 8 A S m U + d x Z q x 3 2 w x 8 A H v g E X O + 5 H 8 X u P r Q 8 / H E U h g 6 o h W V Y P k 6 x Y Q Y M K 0 e T q v h n v 4 O B n q A a 0 O 9 w N z a U U Y n L G E O N Q S I 8 f c 6 F h B B B m 3 D 1 g K b i j T 1 Z 3 L s z I x U M t X M 7 t 9 h 8 9 a J T b X L 2 n P h E e q e N E x N m 8 i 3 X 6 n u n g u T / / n h j C 6 F Q 1 u d O L S K T T c D d W n / k a D 2 Y L 4 f W y / L S d F A Q C 6 e P o c N m 7 i S i N d X 2 d q m T 2 O X b l K 4 X 3 g 4 P H I Y T 3 L W k E r y P R b S Q r W 8 H X J / / A r D 7 R j g / / D k 4 f u i n 4 f L 6 U J i 4 o K b n F 2 b G U U r E U F y Y V V o j 8 + r T c H / q p 9 V m D i r K J 3 X D 5 1 B m s 9 W C X T s 6 U Y h P w g Y z K L c e R b u q C m L U r x 6 Q i E e k p 2 Y E 7 P n z B l 6 Q 9 + x D q I k Y a H h b i E S / g p n U B A e R j 4 i Z t E n r P W 4 Z G t W o 1 k w G b q 8 X o a H m L R + m Q Z O H v S s P g q u t b g X u O 7 R d v W o z 7 6 B 7 A R 7 H q m J V P 0 T g k 5 G k m H 4 5 F W A g 9 K v j k R + G V c y 3 x O N f E Q K H k T p x F O l j L y L 5 8 l O q E 1 F z t O T g M g Q k C 1 9 5 p E + + A e d n f h 6 u H / 9 V u D 7 7 C 2 a P I 4 d d P t v R F s T F 0 6 / j o v Q H o 7 N 5 P H N e F I v I d i N Y 8 8 l 1 n t R K e F k 0 E M l E v 4 J J n n x e m n Z r g Z 3 O k Z H L z a W N B E T e C f A 7 C s h L D 9 N s v 4 b Q A s 1 p + p R E t b b D F i D y d 3 8 i P T z f 0 c G X d v 3 m 3 6 j z 2 p R a L 7 R f Z D O s a l K m 6 D / 1 N 1 / F 2 V F b k 3 L I o c y H y w 6 V E V F + X w 1 L I Y f s s S N I v / h d p F 9 / D q U 9 B 2 G 5 + y H Y O 7 p h n H k N O w 4 9 h K e e O Y L X L m T U T p M c K m k E q 3 6 b Q s + M c y 5 C W Q u c 9 r C q n y V q t h E 0 a 5 u b a x V J m x t O N 9 c R b F 7 H Q f N n S S s F Q + h 9 5 m t w f + n f I P f / / p Y 6 t 1 H B X g n 6 u q 7 Z M T x w + s s I u K 0 I i B X r K J t 7 9 d 5 X m Y r S C 1 c e W m 7 U G o u F J N D b j 3 g i A Y v b h 9 y O f X B 8 9 H M o n X p N f U d r o s q j E Z Q 4 l W N 2 E v k O 8 T m T Y d y 2 u x N u f x D R + Q n x t a I Y q 7 X 6 s B x U G l W n F d a 8 O x f 1 Y 0 L q 9 8 6 4 r r g w p 8 u v h n Z f q e 5 9 d d 4 N Y K Z 5 s y L K G q r X p l B K 2 x T G L 6 A U X l D C z O Z u V L h W h d x A 3 0 t D X 9 8 1 N w a n L Y / t f j r 6 H D d a v d E d Y m o 5 P / U z y 2 W X f 0 X 5 T U m u p 9 6 X 7 + H 9 2 d 9 E 9 7 / + 9 8 g H e x D 6 t T 9 E 4 e A d s D m d S I t Z R z T 1 + Y o F W K U 8 f X O n 0 L H j I K b O v o p C L o d w J I p L F X J O t + U J 4 c I z w w b O V c 2 j Y 7 H r K h H H q F h F L 4 i J 9 p z 4 S M N z T M 1 Z G 3 s 6 s t J z 1 f P N a x 9 M y f J X r Y K r 1 2 q v x G q i x L E q o l l R M M I k U w m t 8 T D y 5 a R Z R a g 6 N U S 9 0 G M 7 P E g E H o Q i j 5 z b Y 4 Q 5 n q D O r d r i 0 q M k F m a R 4 u + t N i T i c T g + + V P A D / 0 U s h / 4 F K z v / 0 T 5 i 9 I B P f 8 4 Z v 7 u r 1 G M x 5 D 8 7 l d R m p 9 R h N X + U D M f U X c C z s g U u l p d 2 H n b o z h / 7 L t w W X N o c 5 m T E x m 1 P j G 9 H I i i Q u E M D V p q z w 2 T Z K 7 6 C E W w k m i S 8 e C o f 3 K N k P p g q I B 4 1 q q m r P 8 g 4 F Z m k V R M C S C Y 1 V G N t b q P X H m v 3 Y 2 C g p 0 v p 9 m z u 8 u K c 1 4 Q 3 8 D s + j Y J g T a 4 f + n 3 g P 4 h 9 a c m G N H y + h O 4 l O f c q N U H k + 1 3 P S h k L C A j m t T 5 o 7 8 M / 0 / / K y R T c e S i 4 v v J + X w w q M 4 T z P r w d P q F P K Y Q 6 w D D Z o G 5 h 8 5 8 C j f n R 1 X 2 S e + e 2 3 H + z P c R j S f V Y k A c a 6 x 8 N L 4 9 M c X k B D s y 0 h R s 1 o Z 1 J q f C 9 w X z a 6 b f j M x z s N i h Z t j + I I D t K O 2 5 Y e Q z e Z S a Q C h l F s n B Q U u u 1 D r 3 w X 8 m J 4 t K K J o N r Y 1 S 0 Q j m T 7 6 B y M 4 D a t B Y E Y o f i A V T m L 4 E t z W N Q t 8 Q L I 4 a w w m G C 5 m H P o m 4 1 0 z z 4 W 9 j U 5 e Q X p g R I W Q U j g v b 2 J F P x B C f n 4 L r 5 3 8 H t k N 3 w l r i L o s 5 x K f q X 4 R y v d B a K n P 6 F f R 1 t c L l C y G b S u D I 2 T w W w h E h z N p 1 2 9 B 2 N r w f 8 / 3 4 S m d t r Y H f S j a / 0 9 H f W l h K O W I 0 s p F J Z x q 9 g Q I 8 y b h a G 8 G + g U F d C q M W 8 p B c z 3 j h 2 / C V C i i O j a i E T z r 2 z d w q R 2 k c a f T k Y / 8 b D B F w D i C 7 9 t + G 7 I m j s D E 6 J r 5 O 1 G l g 7 6 E D a u v T 4 s B u e D / 6 Y 7 D d d C d s N 9 w O S 0 s b b L f e h 0 w 6 K R 1 A V O 1 M E h V y + v 3 m 7 i S V v p D a y 0 l u l 3 n j C A q X h t U 5 w + e E p e g Q / 4 n F a L z e G 4 X b c G C h b Z e y s D y t 3 T h 3 9 J s I 9 e 1 V n 3 F 5 7 d X Q 0 H Y 2 N 2 / L o t 3 L 0 K X p T 6 2 Z r P q D x K g m g H X X G 5 6 B v 9 c N d 9 v 6 B 3 a Z h 5 Y T h 5 k T 8 B z / + Q 9 R y p l R P l P w p a c V A W V C 6 V K a j Z g v D k d 9 Y 4 q V U F E 3 U w c h n U r B f e 8 H k Q l 1 q L 8 z c s / W v g E k p 8 f U 3 8 l U R q 1 p F w w E R O j N a J t K n i U B p F z c H Z / Z C S 6 3 C y 5 j e b h E 7 Z V b Q R L + p u X A b Y j 8 z y + p 5 Q d o 5 h H x m Q w c X m 6 + 1 v h z N A I + L Y c c E m J J G H c 8 g G e m X T h / 9 j R c n g C 8 3 C / L v 3 o m / a r d G B + T u w j 2 t J g N x v A 5 h z c Y 4 a g 3 8 3 u z s Q U d V t O g U q 4 c X P 5 s 4 x 1 N w N 8 C 5 5 f + r S L T Y j S G q R / 6 B S w G u z A n x v x c t q j I l E y k M O / w K A L m y 6 S r F y w j / 1 E T J s S k 8 z / 6 m S U y E Y b D r s i k y U C 5 J 5 k I n t O Z 6 N S Y 9 P V o T g W D 8 n n 5 + / x O 9 f Q P m q 6 s m f T b x x S Z K j / j B 8 2 O k N Y C 7 8 j b e g 0 7 r G 8 + j f v s I 0 g s T s I m J q t 9 h a n 4 l V i 1 i F z h Z U g I x S W U O I u X i y 8 y / l 6 9 m O T V A h / 8 2 i h J f f C 7 S n A a 1 g 3 P 7 2 H v n 8 l z E Z k U s u K P Z T 7 7 i 9 L r 2 2 B 9 7 D N w / O S / x M 7 f + m P 1 P e O x H 8 H C + z 6 O 4 t C N 0 m b i i 5 S D G P W A h O L y 0 9 5 f + Q M 4 P v g p J M Q v o j b R v o 4 + 9 A R D a k B q I U L n 9 n G t 9 3 R a y p j N L e 1 X 5 X K a r z X n g Z U 7 m l J 5 X 9 / L A h D U l u v J 2 F 4 H W L / U j F T w F g Z M w h f h c n n Q E a j h G 1 Z h V U L p 1 U u 5 i Q D X N + f C F 9 w Y o C 4 0 o R d e C 3 a p 7 + q x s W s Z g 2 0 M K z d h S o X 0 J I s L C 7 C K E J 9 9 6 L N w t v j V z u Z 6 c 4 I 3 3 z q O n B C u d P G M 0 g w n O n Y i m S 0 o A a e p W I t Y 1 E S V B + H w + h E 9 e 1 x 1 W t X a p B J 6 f 6 d s 1 i T U 3 N y 8 + E o x E c g i v F 4 v P G L m a Y 2 k j 1 r X U n t F y W s x Y C 5 T X T k 7 u i A a t p j f 6 s Y W U 3 X 0 H B 7 5 0 C O 4 a y C j N P Z a W J F Q f D B q o 0 r n m 3 K w c A 1 N s d i i D m t D q F w 3 n Y t Y l v J i P n W u b / d C R v Z i 5 V 1 A m B 3 x v f 5 b E W p j X q B c s 7 z 9 K I m 1 f / 8 B z I t Q 2 0 d O 4 l B / L 3 r 7 + 5 D 6 3 K 8 g W a J f Y x J L 7 Q 5 f R W y S j W C U j l P q b Z / 9 v M o k q J z m X g t 6 A i A X A h 2 9 O K p e W w J + G O I r a S K t d Q 1 C X 6 e w t L 7 4 c v k s Y i o X u B b b F o K B n W i 2 h C N H T 4 n P W M L k n G g r K Z t 3 l a 1 k V 2 Q H p 2 B w g Q q u z 6 B x L Z G J u N a 1 k 3 S 4 Y m q Z 7 w N i 7 u V T D C R I b 1 7 n 2 n 4 U f o J E 4 t a b J B L N M O 7 u 8 e w z z 6 K z s 1 2 Z W q 2 t y 8 m 2 H r c b k x O X 4 P n Y j 6 m / c w u z q m f l g p M T H / g s 3 r r v U 8 B 7 P 6 K 0 R 7 V f Z X d 7 k H n 4 U 1 i 4 4 0 E E f v 2 P k J m d U J q n H p A 0 x P Y d 2 + F 0 L l s x 9 R B J Q 2 v G v J O Z 4 N T k 6 k 8 F V 8 A h n d P a J l c z w T G 9 g J j o j 7 z / D j x / f A Y L F 9 / E U C C C g 6 G F p e 1 s q 1 G z t h x S + a 0 i A N X g 5 l / X U T 8 q B W J P Z x 7 x q T T y p d V X O U o k k m p v q Q U x 6 S K R C B Y X w 0 t E + t 5 3 n 8 R 3 v v 0 9 M Y 1 s O H z P 3 d i 1 e 5 f a y 1 c t d V a G X h / v + w k h 7 7 Y B T B 5 9 c e l 8 Z 2 c H t m 3 r x s u J P A o W m x L g n P g 3 W l P R P F w M R + D 1 e R E / 8 6 a c Y c Z F / Z 2 o S S r T o t H + V i P Q Z m A b 5 3 J J m S p 9 K K f H g b y U N R 1 Z v f 6 a C f p R D v F 3 O k 8 8 j 9 5 A E Z + 5 v R e 3 7 O t T y 3 L f 3 J t C y H N l o K f m O N T d A 9 n L F g r U 4 J r i 9 W S S X 8 f l Y A R s T 7 v 4 L q L h f d 0 G r O X 1 l l X o m 3 5 D W Z C S q Z Q i z s U L F 3 H 8 r R N 4 6 / g J D A 4 O 4 N z Z Y b z 6 y q u 4 9 7 5 7 c O C G / W r 8 x i 2 a i H N 6 j B q b U 3 P n w L a 2 V p x 3 B D B 4 3 4 N I Z 8 R M E V + G h 1 q j X X 6 f X 1 y A E V t Q 2 k t H A e l b 2 f Y d U u Q j I e r V T p X g b y q f q R H w N 2 q X e M O N Y n k M q p J U J Y t 8 l h K z 1 t f c j l 1 F N E X c 9 W F 2 J O o j V Q 8 F + W P n n l 2 Y f / E p L I 5 e g L 2 n T + 2 w 0 t d m L S 9 / s F x P V x C K q x 5 x J d P q A X f e 6 P w 8 M 2 8 b r 6 h 3 O / q C B R H e G L K x L L z d b i X U H N z M Z M y x m R S J J O 8 Z X o 6 I R r p 4 8 R J u O n Q j v E K Y J 5 5 4 C j 0 9 3 b j r 7 j v h c r m U R i I x u F 5 g p W a q B B u b Z C X x M t m M + h 0 P g r + j / + W / 6 Q 5 k x Y T K 3 / s Y i o t z S A s J W 3 / o J 6 V s 6 T I p t s 4 a 0 R p S R w c 5 v l a a M v f Z r S S m T b R F N i Y a V S w o e 4 1 p 8 d V g U I M H / 9 F 8 q 7 j U Z a h e G s 4 k m H n w N 1 I a Z F t C M B a m 4 L v n Y a T z Z k f I u u T Y I l f G 4 h 2 I K 7 o g q r b q D H G S 6 P k R o 6 7 U i + u 4 E n 0 B 0 Q A J a Z h W q 5 h x Y T H r E r h 0 a Q x f + + r / V I R 6 4 / V j m J m e U Y m i R 4 6 8 i M G d O 9 S G a v 3 b t + P e e w 9 j 5 9 B O p Y 2 4 K 2 K t H R G r w c b m d x n 1 C w Q C S p t p 8 D O f z 4 d o Z B G p n f t w Y W Y a L 7 T 0 I f P R n 8 T E x J g S o q 0 i E 8 f K O F 5 F I m k y U T A N j 0 8 R g D x j e a h x e V B 7 2 V x W 5 J O 1 o p T m 9 x S B 5 H f m 9 0 t q H U O 5 q L p X L f A 7 + n V + f k 5 1 N j S 5 C Z b N / F h M 4 R e f F E 2 f E f / X k H s U l 9 q B i o e c 0 b i C U H P l t c 0 1 m A D K g d w f 9 L l K m w X u Q G G X h s g V c s g 7 q J n i + P o / f V P 5 S o 9 9 5 F F 8 8 x v f R l d X J y Y m J / H 8 s y / g o Y c f R E d H h 9 J E P v F l G H D g g G h l d s F G Q W E g 4 a i 1 u r u 7 c N N N N 6 K 9 v V 2 0 W V a t t 5 A X I a S A c V 9 h H j o 4 0 k w o Y R X B Z G d t D 0 j v v 3 M / F n 1 t i I o m y H r 9 S J d 7 f F P L F J T G p X D b 3 V Y x T U 3 C V B 6 V x N D B j U x L G 9 y P / j N 4 H v q E I p X 5 P f W R A t / r v x c W 5 h E K t a u 6 Y S f E c b t o N G Z + K P D 5 / I r k 0 W R K f Y f 3 0 f f c 1 5 n D f T s z y k 2 6 I v W I 6 / K 9 Z 7 v p + H H 6 7 0 s X z R U 0 G 8 a 6 f v S D h 8 H 2 A j y T E 4 i n E 3 h j + K j S P D T f t J + h G 0 W D 5 1 q k Q W n u U J C n J q f Q L S a f D j Z s B t g j M z j x x J N P 4 U c / 8 X G E h 0 / K W X P 1 I m p Q r s F g 0 G w 0 m r c O h i K U N 4 i I x a b S k a p T o 1 g v r d 4 W N d Z W y G V R d D h h z 2 c R / 9 Y / I D G b g 6 v F q v I h L U z S p Q l 2 4 H Z 4 9 t 6 I x a / 8 F R z M t / O 3 I H 7 g D m W W 8 T l s d g O O Z / 9 p R b l k e f T 4 G O / N n f 2 p 4 a e m p P 6 7 u 9 U 5 m u Y j M / N o + c D H l N b X l o D G R E T a q J p Q T P y 8 U w i V E o 1 U z y q p K 2 K F g r / b 8 N 7 B F M I X o 8 h 5 k j h z + j Q O 3 X x I 9 X D U Q D T Q m S N H Y S W B 2 G i V p K H 5 Q V 9 L f V e g z Y z N Q D Q a V f d 7 + + 0 z 2 N f T h e T U G F z 9 Q x i d n U O v 1 w V v P q n M T m e t T P J 1 g A J M v 9 G 7 9 5 B o R n P c i c / O j o M E 0 F q m G q l U G q V 0 E e 2 h N k x H 5 s X P d M P h c g v p T C X g m R 5 H L h a B L R F F 6 e b D y J R N P V 6 v t S W I Y m Q B m Z e e 4 A l Y p I M I z 0 y p D i w R T y h T m J E 9 a j I N b h j B e m e 0 k w P X + X w B p 0 6 f h f H I D 0 l H 1 1 X + l l z O 4 s S x 2 f b G k m M b w r u c U B S Y Y j G P w 4 E 4 w r M i r I E 0 p q d m s G / / X r S 1 t Z W / t T o o 4 M l k U v W y W t i a S S o S m I L G V 4 J R x l w m i 4 Q I b R v N H h H G n J i B 4 X A U x s w Y W t s C a J G e v x m a U t U P b 9 u 3 U + 6 / 7 J N o s E z U 0 D r w w n u y P j Q W p Z P K R 4 r o O C g a Y o X i O J 0 u I W B i 6 R o a / k A r 8 v J c h m i k 7 O v P I z 8 t v q P y 3 l j H p h e k S R W L R a V D M / f A Y s S R p v r M z A y m 5 + a x / 1 M / g W d O n M L e P b t g c Q X R 4 v O s P L B 7 H e s H b X 6 u R 7 D N E 8 P 8 V A T O d h v i 4 j s 5 x K F q R B i Z i k M T k Q K h H W U t / B s F h Z M C y + s l E w k z h C / n O Q b F V K G Z 2 R k U x J Q i m d u E S K M l E X j 5 L j V m I h F X R C T 4 y u u s p F F q Q S X B y m P 4 B v Y o Y t U C 6 8 n U D I z O m X X G v 1 k X P F p 3 t I g / Z c f i 2 T h S i + a 2 Q z w q v 8 + I J c / R N O N v t Z k d Y 0 B G i L Y Q X U R y z 0 H e T J G p k p j 6 G k y h I k g m n j N c h v i 8 X T h 4 Y D / s J 1 / G + y 1 R B N 8 + K v 6 T l M 8 i 5 W h k P t R 1 1 A e G x Q u F H I a f + R r m I 7 N I F 5 N i S r 2 N 2 2 + / T Y 0 b M S W n H u i w M Y W e B O D v t F B s B D r I w K g i 6 W m z 2 h R x 2 P u q 8 S 0 h V C q d U o E K l w g Q T T N q y s W c f D c V V / c n E e h f 0 Q z i 8 / K V E T U K J o V 4 N a g s D f m u q 2 e H M q k 0 6 n k u f o c H 6 8 H T L v 5 9 o Y R s W A i a l k 5 r I Q 5 X g E m 8 T G 4 1 i V R Z X / p 3 + p x h y L O e / b 5 U R F T O m e v z a f B z 1 j v N b f O 9 S S r O B V O J s / K P d U Y 1 y 6 1 L z + a t K o C 0 O R q K d 3 8 X w + k 0 Y B M z 5 r F H P o o b 9 u 5 X G Q o f + e i H F S E Y L V o P G H 0 j m l G z F B R q F I a B K d z M B K f Q B D i 9 Q j A 6 O g p 3 e d y K w s d x r x 0 7 t s s f 0 g u L V k H 3 D l i 8 A U S S a Z w Z n U D S 4 c X 4 Q l R p 0 V Q q q S J k q 0 L u x S B E 8 s y b c N o 4 r X w 5 M t c I W G Z f j w e h v X 5 Y W 6 W O k u J 7 R Z z i / x U x c 3 I B p V W S a R W h Z s d R m L q k x F V H C y s P k o a d x a x o a 3 Y q D E r Q h + N B U z i T z s j 3 C p i a X x C i m U T f H B / q X U 4 o I h i d Q 4 8 t D d + Q U 0 y c o h q k r V c z V Y L C x k Z j 0 E D t Q i 9 g w 6 2 l B V a D v i Z f R 0 c v m W Q R k D z V g q 1 9 G 4 6 d U b j 4 m 7 G x c S y I E P X 1 9 y E Q a F F l o Q a 1 c / e K i f O q 0 9 A D y S u B Z j G v V f K H U C g n 9 l b 7 U f W A f t h T Z 1 2 q o 9 n V n k O v k V b 7 S s 2 9 L a Z 2 i x 1 t A 8 t 7 A F f D d e E 0 C m P n V S Z 7 L T D S R 6 3 N S J 4 U D / a W V j m C i I y c x p z 4 T O 3 J B U y M T 6 H z t r t h 3 X 9 Q a S x F q B a 3 F Q 7 O h W g W p K L e 7 e g t J O A 3 M v D 3 r k 8 j L Y H C L 0 I + P T W t x q u U / y F / 2 + h f l L + y H p A 4 m j w M R j C p l q B Q 6 8 9 q C T j N P J p / h C a B 0 j Z y L h R s Q + T U G 6 L R f F e E w W u B Z q M z 1 I 1 U O R y / H k K t h F w m h 8 y M + I R 9 l 2 9 c U Q u 2 l 5 5 A f H 4 O 7 Z / 4 c V h c H j E f U y i I G Z g 4 e Q y j x 1 5 F 5 u 5 H M H 5 p V G X p 0 9 z r 6 O j G j u 2 9 a B d y X Z y a k s 7 S p a K f P k 7 p J 6 H u 2 u 1 G y L / + H u 9 q g H X E T P h r N X u D J p 9 Y 3 i L 4 G 7 O q x 8 b H V V 4 e E Y 8 n U C x k p f M r j 0 l R o D e g q T R x V F B B T B z u P U t t o 6 7 d A K i d a O 6 d e O K 7 u P X g f q W h 6 t G g J F R c B N + 7 a 7 / c 3 9 Q S 6 7 l / T U i f P n 8 m B p u n h G D / y l p K a 2 t q X + U T l c E g D e v 7 z J k z G B w c V L 4 k o c v G V 9 0 h 8 X c M u R P v 2 C g f y c Q U K b q H 1 y L Y U M 0 A Q + x u t w d H j 7 6 m B h r Z + 1 N b M R N d a S + S Q V 6 5 Y E 6 t Z c 1 W A 0 0 8 9 S r C w U y B 9 Y J a i y Q q l Q M M + r r 1 w C + m c L 7 8 O y 3 c T Y F U h a v D B h t c i E 0 m y i e v h C Y F 5 3 E R J A r L Q Y 3 L 5 x o e P q + C E e Y 0 m V Z l / u m D G R V m R o t J J u I d S y h O f O Q E Q 4 4 e X I t o E p + U 7 0 J n e G B g Q I 2 J U C M x c 4 I T C a k V 2 P j M E v f Y c / J Z C c N z t h W X z q 6 G J j 2 F y u M 1 J z 1 q 3 6 o R q B 4 + k 4 X f Z 1 6 D G q u e a y j h L e Q Q 8 L X A a 1 t O v N Z C v l F 4 2 z x w M M 6 S c y A + b Z q p 1 d C a l F N h a F r r c r N s j z / + H d x z + G 6 l g U g o n t M H w d 9 W m 7 b v W E L x s W n u N d b 0 W w i p c 1 3 x G 0 F H e 7 v y b 7 b 3 9 6 O t t Q 0 W s e G p A X i O Q Q q u y 8 e 1 H C g I 0 p F i I W F T + x R f W L A h k V 2 9 e Z c E g 3 4 Q M 7 z l G t o E J C m q w f O 1 N A h / N 3 J h B E N 3 3 C 2 m U 0 5 6 9 4 R a J o x j V q s R S y f h J s 4 e R / r S O b S F O p b K 0 C y 4 W s S M M 8 S f C h c Q H c 0 g P C Z l q p j q r c u n x v n K 7 + n L s Y 7 v u + 8 e h G k J C C r N w Z U B / P 8 k m A 4 Y n Z 2 w B A A A A A B J R U 5 E r k J g g g =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 N a m e = " K i h t   1 "   G u i d = " d 6 5 2 9 6 f 4 - b 8 8 0 - 4 b 5 5 - 8 7 3 1 - 2 9 6 9 4 0 d 3 9 b 2 5 "   R e v = " 3 3 "   R e v G u i d = " 0 3 e 1 c 2 9 e - f 4 6 4 - 4 d 8 3 - 8 8 c 7 - c 0 5 8 a 3 0 b a f 9 2 " 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 / & g t ; & l t ; / G e o C o l u m n & g t ; & l t ; / G e o C o l u m n s & g t ; & l t ; O F A   N a m e = " T a i s A a d r e s s "   V i s i b l e = " t r u e "   D a t a T y p e = " S t r i n g "   M o d e l Q u e r y N a m e = " ' T a b e l 1 ' [ T a i s A a d r e s s ] " & g t ; & l t ; T a b l e   M o d e l N a m e = " T a b e l 1 "   N a m e I n S o u r c e = " T a b e l 1 "   V i s i b l e = " t r u e "   L a s t R e f r e s h = " 0 0 0 1 - 0 1 - 0 1 T 0 0 : 0 0 : 0 0 "   / & g t ; & l t ; / O F A & g t ; & l t ; A d m i n D i s t r i c t 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 / & g t ; & l t ; / A d m i n D i s t r i c t & g t ; & l t ; / G e o E n t i t y & g t ; & l t ; M e a s u r e s & g t ; & l t ; M e a s u r e 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G e o M a p p i n g T y p e & g t ; S t a t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I s & g t ; & l t ; I & g t ; v � i k e p a n e e l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6 & l t ; / X & g t ; & l t ; Y & g t ; 4 3 6 . 6 6 6 6 6 6 6 6 6 6 6 6 6 3 & l t ; / Y & g t ; & l t ; D i s t a n c e T o N e a r e s t C o r n e r X & g t ; - 6 & l t ; / D i s t a n c e T o N e a r e s t C o r n e r X & g t ; & l t ; D i s t a n c e T o N e a r e s t C o r n e r Y & g t ; 1 & l t ; / D i s t a n c e T o N e a r e s t C o r n e r Y & g t ; & l t ; Z O r d e r & g t ; 0 & l t ; / Z O r d e r & g t ; & l t ; W i d t h & g t ; 3 5 9 & l t ; / W i d t h & g t ; & l t ; H e i g h t & g t ; 1 0 2 & l t ; / H e i g h t & g t ; & l t ; A c t u a l W i d t h & g t ; 3 5 9 & l t ; / A c t u a l W i d t h & g t ; & l t ; A c t u a l H e i g h t & g t ; 1 0 2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d 6 5 2 9 6 f 4 - b 8 8 0 - 4 b 5 5 - 8 7 3 1 - 2 9 6 9 4 0 d 3 9 b 2 5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2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S c e n e   C u s t o m M a p G u i d = " 0 0 0 0 0 0 0 0 - 0 0 0 0 - 0 0 0 0 - 0 0 0 0 - 0 0 0 0 0 0 0 0 0 0 0 0 "   C u s t o m M a p I d = " 0 0 0 0 0 0 0 0 - 0 0 0 0 - 0 0 0 0 - 0 0 0 0 - 0 0 0 0 0 0 0 0 0 0 0 0 "   S c e n e I d = " c 5 5 0 d 1 3 a - e 2 b d - 4 3 f 3 - b 4 d 6 - c c 8 4 8 a 4 b 1 4 6 7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 5 8 . 4 7 8 0 0 6 5 3 9 0 8 9 6 < / L a t i t u d e > < L o n g i t u d e > 2 4 . 9 3 3 5 0 8 8 8 4 3 2 5 9 8 8 < / L o n g i t u d e > < R o t a t i o n > 0 < / R o t a t i o n > < P i v o t A n g l e > - 0 . 2 4 7 1 6 4 7 9 3 3 1 0 6 9 0 2 7 < / P i v o t A n g l e > < D i s t a n c e > 0 . 1 0 7 4 6 3 8 6 8 8 1 0 7 3 4 9 6 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6 f S U R B V H h e 7 b 1 n d K T X e S b 4 V M 5 V y B k N o D O 7 2 c x s Z o q i q G R 7 J G r m y D v r 3 f G e 9 c r 7 Z 2 b s O W f W H k s j + 3 j P / t k f t m f G m 2 b n 7 O q s j i 3 J 0 k h W G N u i F U h T p J i a m c 1 u d g K 6 k Y E C U D m n f Z / 7 1 Q W q C 1 W F q k I B 3 Q w P + X U V v v r C / e 7 3 P v c N 9 7 3 3 m r 7 7 U r S E j 3 D D Y Z K t 8 k V Y z c B j h 9 P l v 2 p j J W b G u 8 t 2 P H o w A 6 u l M 6 + x W C w i l 8 3 B Z D b B Y r G o b b 8 w G 7 L g 0 p o N p Q 5 J Z M B V R K F o Q q E A Z A o m o 3 7 l n 1 Y v n 0 m l p G I S e O R Q E X 6 / v 7 z X w J y U e S R Q h M V s X P U j Q u 0 x H p p K w W E x I Z E z 4 Y o I y 1 p C m F I F n 0 N e l L O I 5 a g V h f L b O D G Y k x c l k l C B k k h a L p O H 2 W y G 1 d 6 a o B f y B R R y B W S S O S Q j S d l h h s P q F E E B z F Y r T M L o Q r E A i 9 W E Y q m A a C K K Q K 8 f T q 9 d z i 0 i v B R F L l 6 E b 8 i F r m G / H M 8 m o P P g 4 7 + 9 a E M w v r d E Z o M l j 9 U U 4 t E Q s m s X c G Q A m J g 8 A J f L p T a N c M q M g L w / V s l H h N p j P H H 0 e i 3 z 8 j U 7 Y h m z I t D J o R x e n b M j J 6 3 n I 6 J l b O Y i F i 7 n s J S 3 4 v Q J M w p Z E e y V u A h z C v m 0 S b R G C S b R G H 0 j X a L R S k K + n G x Z 2 D x W W G 0 W a Y l L S I b k 2 F x e j p c X X H C g m C s h m 8 n B b n e i Z M 7 A 6 b P D 6 i r J Z o b L 7 Y L Z Y o b F Z l a C z P u V i g Z p U 8 k 0 r C U 7 k r G 0 3 N M E c s / f 7 5 O y x J B c K 8 D h L 8 H b 7 Y G r x w 6 H 2 7 E r g u V S O c T k G a m a z A 6 L K l P B Y c W 7 S 3 a k T B a U 5 N o m k 1 m e f 3 t j p G E T D S 1 K F V J U p S 3 y o p l S 0 o h 1 A n 5 H H k f 9 a 9 j Y 2 M C b b 5 3 F / f f f A 7 f b j U A g s P n c q a w J T p u 8 n 4 8 I t X d g B T 8 8 l S n / t Y W s E M h e N t F o 3 i z H z R j 2 F U V 7 Z G F O u x H f C M P h l R Z Q f k s l E / C N O G F z 2 q 4 T W m q r d D S D j c W I M M G C d D I F l 8 8 h 5 L D B I Q S z y 2 Z R Z J F P I U w r A p / P 5 9 X 1 s x k h u d 1 u a E T R Y h r q N y l r Z C W J 2 F o C x Y x o 1 l w O r m 4 H v A M 2 e H v c c L g c 5 a P r g 9 c J T 8 d Q z A O O H j E v H W a 5 r p A 6 W 4 Q o S W k Y R K t K J c R z Q p j B 7 s 0 y s O 5 c d q m c Z E Y d I 0 Y d b P K b 1 W 6 G X T S q h r Q N S I i g z 2 z Y E E 2 Z k M 6 3 T j C 3 3 O e B y Y w y y Z P J J F J i / j 3 / / A u 4 5 Z b j 6 O / v Q 1 e X N G 7 l u o 2 w 0 f u I U J 2 H V V r I 4 4 N 5 D P m u N 9 l 2 Q n g m g d W s G e 4 u B 4 Z 7 S k K E / f N f q l E Q x 0 M T i 4 J c S a h a o G Z L x z O I r S d E g + X g 8 T r R d 3 y r B a 9 G U e y t 6 F w a B V M O / l E 3 I u E w I p G o m F Q T 5 S M M x K N x m N L S I O Q c Y p L m Y b J K n R b N M J d o H u c U C U u F o r o e i h a E g j E c v H + 4 f P b 1 I M E i Y p 6 x Q d N g 8 b r d B T x 7 W V R w F d z 2 I u 6 f y M r 1 C + r d W K S N 8 w 9 7 E Y l G M D 1 z V f m a R 4 8 e Q X f 3 F q k + I l S H 0 O 8 t Y q I 7 r 0 w O n 5 h z r S K b k G Y 4 4 8 R z Q S t O i C k 4 L I 7 u j Q S D E y Q U W 2 S P x 7 M j o a o R n o / A U n L D O y r + G W 2 x C l C 7 Z d d F + F w F e P p c 6 j 6 x W A w + n 0 8 R W W s C n 9 c H p 8 u p h J X 3 J 7 l j y y L Y 4 j 9 6 e r d 8 m E q E l 6 N Y f D e M W x 4 f 3 0 5 m k f T V 9 0 K w i / a k W c l f i 3 R a S / J N G s F 0 V k x F a w n D E 2 7 R y r J P f g r N R s S c 9 C B X E k 0 s 5 r P N 4 h a f M o v g 2 g p i 1 i i 8 P g 9 G h o Z V 2 U v y 3 0 e E a h P 3 T W Q w F 7 Z g N W b d d G 5 p x z P i V q d R r g n l J 8 0 l 5 Q W L a e Y S U 6 f L C 5 / j 5 n g l F P R 0 O g 2 n 0 6 n M P m 6 t I B 0 T k y w i 5 3 n E p h O h z Y t v V h D f z m J 2 w D V o E T N W t I w Q i E R J i 3 n p d N Q 2 E x l p r K f p a i E e j m P x z Q Q C g 1 Z 0 j f m R z 4 p P G S N B D D O 2 e 8 o P s 8 0 4 V j 9 T U b R c O p x R g Z t c Q q w M q w 0 W q w W p d A w 9 U 1 0 G w c r I J r J I r K c Q E 9 I / 8 / z T + O R D n 4 T L 5 l b X + I h Q L e B Q b w 5 X 1 o 0 3 8 e i h t N j y 6 q u Y E c C Z O c N k I N G a J Q T N p H z E h k x W W r p B d 3 n v z Q M K O z U V B b 7 a j 2 o W q Y 2 0 C G o O Z r t o G b u c b y 3 C F W A w x B B Q k j a R S I i v m E K f + C Q a 7 R C 4 E j Q / r X m 3 + J h r K i L q G 3 X B 5 i q z q A O g B g 2 F Y 3 j 2 2 V / g 0 5 9 6 X M y + b k X 6 j w h V A b O p J H b 2 9 S 0 h w 6 F 3 j m Z w b s W O w 3 1 Z F S I 9 t + J Q Z t 0 p M c 3 o t B J J M R f i G Q t 6 P W y B 1 a 4 d s X E l o p z v 3 q O B 8 p 6 b D x T 4 q + I v T E 5 N t k W o n a A 1 l E Y w G B R n v 1 9 9 3 8 3 9 e M 3 k Q g G u I S E m Y + Q d x k / e S u D S 2 T O i n U 5 g p E 9 M W 6 9 X 7 e / 8 n W 5 y 6 O h a L d Q y K y L i E L + z 5 M D x g S z e W H S i 1 2 2 c H 5 P 9 L 1 5 z I J E x z n F L C z z g a 5 5 M Y d r m N r n e T U Q m a i O 9 V a K 3 t 0 d 9 V g p + p 0 B z T h O H 1 2 c o m t g t e a n 9 S 6 X i n p C J Z j A b 0 G R o H r G c U / y 8 L e v i Q 6 m h X L Y i U r m t i i Y l d q o E r 7 2 I e H b 7 y z k 1 n M W g E K k V 0 C k v x m y w 9 4 g p Z b u x b V o t A l U j H o + r F r h V X 6 Z Z 6 D J E o 1 G V i c B 7 7 D Z D g / 5 M f D 4 L / 8 T 2 6 F 2 r o J Z m o I S f 4 v J i P m z F q 6 + f R c / w Y T j 9 X f C 4 f O h 2 F 3 H r c P 7 D o a E G v N e H r 5 s h 0 2 R P H j 2 u r f M 0 m e i b 8 r c j / U Z E r 8 / b G p n Y c l q L Y h 6 4 s v t K J g p D r U 0 L 8 + r q K h L x h G E q J Z L K r 1 l e W l L n W s y d N / U q w X v S 9 G O k T B O 2 2 h R s H a Y d G 4 q d w P u H Q i H M r 8 T w k 5 e v 4 f / 7 z s / w 3 b 9 / C 6 + + 8 Q 5 y m Y T 4 Z B 6 4 n F 4 l P 7 e N 5 t T n R z 5 U F c a 7 8 / C J N m J + F r E Q s a j W x y G m Y q 5 o g t O 6 V V 3 L M R O G f K 1 V 3 / L Z d V g d Z v Q d 6 S 7 v 2 X t s k m Z l B Q F x n i 3 i 7 L P X v 6 e n B 0 E h 0 t D w c F 3 N U 6 J Q y m 9 a a + y l h g p t h N D d c 3 2 9 t G v 6 s V 8 q M p t C 9 0 F P e U / r C I c j i M S S + N n T z + G h B + 7 B x d i A + N i i O a U K r O J v w + K A 0 + k 2 O v A P Z t U 5 H x F K Q 1 q j Y r G A s a 4 8 j g + K 7 b 2 L C F M 9 s K 8 p v V Y U M 2 R 7 e F i 3 x h R Y / b 2 y h W V 5 2 h X m S k I N D A 4 q 0 4 q h c A o r t Z T d b l d k 4 X 2 5 6 X v x e 2 U Z d m u G 1 Q P v Q 4 0 U j U T g k H J F R J C 5 b 3 B o s G 1 C h W a j M I n w d 0 2 0 R y i a e O F o G j / 4 u 3 / A r 3 / + M T j s N r g 8 X m l g r d K I F r E U N e N y c K t s N P t P j e Q + I h S D F P d N Z P H u k g n Z T B 5 3 j u e U 4 O z W K a 6 F 2 G o C 2 U g O v U e 6 1 N 8 U V i 3 E 9 a D 7 g Y j d l E m b d 7 l c D g 6 H w / i e z c H K 1 K Q y U S p / 1 + T V R N s L z V Q J X T 6 C h I 4 J 6 X 1 t + l P p S A a 5 q A m e U Z t c q 7 1 y h 8 N h v P D q u z h 2 + A D 6 u v 2 b w R K i K J Y K t R S j w s x m Z w Y G + y C J D 4 U P V Q m / o 4 j T B 9 h X V M Q d Y v c + c i g D h 5 h x t w 1 n c f e B w u b L Y 4 v Z a b B v v p g 3 W n 1 e n 5 9 L i 4 u q N Y x I 6 0 y f h V n h 3 J c R I v F 3 q 5 S H 5 t l u Q T J S U E l Q g t / t 0 u r m s o a p M j c 3 K w J i C B 8 J x H 4 W f l L Q W V Y t 8 I 3 I v x u w f L o h I 4 m 8 5 a w J l l e X o V l Y H R a k Y o m 2 y U S w D K F Q D A G v m H T l B k 3 D b G Y i r l E P T M T V Z C I + 0 I S q F S I f 7 S r A 7 z S 0 U p + H i Z U G l J k j L 4 A p M E s i 2 B Q c v s R O C p D F b l Y Z E V o w Y 7 G o m D V D m 5 n L 9 G U S y Y Q y y 2 j 6 K A G z 2 V Q C 5 m 6 h B Z I + E 2 E 8 r 1 n I n F K E 9 n p 8 l C K l n X R w Y n U 1 q I I T r I + V 5 e X N h m C v S M X n Z b k 0 s f j J b X l 5 R d 2 z 2 f t a n V b Y b D s n 5 9 Y D 7 8 P n z K W j 6 m + W q V l 8 o A n F I E I 1 r O Y t n 6 A S S s B E o B h p C v g D S k P o i u 0 U L H Z m f h s a c G 5 2 V o j k U f e s F B 6 G j f V 3 j V B Z Q + 2 m L H w W N h a H j x x R f 2 v B 7 e n t U Y T W w Q B D O 3 j V e J + B g X 6 V x z c k p O / r 7 0 c 8 F k d S C E Z i 7 T V Y D p a P d d P d 1 X p f X S 7 D p N b 2 i L 8 e T i E c z y K W Z 8 q V v B 9 p B J v F B 5 p Q b N D k v V w H d t L S 5 q 0 F L c R u j 1 t p i I X 5 e f W 3 N n c o 0 P x s V 6 C s T k b J j C o f G x / f F B i C A q T J x U 0 L F J H L G V n f 3 C p 9 j W b B c 3 i u b m k r 7 6 n v p z d d J r 1 p 4 n E j 0 d g n x W v t N X g P 3 Y D M L y y o z 1 b u a / O a k A g 2 H v F c C 6 q e S m m 8 + P x z u P u + R w 1 / s g X T 8 Q N N K K J W 5 k K u Q U O v h Y f C N j o 2 p v w Z g k J M 0 4 i f d N y 1 X d / K S 0 5 H 0 s p n 4 b l M s S G a O X 9 o e E j 5 W D y W J l s 7 p F 4 W k 4 3 a h s / V C r T m J l h u a q q 9 B u t V N V 6 y r Y i 5 1 9 e 3 l e P X L M x W C w r p 1 j V 6 T L T w Q j A J s 2 8 U x 4 Z K S n u 3 g g 8 8 o c T H 3 w Z G Z u q B w s N N k 2 p 4 Z E Q F B f h y 6 Z x S k N P i s K + v r S E r 5 N A v v x n k Y i U 4 u w w f i m H Y Z q C 1 h B 7 I R o F m w I D X a E T G a F p a 6 O x W 5 6 Z d f D G C z 9 U K e A 8 t 3 B v r 6 6 o s W t P t B X g v 3 n N h Y V H 5 e A y d e 8 p 5 c p r Y z a A o y s n V v z X Y s B n w v v l 8 D q + / 9 i o + f v q I + J X u l u 5 J f O A J R V Q H J 6 K Z 5 h 5 b C x 8 7 Q C 0 V 5 g 8 j U L 3 S a v K F k 1 S 1 B J u C w R Z d b 5 l U B o U s 4 O i y G f 0 + V k P A m 3 l h v K 8 2 w X g 8 r 0 c t W X k P L Y g a D L y 8 t W B H K m M Q y i 3 a y R C Y v P q 7 W W h C b o R C K l h C 7 C W h C N 7 T J y T i s 7 K + O R q X 3 5 s V 7 n w 6 D 1 f A C 7 u n d U I R + U J O G i C L e k + t 4 o Y S S m d q 7 z U q 5 d 1 l K y H T w l B o L c h 8 s Z U b w X 6 c e p X O l 7 O 8 t K w E n b 5 Y c D m I e D a M 2 d l r K j R O 5 7 4 d U K g Y O K H Q c b s 6 M 6 N I r Q l W S a r 7 D i T h E N 7 m 5 T e X 0 6 U 6 T I n K Y 3 Y C j 6 W p q 8 0 u 1 s V e g 4 S l H 1 u J V k j M Y f H R Y L j 8 V / N g / W X l n b o d W z 5 m q 7 h h h L K I 1 n h w M o P H D q U x 7 G + t 1 W w V j P Y x u Z V k O j 2 e V i N r O w H 2 4 + g W v 7 L l 5 4 s h G D k j + e i L O X N + d A 8 F M D E 5 q Q a u s b V v 5 4 X x e h R q P e h v c m o K N j H n a J J V Q 5 F B i G u W c x a X F u E q C 2 m z 9 9 X E 4 / U 1 t E b c K + i y r a y s q E / W Z S Y j 2 r 3 G 8 9 V D + G p U f K j y H y 2 A D R O f z d t 3 s O 2 G 4 4 Y R K u A w T A m R L Z w c y i s T Z S / B g X 8 P T W X E f G h d i G t B a y o K N S N f h B Z A f v L l 0 O c w d o h Q 2 h 1 w e Y 1 0 H 7 1 p T d c O N L F 4 f w q h n h G o m i w p E U Y e M y K + o K O c Y t Q s 9 L V 4 H 2 q 5 x c V F 9 a w k 7 1 6 R S t 9 T Z y a w + 0 I 1 G K K N m 7 l n d D k G u 9 u F v q O t 9 9 3 x + h e u L G B q i I 1 V e + / m h h G q v y q p t D w N Y c u w W 0 t 4 9 F B K z c P Q C P n i 3 j z q / N z 8 5 u A y t q L 6 p f O T A Q 2 C i Z r s z + B c C H s F Z o s T v G + l 4 P V 0 d y t C E 4 p 4 V Y T b C S Q j N 3 Y w k 5 R 8 V p K 3 W Q F v F 5 y w h f X J 7 g u W e b 3 c O P G + b L B 0 4 1 W J X D o H S 8 G F r s n W R z / n 5 X I b Y o X P L k f g 9 P U p 6 4 P Q p j W 3 Q v m z E f a V U B z 9 y u 1 o f w 7 j g e t f R o v v W Y E p H 4 9 M c S i 6 C S P + A j 4 m 5 i N N O 6 Y W P X 4 k v R k y P 9 S b V y k i n Y R + o a N j o + I j L a j I G 0 0 T h s P 5 G 0 0 y C g J b d 7 u L f l Z J W v b G L 6 M d U N i J 0 d F R p T 3 Y o h P a R K L Q Z 3 N Z V Z Z 2 N C K v r 7 V h p U Z M J 4 3 7 7 B W p B g Y H 1 H 3 1 8 / X 1 9 h q p W f J c e q t u P J L L 0 q g 6 Z R N Z q v y 9 m a 2 Y y y O c F H N x I 4 h u 4 S P P T 4 j v m J L 6 T M q 7 5 S f f s f q U j c S q F Z D a V 0 I x S e C e A 1 k c 6 N 5 u D 5 8 a z s n + v B p v 1 C w 4 Q W Q o t f U I v P 7 9 k 1 l l P v I 6 H K J O M F e v + r q 5 N n v R N V i h J F C x W F K k Y m Y B O w E 5 f H t j b U 0 J g h Y G I i 9 C n Y k Z e X O d h h Z 0 B i v Y o j P M z x f N F 8 4 Q P w M n r W q m e t C E c n v d m L 0 6 q / Z R I D s F L a D a X O b 9 + H x G C H 1 I 1 X l O 7 k e N x e + E I l i + g F Q 0 J S c Y u Z K 8 D o M p L F s k l k J c D g 0 K Y 2 b X M p h e y e L c 1 Q j O L 5 a w u L y K Z N a k U r 7 6 n U k 1 + D S T z i A v 1 1 x f 3 1 C N l E 7 F 4 r V W V l Z V v W p i K Z L J p s u 9 L 9 n m H E v E u R a I n U w z g g 0 5 h 5 6 v x i 2 Y D z d u V T l 4 8 L a R 7 d f k 0 P S i N F W c q Z W y R A 1 2 l I M C y 5 r q Z x e d K k H 2 p B D Z 2 2 K 0 k R X L + k u l k q r j T w s Z K 1 V v B A V B I z Q T h 6 v b B m d X + z l m z c A o W w l r w T X 0 D x i d s C w f t 0 6 C Q s z 7 z E z P Y O r g l N I m u y E t S a D N K R K B D R S v V 1 m H m i i 6 f v l J g c 8 F m U T s E J n J I W 7 a Q M I 6 h j j 7 4 M y s a 3 l u T t z B K A U / m a n C 8 1 V Z u f F a c m w u g W T w C o L X 3 s L j j 9 y r T F y m X v E I B n U I j i P L i i + Z y W Q R C o f R F f A j J q Y p + 8 r U 7 6 y D / R q + c d d Y F l 0 u 8 S V a r P O k N O p r C Q s u B r c i T Z V g v T w 0 m R a B M e G l a w 7 c N Z p G U I 6 f K c 9 O V J l m x F s P i 6 l J c 5 O z F D H z n H 2 8 p 8 e b 1 x z 6 x c / P z a n 0 o W a F N T Q d g 6 v X D m d g 7 w n F F l O b n L s V 9 E b Q 5 O U n A w e V w l 8 P m h S 6 E e K 5 G i T p 4 s K i 6 r x 2 u Y z k 4 H p l 5 7 G p c B q J 5 Q w W o 2 s I O 4 a Q c z E f c e t 4 N X 1 z + X y h o f r U E G + y / I 3 X y g s x N h B b W 0 C P a R 7 3 3 H E S 3 b 0 9 q j O 8 + p l Y f m o m g t c 2 s u E L y I p W 6 + 3 r 2 X t C k U B 3 i c B S r Q 7 7 8 n U r q B G o r c 7 M N t / J x j v U e y i P a C N m E N A M 5 H z i 7 Y B C E A y u o r e 3 T w l G M 4 I U n R f T y 2 + G 0 9 8 5 Q m k t Q W h i 6 3 1 6 R G 4 z Z W s X u n F h O l T / g O H z 1 H u / L B P L V g t s A J j N z i 4 A D V 6 H 1 6 u G v s 7 q 2 Q 0 U f A V c i v U i 7 9 B B C J P R u L U g Y x x U m o i F k Y q v Y / H C q / i n v 3 Y / A g G f M p 9 3 A s t C / 4 r p Z C R Z F + c 6 b 5 V Q L O q 9 4 g d x c k e u J B G t 8 G E O 9 O T B Q B Y 1 0 f l V G 9 b j Z m V S d c v f u 0 F M z L d X 5 z g V b 3 l H i z g 6 k I f L W j 5 Z H q C / b H 6 2 C y 2 0 t O H p N 2 l h b o S N y 1 F 4 h p x w V M y 9 3 S 6 0 U P F z V W x 6 m n a 8 / 2 Z r L P t p 5 9 N 3 2 k t C E W x c 4 p E 4 v A F j E h f e W 2 + E J o Y u L 4 e C s J O Y J I q K u T Q y O n J d 3 T U i J c H 7 b c y H E F p N 4 p r v k N q 3 0 0 I C 9 c D w f y I e R j I S x N L 0 G z h 0 5 6 f w x C 0 m + M Q / b A V 8 F m J 1 J d g 6 o b j m z v H + H D y O 7 Y 7 + X o K d s 7 + c d s A p x K g 1 + 1 A j P D I l g m 9 r 6 T F 3 B F 8 s 1 T 2 F l g L R S H A p W 7 F r a b i H r G q s z m 7 B e 1 M 4 m U 9 I 8 4 j f F x c W R D h H l T C y t e Q s r P y + H 4 T i / S t J Q K 3 F c V S M a g a 6 A q o M P I 4 T n n B C y G o 0 0 y A R v E a G s 7 a u 5 v F W t g s l n t f C 0 I p K a M 2 U i K w h O H s W k 6 c e g 8 3 u x H 2 H b G p a 7 V b B x p W N R s u 0 5 m T r L 8 8 6 8 P Q l J 6 5 u N A 4 Y d B I 2 c w k P T a V b J h N x N d R 5 o a I A 0 U + h I O 8 E N d G J w O L o X H 1 x i H Z P b 6 / 6 z r I w G 4 N m H l + s J l M t k 2 k v o A c t E i Q N C U W T S f f l k A h E w G d 0 1 m o C 6 Y a o G T I p 8 7 J Q Q m Q u i f M J t 5 C J y 9 7 s k k y h F a z P v 6 f I 5 H C 4 4 H R 5 8 N a i v e l 1 o y q h I 6 m t S 2 c F L q / Z 1 P z e 6 Z w J S 1 G L i q g 9 J 1 q E Z G M U 7 Y W r n L u g f H A H 0 O 5 i F B v J z q t S L Q Q M 5 R L a x K m F d D g r 9 d C e / 1 g L v A 6 z z 1 k G f t d C 2 S s E 0 y Y o 9 3 X q f v V A I S c y Y l 7 S x G T n M j M c t F Z 0 u l y Y n T V C 6 6 y f W C K m v r N 8 e m s W P D 9 4 e Q N L M R O y T k 7 l 3 J 4 w l O Q 9 k E y x 9 S W E l m d w 4 O T D c D j d s M u m 8 a L I b a t g X X P b F a G I C + I r P T / j w L v L N r W Q G B N P d W S N g Y i z s r + T O D 6 4 c 9 i 9 G g n R a t M d 1 q Z a W I O r x r g m q v t 6 S E e z s P o 6 d 3 9 9 b y b E a m g S c d s P z U Q B V w G J Y B D j 4 + M o m p 0 Y G B j Y J I o m N H / L Z t i g i P l H p 7 1 c 9 l Y R W 0 i g B B f W A 6 2 P j d J g N C 8 e i y C 6 N o / w y g z G b r l f y O S B X b R T J S j D l y p m N G o W q j E r f 9 8 z s C + p E 9 5 L r q z p h l t c c 0 l j W r Q p N W m n o D U S n e r p K 1 f U 9 3 q k s p r t c P d 0 J r q n T B / Z u J 4 S h b O R Z t w L 8 N 4 0 4 f S z M p J I c B 2 A s 6 s u R S S t e T S 5 H U 6 H + m y X 7 J w c l M v I g A s q l B q P A 6 u H Q j 6 H Z F z I t L 6 I 0 N I 0 x k 8 8 K E Q S z e S o P b P s o l h c r Y L v Y 8 8 J R Z x f a U 1 L s b o 4 5 S 0 1 H T X c W t y k F s T 6 h Z i T 3 N 8 u u P x m p 6 B f K g M T 2 p e p B d r 9 n N u A 6 x F 1 A r q F d 4 g g W M S P a L f F b w c k E Q k V j 8 X U d + Y x 0 m f j P j O K u K N G B z v J p c n U L j g E P R G N I b s S g a n A P q D W n l m R K R F F b G 0 R 4 e V p T J x 6 V G k l h 5 i O 9 c A s n H b a q n 0 h F M P m l R 2 s 9 R C M m / H s F Y f K j q A 2 e f a y A 8 v S U r y 5 a L T u W V H F v 5 x p b 6 5 q R i S 5 J C R X G u 8 E K E Q k F Q V G z 0 q k W + Z K Z B M Z c O W 9 T k E T m U N A W p n r Y L c g g X j v t b U 1 N c C S J B k b H 9 v M F K n 1 7 J 1 E Y M I N j 8 W B k o 2 J y M 1 L O s 0 8 k i m 6 t i D a a X 7 T Z + K 2 I 9 q o 3 n 0 h F G 3 S n c r G m T j f W b S p v q a x Q E E J v + p 3 o g B 1 Y O v 1 F D D k y 2 + b 5 7 x d q I x r K S C J R V C g a m m L A t O Y O + j S U K i p F Z l D K D d s y 4 R q B 7 w v E 2 + 1 i c f n 5 b 2 1 9 t l r Q n E V D b N Z S J 1 L K j r p h m U n p J N x I d M c U t E g R o + d h t P l 3 e Y z 1 U M 7 z d W + E I p 5 q I 0 s E x L u 3 S U b f E 5 j B c D l m B n r i c 4 J C q f J P d y X V 6 s j O M X 6 Z K b E 5 T U L p t e t 6 j t f z b I Q e i P Z f H U w F E 4 t s b 5 W H v N U B 3 a H F U X t A L a I m k I j F c l w / f L S I g 8 o 7 9 w b a H 9 J h 7 3 j i e Q m k X Q D s l 8 m Z 3 Q 2 R f s Z 9 0 0 W Y U s t S N m Y c W 7 0 g d U D f + N x 6 / M X M T B 1 m 9 S b R 4 1 L a x b N W F X V 2 B d C c f m P R q B w E 5 G U C a / P 2 x W 5 F s K d K 5 r b U V I 2 8 R v z N j x z y Y E X Z + y 4 K m S a l v v y + 8 8 v O H B W 7 r k W 3 5 n E r G P t l L M v i E E J o l 4 L r T R J B Z 9 4 f r U Q K K G V 6 2 m z S u / j 3 / y s P J 7 f G d 0 7 M D H R u J X q A E g o J q p y P j 7 C 7 X a p f S z X f i I y G 5 M H N 8 E x I p q w l M W D J 7 o w B C M Q R M J U 1 2 c 1 8 j k u 0 2 q G 1 d 6 a D 7 3 D Z W t i X w h F U y t f s f J 2 J S h v S 5 E t Q e Z s P Z 3 G j B D n 1 V m b a D 3 z t v Q l 9 m 3 p b a R r Z 1 + H 6 S o U K E 7 r x c F 2 n H h f 7 a 9 T + 1 y y x q o H q 8 k x h T J R O F i N U N 9 l 4 3 W 1 s G o S s V + H 5 p 3 6 v X w 8 k R I h 1 5 q B 1 + G x O w l V q + A 9 e U 2 W l / P x n X v 3 X N N p V p 1 E N p 2 F 1 e K E d 9 y u 7 s / J Z n K 5 L I 5 O D u K B w T B M R Q Z F S P D t z 8 8 6 4 s j b w M A B I V V a T N b W 5 v F o p 0 b 3 R 0 N F R B v U 6 Q f i c j H 7 C a u l p A Y e 6 o 2 J u x 8 7 n F F b U 8 M 4 5 C X R 5 F E z I Z X 9 F y X Q F Q J f i Z L s Z t i 3 k j Q c K M f j N X G Y X c C X z 3 E + 7 N e J h E O q f 4 v 9 O h S i + X m a O M b 1 S S N O o s 8 J V 3 g 9 X o f X 1 k T U 2 2 6 g C c q N 9 y J O n D y x S a b 9 J F R y K Y N 0 J q Y C M L r f j U M 7 b D Y r 3 H 4 n T o / K b y L 6 f P 5 a o I n X P 3 4 C q z N v q m H 8 r a C d p n 1 f a m Y 8 U E C v u 7 b A X V h p P 5 z a D r h I G h c I + P g R Y 2 t 1 x X W O i e G U Y t p / Y J T L a A l r V y V 3 U 0 N R O D k o j p + c w 5 x 9 V x Q C z l r E D A e e z + E C H K A Y 6 O p W I 1 Y Z + O C 1 O V q V I F E 0 M Z 0 u p x I w X o 9 T L P O T i b J M 1 N Q D 6 9 o l F u / B z A e G x A n d f 7 Q f w Y d K 8 J m s N i d 6 J r v V f a m Z u Y 9 1 o s t C K + H 0 K J e u Y Y B o O 6 k Y g G A 9 p h N G H R X z z Z P q p t V Q H F X L Y R O V k G d T 2 e r 7 C a 7 f c 9 d 4 T k U Q d w O e z Z d D w d V a S p t r l a Y Z Y R I 1 S F O P y a L M b 9 P H c 7 g D B Y N D F i g Y W m D 5 q T e 9 G k Y y a Z g q J B C v Q z O P g Q m m 9 j A F R y + j S R K y 9 e Z G 0 r U C l p 0 b S c h n 4 1 p N v I 4 m E K + / 3 0 i s p R D f E L K I d u L 9 u 8 U q I N F Z P o J l 4 3 6 v 2 4 E J x 6 x B m B q k Y h 3 1 j d + C V J y 5 j k Z m e D M o 3 6 Y l 7 I t E c / j F 8 9 N 2 v H L N j r c X b H j + i h 0 / v + j A m / O 7 T 0 u i C d f M q + Y U Y o z 2 k d i t j t C t B b 5 I a q f Z q 1 f L L 7 J o z A g k n 5 u a R P a X T E W k I j H k 4 w W V Q K k J p c l F b a f 3 E b y u 3 j T Y w n K + O F 5 T D X M v + z J K W 3 K T 8 0 l G b g T L Q y G q v E Y 9 8 F h N I l 4 / L O Y n f T f d W a 0 J d S O Q X B M z f M j o d 2 T 5 m M K k A y S 6 4 e K z 8 z k P T Q z B n 5 1 W x 3 G r B F c Z 9 P W O Y u G 9 l + R Z m 9 d Q 1 f 5 2 M 9 j X 2 m L A Y T U u 6 n e X G o L g F W 4 V j f P Y Y c M H G h G z s h E Y 5 e s k N A k m D x 5 E Q o h E s E X n 0 P O g m F 5 8 q d Q S 9 I t 8 B 1 0 i H Y a w 8 + V r 4 V f C o P Y 2 B o m 7 L r 4 V t R K J w v N q C b o W p G t C c m I n M m i t y v O o + Q L d f Z g 6 f B y u H i + 8 v s A N I Z P W k r l M H p 6 A H + 5 e 1 + Z z 5 Q t 5 9 P Z t Z d g T D D o 4 A j 7 8 1 d X v w j l l J N 9 W E 8 p i N T L B c 9 n y B D Z N k q q Z B q k a l l / / 0 p f / u P z 9 f Q V G 5 d i v R P C 9 c w z L Z C + F A w h X D H r U Y D R x q r d z G d 8 E B Y 7 X 0 6 n 7 3 A p i c t g 4 R s r E i K I I h 5 h p N M 0 S w R Q K q T x c X c 1 n e v B 6 F A 4 S y O c 3 F n S m R q o H p R 3 l f j S N 1 L F l 0 l e C w s r j u P H a F O C N d T G F n D k s h u e x H F 5 E O B q C v b A 1 y 9 F + Q J O b o C k N e b X 5 R A F W n 1 E H / J 3 a k / O c s 1 x 8 P s L r 7 8 F n v v k p v L 3 6 D g 5 2 T 8 G V G E T R Y k w C W g k V r e w Z R j y 0 D B s 7 d + 0 7 v w f K F C 2 b V r A / t S X o d J a M X k G u E r z H 4 X 5 2 / t V u g d L 5 z j + u F l y + d E 7 g Q X O M j j I D E Z x n w S X a h b / 3 H e G w B r e a o 6 8 V 8 F z e g w J S i y A a W t N w c K E W J v 5 d u Z F M B I M N j D R y m Z y + g W H Y e h 1 I 5 1 K b 1 3 e 6 n R g a P a C + 8 7 x O Q J e h F j T J U 8 m U f C 8 Y P q B Z i B 5 Z V d q W v 3 M G 3 O r Z d n / 3 u f 8 J j / 3 F o y i U C r I f + H / f + H 9 w c E g / + / X 1 7 H R 7 4 H D 7 l d m n o q N N P N d r b e R + 7 h u h T o 7 k 8 c B U 4 z k c T o n G C T h L G B X z j c v U 1 y I h Z 5 m 9 X w j z y K H 6 E 6 t w v o h a S O 3 N L F 6 b Y B B B v y g u 5 a l N O 0 U 6 U a n Z d A J r l 1 q f c 5 u C 3 k h T a G E N h y L o 7 x 8 W w h j T h 5 F k l R u F l i b S y N g k p o 4 d w 2 J 6 E W 9 d e w 3 R V E T d g 8 c Q e b U e l S G Q 3 E e B 1 k L f D l g 2 X Y b K a + l y E y Q S I 5 d W 5 i i y A c m L V n Z 1 b 0 4 1 / a c X / z e s I n x d P f g c v v K 3 L b y b e 0 5 1 J V S X V c 8 E 6 / R 0 q X t y W r d m 8 M 5 S a 3 7 + v h C K o 2 0 H v Q V w M Q T O R 1 E L A 7 4 C B v 0 F 3 D u R x S 1 C m g F R t x 8 / m s E p I a K 1 o p R d n i K 8 5 W m c 6 8 F a Z 1 L L j W T 9 F n 6 3 Y H C B 5 A m H D M L U 6 u h 1 i r l n 6 8 A Q + G r o V t v m d + J C 8 B y W s 8 v i B / l h d t t V 0 I T Z G q l U B i a z F X P x e b w + / T L e W z i r h J O b P l 9 / H u o 7 j J n L F x U B G J I n G I 6 n k J I M m g T N Q h 8 / M z O j 1 l 9 i Z 7 g m G D d e N 5 N J b 9 6 L Z S r m x N S 1 G d q f f u M b y 6 / j f / z b L + H P z / 5 f e D t 2 H h e S 0 / i T j / + J O r 4 S / / G 1 / 4 g H b j F I U F 1 O i 8 W K 8 Z O P I j h 7 D t m y P 7 U T V m I W x F p I N t h z Q j n F B h 0 S o m g E X C V 0 l / u k T g h x S A 6 + R 2 q e a v A x B o V o D D r o c 1 6 4 Y l e D v x p F Y H g 9 + l j V 4 E J r r O M W 5 a E p s K w U S M 7 R p o Y 0 i K B U g 6 1 + I d v 5 m 2 v y 9 n c N b L b M s 2 s z m F m 5 j F K v G X O J O a z m V z A b u y r 1 l l d C y k 0 T S E O T K 2 P K Y m T y A P J 2 0 S A u M R E t e Q w N j y k / l K F 7 k q B Z s D z c 1 s o D E R n A 8 Y g Z z E + S l N n r J C k X g 2 N I X C O f L s A s h D L K a P Q 9 c f v Z z E / x b 5 / 5 C n 7 / 5 7 + H H 1 3 + k X F w G f p 5 M i Z j o Q G e V w m X x w e 7 0 4 m N x Y v y f p p v G N 5 Y a N 7 0 6 9 g 0 Y p x I k t q 4 3 1 N Q Q Q G a b f m S s e p F N Z g s m 8 u b F N k I D q m o N Z t s N d 5 a s K k h H g T r 7 v Z R L j x d u / h r c t y b c r w G O 3 Q f P Z z F C z M 2 M T 2 z 1 2 m 9 T o E v i M I 2 N z e n h K d a a J k x E V + Q R m R U z M A O O p U U S C 4 + z Z D 6 6 9 O v o 6 u n S 9 1 7 N 9 D C V i 1 0 t w y d F D I Y 6 V Z 8 t p 3 u o + u E n d r s w N b g u f y N l 6 + o o k 2 t u X E 5 B n e / M Y + h J 9 C N x / / i s f I R j c F r P j 7 1 B E 7 a / p W 6 R / W k / 7 H I O h Y v n s H g w T v g 9 v i v G / r e C A + L u 6 L l t R E 6 J l a 3 D O V w f C C n Z o g 9 1 M e s b v b 3 1 F Y j F O 7 K w j V D J u J 2 8 a s e O i j a S k j E F / G 2 t B z 8 1 B A z f D M X k O W o F F m S m H 1 h z G z v 0 F i / b V D k k W 1 Q n G d m Q m t t o U E S Z U T w U 5 H m z I 1 m o L V T 3 J z A X G x O k a k T Z O W z G A K 5 l W 6 k y A H O a J R U Y f Z q s l V D k 4 l g q h a J T 2 g N a f i Y F q T y N i R y N v S K / + f 1 G h O 5 2 J 0 u u P y y e f 3 4 5 D c + o f Y 1 i 2 d m f o 6 A o 3 b g g S N 0 B w / e h p X p N 0 X b N j 8 v 4 8 U m h 8 S 3 L V o U y n v G j Q L x / c 1 3 a O D e T n C J 0 r l L N B P v S R P k y r o 4 0 y K 3 z 1 x 0 q E l i z s g W T Z n w 1 q J t W + q I X l u X 2 e W c q r k V U D A o E G q T 7 7 V 8 J I J C a K y n t B W g q I R n 0 I H w V a P f a j d g t g T L Q t O y p 2 8 I G 9 F 1 e b 6 c E l S G 7 P c K F 5 b O Y b 2 0 j v E J Y 0 6 8 e m B 9 c V P m r 5 S V 9 U I i 6 t 8 0 u J / D d r j 9 6 j e / g E 9 / 5 7 O w e T 3 4 d u x b + J U f / i M 8 8 c 1 P q O 6 H V i D N L Y 4 f r B 3 p Z S q S x e p Q 8 0 p o c 7 Q Z c P b i Z t B 2 z V t N R i V I f S j B T k r L z 0 l Z 9 g O 8 J w M d B I d h c E g G N V A q J 0 I s + 9 4 W M t H k a 4 R X Z u 2 K Y C 9 f 2 0 6 8 S v A 3 n d F d E O a u r g a N K J I I h S a Y / p 1 g D V B I m K N X C 3 a 3 F b 5 e o x V u B x Q A 3 p N l 4 K T 2 X b 0 D O H P p B R V q 5 n 3 3 E o q s Z U 1 F A h M s C 7 F Z L v l N f z J T v n d g G E k n i W 7 D y 6 n X 8 A c v f x U v h l / D v 3 r u 9 + A Q E 1 V P U M k G M l U I i Q W R U / 1 K f 3 3 + u y h t d 6 t 3 h K 6 D / / 3 M n 6 p P / V 4 0 O I y D z 9 A z e g T 5 T E p F X p s B Z X y x i U T u m j 7 U A 5 M Z N d i O Z V u M W L c N q a C / d G w w p 9 j 4 8 0 t G B 9 k J + X u n b I V O g v M D c m 2 o 9 1 Y s 2 w Y j c k G A R g t T a 9 D 0 v P u A s V p H L X C v H m 7 B F 8 W 0 F 3 / A r 1 4 S 5 1 V Q + X l + s c N t d t j s N n U M f + M 4 K T U s X v 5 m + L w S i T U x l 5 Y y G D i 1 f c L H S s R F g 6 7 G z J j o K W y a q J v l k b d r d z u x F F 6 Q R k R a f X k O a q W 9 J p S G 1 j B T / Y d R T N e O 2 n I N 4 W 9 e + T a + d f a b 6 u / v / / o P 8 e R 3 P r / Z 4 F T i D x 7 6 C v 7 D y / 9 O T L + t P D v 6 m y S U 2 d 7 6 M / E d 2 M w e / O 4 t 3 0 G W 1 6 j y o 3 J C J M 4 Y O 3 / h F U z e + o j q H G 4 G t w 5 l M e R v r N E 2 C U W f h o E C t v R H + v O b y 2 Z S 6 7 x 4 z S G F V H / i T j G 3 M g V j P S b i p a s O N T H g f Z P Z T a 2 x H + C d d F V z / o l 3 V 6 w I t Z F s + + B U t u 5 a v 9 o k I E E Y h a I p p 4 S B x J H 9 G g w D M y B A 0 M T h C 6 X G U F n p a u 8 W 1 i / E 4 B 9 z w u Z p 3 L / B U c u 9 7 p K a l M Y t 7 4 a 3 p S Y k c W Z C M y i J h W A U Z f + I p M H n 0 6 a S 3 x l A r 6 N X t G U K J r s F G 6 v r s P u d + O e / + B f i F + n W n + X b q u O m y i u H c / o A C 1 e c b P H x W L 5 S y Y S v f f r n e P M q E 5 i r / Z + S W h z g 8 q s / x u G 7 P w O 3 t 0 u 9 q 0 b g W m T k A J d d 0 i v J 1 M I m o a h y G V R g q 9 9 X d c I z l 5 3 y M s W x d B f V K h o 3 A x g 6 p 8 n J s r L f i e + X Z h x b 9 l b A y F / 1 K v E a 3 E u N w K U w u X o f B a E y q q U F i 5 / z 8 / M Y G h p S 3 0 k 8 H l c t O F w f K r 1 R Q G C i 8 Z w G N F f 7 a k w H T F N q K b 6 C T N H I h u B 2 I 6 G f 3 2 q W d 9 H V j d / 8 w T 9 T 3 / P l S W l 2 S / R C T n w v E U w z T Y k W w b J 9 / d d + i F c v M g C y n S y J e A T h 5 R l Y 7 W 5 4 u w f g 8 d V f Q p S P w R I 8 e i i t L J 9 6 i Q P E 5 h u h j X h u x a Y m r q w E / R I d r S O h b h Y s R 8 w 4 t y R a S S w e T t n A G W u r 1 5 7 a K Q + L l d R o Z U P 9 G q m d + I J U z V a g k m B j Y 2 M q a m V 3 O A z N V E O Y E i t p m C y N z W L a 6 b X I p H F w 6 J C 6 9 m 6 F t R P Q z 0 8 C x c M R H A g c U N 9 b K R + r l b N Z 8 b M a J N N u V n 3 s 9 R g N l 3 p 3 V W A u n 6 9 v F A s X X p R G o f E 7 u W M 0 o + S E X S 2 N y E R s a + J I o E q f i U K p B Z O m 3 s 0 C l o U P x 3 6 o 1 8 s B h m j 6 + s f Z M a t d f m 7 U + O k X w f F G R K W Z V w m d Y s S N y a u 1 L p l P 5 9 E 1 1 A / P Y H 3 t x P F h 9 f x Q X Z a 5 c i b 5 z U A o D Z I q V 8 z i c 0 c + X 9 7 T H O h e E L S K + L W a O 9 R M 1 M L t k u q X M 6 + U v 2 0 H E 5 h p L r t 8 3 e q 9 1 k t F 4 k L n + Z x o u S a N g Z q H T Z c X K 9 M 4 W W 7 5 9 y u K V w / X N q z 4 x R X H 5 i I F J D / H V e l 8 0 / c q R v + S b L V a v U r w 9 3 r h c x 3 2 J S j M e s m S d l E U f y C X 5 G Q h 2 + 9 H 6 4 B z w z u a 6 O r w 9 T c O Z u w H d N 3 o T Z P 9 4 + O P q e e r 1 6 V Q C T 4 z h U 9 X B 1 0 O C i 1 X W S G Y S p j P y L X l w H Y n C Z 3 o H V a f 1 E D b t Z B o V 6 s N X c N H k I i s I p U 0 0 p 4 q c b C 3 o J T J S t K s O n a b Q c 2 S h l N G c E K D D 8 3 F y W 4 f u b H + E 8 v E z t v L V Z 1 s J F Y 1 i u K U N o P 3 V r d L s e p n k l Z r e X l Z r f X K 8 K + a 0 L H C f 2 o V v F 4 6 t p 2 U n I m J n c 1 M z + I S p f X A 8 6 k J F k K z S r P e C J A 4 m k B e l w 9 u m x c + l 1 / t I y 4 v z u J U / 2 3 K z y B h C D 5 R p Y I h 1 2 h N 8 J h a S p Y T d x d y 4 p t J K 8 m f m X 7 U K h i k Y l D i T 1 / + X 2 E r p T D Y R R O c Z W f E 1 g j p M w 3 M Z r P D E + j H 8 v Q b 6 j z d M B A B V 0 E I Z S i S s a o F 1 h t B E Y q 2 I R s B n Y 6 T l 4 e l J t C V Q r D F Z y t y o 3 B B B J / j U y r L 1 A i 6 E 3 c n M E 0 q W 2 H K q t Z V N o 5 a Z Z C B I 1 d d L i M 9 R Q 9 J b x a 8 F B s B C p T N 6 0 A 8 m 0 P 0 a h p 5 x n I F L C M j q m w F d 7 o y X 3 Z G z j e C H T X b w T 2 H F r h Q a A j v X O n B 2 U s O v H V 1 C L 2 u I 0 g m c z i b e h P v r L 4 t c r T V P 0 l b j r J F a 1 k T y 5 h l y r h W N R h n U f e R 8 7 n 8 T y u m L S 0 V 3 o O y S g J d 2 r g E e / d b u P V A D t + e + 2 2 M j L 0 L u x D U 0 F h C K D E p + w N c 3 4 t z f h Q 3 B y A S h Q q Z a C V 2 Y P r e S 9 H S 8 U H j p X L 2 V p o e G p y r u q 9 D M 6 2 2 A 0 b y x r o M t c v 5 8 7 j Y W z O d a 6 3 i Y F 9 e q X c N R t N U E q f X q z o e F 8 J W H O h p r l J p F r 8 g Z a 0 G X 8 8 d Y z k U F t b h c f v g H L F I X R v P 1 w x Y p u 6 + Q b w 5 c 0 b 5 F T f C h 6 I Q s n N 7 b m k Y O Y v h V 2 q c P u z E f / / U Z 6 Q B 2 b 2 8 M D v e R A t D E X P 7 c 5 K o t F T 4 E 7 n H 5 o j 0 t A i J K p O i d Q O g P 3 m t A c 8 w f v / 2 P 8 f s u g v / 5 P 4 A f u f v f h f / 9 d j v 4 O U 3 r q J 3 9 O h m n x S v / f j h t P p s B S r G d V 5 8 j 9 f F 9 K g k E 7 O 8 V x M t X q 3 D Y M W 9 M G 1 X S a 6 c 4 b W a T C x d J 0 o 4 F 7 K q F 0 I k M s Y 3 z j 2 g s p / l Z V j l t p V m S y M k a p i f B K 9 K 8 2 7 W O Q C b 0 4 H 5 5 U L T Z N K I x I y h I b q s + w 0 K p s / t R 9 5 S H j 1 s 4 T B + w 2 R + / c I a b u k 7 s S m 8 7 U K F y o V M v A 4 t p W p Q q 1 P I u d o H y c N P a i S n b N U j D F j G y o 0 N w m p i C f / L a 1 8 S M n X h R 2 e i + O 2 7 v 4 S J o X 5 E V u f U P X X 5 2 a f a z p N s 2 g 4 0 5 1 h 8 Z g 3 w R X M W 1 Z 1 6 h f c a y Y z R 8 t R L I + J v 1 Q / d j l n K l / Q P Y r 6 Q T G d m b Z h Z j q u p v N R y n 2 J i j Q Q 4 M K 9 8 8 A 5 g B k c j 0 M S 8 u h G D O 9 J 6 k G N 6 9 a L 6 V K l P Y q L o b T + g / S R j U N / 2 S s 5 b v J j o 2 l p 0 u l 1 w D n O C k b 0 C t V Q Z b F w 5 L w h J 0 / o r N s 7 Q / X a 3 9 d + O 7 7 0 U R j Z f w m t v + v C N / / x 3 G D t y 1 6 b m 7 3 U X V M y g H V n a f P v M l H h g M q t C 5 s P + P E 5 P Z N C z y 8 W m d 4 O f X X B g v Y W 5 x j W a F f x q U A O 9 e N W p U l W u x v q Q K l g w s 2 H H J f H d 6 A c 1 W 7 d 6 e E k j r F v 9 6 B p s P Z 8 v m z L 6 e K y i F S h w j I A p w W M Q Z Q + J x Z a d s B Q 8 e O G 8 k f t Y 7 c f Z z A W 8 u / J O + a / 2 I Y 8 n / 6 g 7 K K 1 D I n G j c N f z u 3 a C u m Y Z 1 E C / X H g e b r s J + V x K 1 e f 6 y j x s n i 6 1 k A A R T o v r E 6 t S d 0 1 C 1 Q p v y E h Z M G F W n b h M Q a q e R 2 8 / Q B + u M r r Y D u q N 1 m 0 W z P s y y f b K N S f m w m K i h S y q A 5 m a h S 9 2 J z Q T D E n k L G J S i n Z p 1 o 4 s 4 7 j Y + H 3 m X o y 4 h n H b g b t w a v x O 3 D F 5 j y I W t 7 3 G 2 N A x F M 1 c v 3 e 7 D z f Q Z c e 1 q N F H t m v I t c 3 C I F p f J F I 7 m m I 7 j I u Q U G x 8 h g c X V H L x x t I V j J 1 4 C F 2 u k p p o l G A E 8 t w y A x X q z 5 a g A l d M h u X M r n 0 e J r 3 m G / b U 7 y W m 1 6 x 4 Y 4 7 Z G t t D 2 V X v r y 4 6 t U o h K 1 P L K I d B n 1 + 2 q g U F G o G N A X v 9 d w L N 6 l Q 4 o V K R m g W j e 9 Q U n N u b g Z J o Z E N t 4 Y 0 g j g 7 c o o 6 h p l L a q q x R O g V d 9 + n y T L K 1 s B z O i z C 1 1 6 p X g / c z q r 4 N i a 6 L r W u x M f C Y p h S 5 N h Y v w d c z j N E e O z 5 + J I 0 7 R r N K q X C A b L M y V w m l o Z h / y A t R K 3 F x t H b Q T H Z 3 J d j 3 U r l K H D t Y q S W p C e a q x l b x y u 2 0 F p 0 E g y L M / m 4 0 j i p W l a l B 1 D J B J z J h 0 U 4 5 O L w t D K 2 W t 6 s m f q n a 1 C S Y m a Q 0 i P 0 q U b W Y 2 y J W p 6 D N u 0 R 2 A b Z C R N 7 F 1 n A V j X 6 f N D Y d e k l q x R I h Q L U W r A e W p d 5 W C 9 z / 8 9 l v q e s 7 X Q H 1 d 7 p o v A v m h t 4 v r s 8 t b a z l T J h 5 z 0 u i G e q t j t E s 9 N p K T P / h I t E 7 4 a y Y U c 9 e N m a Q / e W 0 X f y V 7 V p J o z O v q T N 4 W 8 q t k Z I 6 p 6 + n N 6 7 w U Y 1 q Z X E 4 t Q y b S a y B W 7 o 2 H f D d Q M / T 5 7 W 4 0 G 0 L 4 F D f Q f j d 4 p + 1 0 7 w 2 A B 3 2 e D q M e 0 + I 4 D E Y U p V 5 w M c s d e i e p T w D 4 b W v V U k W Y 2 O D y 2 O N 4 9 U + m s D 8 Q f 9 d / k 7 o w M S 3 L n w N j 9 z m h 8 3 l R q m Q x 8 J G 8 5 2 3 j a C u z n D 5 s 9 M O X A t Z l Z Y 4 t 2 x v m W D 0 v 2 h 3 M i 3 I I y p T m 1 5 n l 7 Z a Y W Y 4 r I i f R N w i p q U G 7 8 k F z 9 4 P S G T M K n z P 4 M 0 L U m f N g i n / 9 / h D G B r t Q W C q c b Z 5 q 9 B 5 h G x x 0 2 k u F N B e 6 9 o I v D a 3 1 c g c x l 3 G 4 M J K U s V T 8 j 4 7 5 M e p D H O a T V X Q x D A 0 m E Y J D x 9 4 B H / z h R / h n u F 7 c c f g n f L 9 h / j 2 P / k O n v 7 N f 8 D 3 v v j X 5 e N Y P P p P W + f + 1 l N P Y m x 4 U A 2 F n + r p T B b Q p h T z P u x I / e W M A 4 s i 3 L + Q z 1 b Q 5 y 6 I L Z / D b S M 5 z I Y t e F k N p T C L G c T O T v E Z Z C P Z r p b 7 f F y 2 6 + d 8 e D + B P h 7 n a a 9 8 r T v h U I 8 I X E q e 2 J U G V z 7 c K 3 T 3 9 C G d T + 9 J 3 e r W 3 e 7 f g K V g r I S h w b F a 4 r 2 V / 9 o d V A e y T t C s w l 8 + + U 3 8 p 8 / 8 3 / j 9 B / 8 A T 3 3 x K d H Q F j w 0 / h D y 2 Q y + e t e / w f 9 8 7 1 f V k B t n R h q 9 9 T V Y k k V 8 7 V e + p s r K g I H O d m H j w E 5 o z 9 F l Z B I R D L i b n 1 + i E e q q B Z o q l R 2 9 j c B W m 1 E Z j k d a j V t w c d W m / K M z 1 2 z K S X 9 h x r m 5 2 D T n O G N n L X P t W h H I m w k t B u c U s o u c i y 4 D p 7 e 1 h q o Z 6 J a X Q h O J h N Q + C s x e Q G k q I V a X 3 0 j H 0 h N i W r t f l n / 5 f f f 3 t d Q w h c l d j r W y i y X U Z + r C g 9 3 3 q P V z v / b g f 8 K 9 v j v K R x l g A G c z + 1 + + j 3 l H 8 V t 3 / g 8 4 3 H M E E 1 2 T m 3 X D j 3 u H 7 k f w 8 i v I 5 M S P y m R x Y c V I I m g X D a c R 4 2 o V p 4 b r q 0 I K F q e r j Q q h a o K 1 0 A S 4 g g a T G d s R 1 P c D m M t 2 p 3 k D z l 4 r n F 2 d J R S D D y Q S N w q K w + W V B u 2 c 0 i Z 7 Q S p q D 9 7 r Y P 8 J / O Q d w 2 w 3 l 3 L 4 y 7 k v Y T 2 9 v u t 7 8 t o E x y g K f 6 7 D 3 c N 3 4 6 t 3 / k H N e / B 5 t Q b d C X a 3 B 4 v x R f z L n / w L 3 D l w F 0 b W P o d 4 e B W D U 7 e p 1 C P O w n V s Y M s l a Q U N S 0 C n e 1 Z M t F r g Y 7 8 8 6 6 h P p h Z A f + 2 D S i a C z 8 b X k 4 l 2 N l t f k 8 n m c K G 3 f w h J c x b Z k m G 6 7 A W Z C C 2 0 V 4 S 0 D x 8 3 Z O O h E 4 G W y U T e b N / k H / 4 m m / L P y j L B / f e P P o B / f e x 3 1 T 2 4 a Q 2 k t 2 b J R G S T C f S Z A / j u 5 / 4 z / s 1 9 f w C f 1 y d m X x j Z V F z N N c E 5 8 N t 1 B x u W g h E 7 z k f G K b m q 8 + g u B W 0 7 j o / y 3 8 B M i 5 s N q a w x l V a n o D U F 1 6 R y O p x 4 Y + Y M 1 m I r u L Y + 3 f b 4 o V r g P f S 9 N G j e 8 1 H m g 2 + p v + e W L q j P n f D l h / + t + j S u V W s D T o j m + / o / + j q + 9 Y W / w k 9 / 4 2 f 4 5 / f 8 S / z o y R / g D + / 9 M t w e Y 7 V I m n G d Q C a d R C 6 V Q L c j h b E T D 2 P 6 j Z + A s 1 n N B 1 O Y D 2 / d g 3 J + R t w Z x h e 4 H F M j N F X z Q f G L F s W f O i / 2 5 V z 5 R l x E r R G m e n J q J Y w P K q p 7 7 3 e a 9 i A h r R 6 z I z o F L e C B / l 6 E E k b U j f 1 F a v a j D o U k K s m k A g V l j a g z J a w 2 G x y p W U S d e u r j + v i N W / 8 b n P b f g b / + 4 v f V 3 / l 8 H n / 5 5 D f w F x / / O r 7 9 j 7 9 T p h N w Y f 0 C + k 2 9 K F 4 u I i 7 + 4 B M D j 6 K U 5 5 R t u U 2 f q F P Q W u 2 W g 3 3 y / k w 4 d P d n c f W t n 6 O Q T 6 H P v W V N 0 K 2 J i H J h N P q d R f H / x a J i f + n 5 Z R t e l d / 4 X a P p p o w n c Y F p P e d E t O I i 1 W B e o M 9 Z P 6 n 1 / Q Q + y x P H O K d A e U c Z 1 S b B T i l T B Q v D 2 p 2 p D z 0 P Y D K R x P T q J S x H l t T + z t B o O 2 x F O + 6 c O r 1 J r E q c P H k c A / Z T 6 r v 8 X B d f u v O 3 1 W f A 6 s c j E 4 / i F 7 / 1 P L w 5 B 3 x c Z k b c h v / j s / + n c f 1 S E T l x o E q W I p L h r B J 6 b p 0 k U i V 4 7 W 6 f A 2 6 X H R a b A z 2 j R x F c u I z V U B z n l q 2 K M J V T P / A R n 7 7 i U P s X R M m Q F / y u N V r L b 5 j T L F O Y G g k Q + 6 A Y W p 6 r s / L 7 + w l a E z U S l m b A l S T U G J 9 d g k K n s s 1 l c 7 l d O D 5 w U o V / G X n r N D R 5 q J n W g 0 s 4 4 J 3 c / J v l I L r d C S w F q R O 3 Q t K V + N y x J / F 3 / 9 W P E V k P q r / X g s v 4 1 7 f + D m I b 6 4 o k m i h j 5 g H 8 8 J / + F z x + 4 B P y X E 6 4 e s Q / S 5 B M j Z f y 2 S 3 0 t Y 9 1 r a m 5 z n 2 9 Y 4 h v L I s J n c X l x f h 1 2 q c R 3 h N F w 9 S 0 l h Y L 4 L A O T j X G W Y a e v b z D C n C 7 l c C b B F 5 H S c 2 m x C m e + U Q k W D s O 6 + n e G I r R H L o O e s p 7 2 s N m I M L l R r 6 U h 9 P u x L m 5 t 5 m 8 I K S C M s O 2 O i R 2 R 2 D e i / D n f O j u 6 V Y L y l m 9 D l y a f 0 / 8 4 w C O D B / D a 2 9 f w E b O j 3 u m r G q 4 i 7 s r g G e u P o P F 2 C K s Q o Y v H v s i U r G Y W i U x I L + t L C 1 j Z G x U E a n S p 6 Q J y P F n e u 5 D C n r o c g x m E b P u A + 3 P t N s M + J x 5 e a n P X r I h w 9 X v 0 y l c P v M D H L 3 v H w u 5 v b A 1 s d q h R t O E Y j b u X W P G G B G m G b 0 + v 0 M e 2 g e E U O q d y 6 P s 5 m l 4 j f s G Y s g F 8 + g + 0 t x q D 7 V A j c G N C 6 q t Z T Y Q i q 1 L u Y z C M b t A O + w 8 h q T j a o p c l 7 d V K N O r r J 0 Y 9 L j r y L 3 I x I 3 F A W x O F / y + L m y s L a v f z 1 1 Z w a H x H j j s W 3 M R 8 j h 9 j d W V F f T 1 9 6 t l c F g e D f p D G r q R W J i f x + j Y m C I T t / h a E t l I E T 2 H j G E V e w X e m 2 V Y D k Z x P t S j n j m 8 c h U 2 h w e e 7 g H 4 A l u r h u y E h v r M L t q Y 0 1 r R 4 e Z U T 0 y A 5 U S S O 5 J p n 1 A d G N g L S F 3 v i k w E r 7 E Y 4 7 K h 1 / s f L Y O E s d o Q T K 9 j I 7 a G S C S C u w 7 d J y Z K E i 8 8 / y J W F o J K M L h G 7 d t v n l W z 2 H J r B Z q 0 W T k v v B H C g c E p R S a C Z M l n 0 g i t r 2 y a S n 6 7 E K U 8 D T V B T c O N f h 5 n i u r r 6 1 f H c t p q g q S r J B N B g W Y 5 h 0 d G 1 N / 6 2 o w m Z q K 7 m 2 2 q G b D s v O d Q v / h 3 h 3 L o z s + o t X j t o p 2 s t t Z k v S G h p n p z m O r h f A t 5 N V 6 f Y 4 1 e u t b 5 n v 5 2 U X 6 H 7 w v 0 e 6 X V F g u K w t M u 6 K N Q I J e D C 0 K c o t I c w e U F n J w 8 j v / u 8 7 + J x 0 5 / X F 3 f I 4 7 / f c f u Q z Q U U z M 2 c a a f Z s B z u S W E Q L d N 3 o 2 7 D 9 0 D n 9 m l h E 3 3 9 + h I m x b 6 / o H + z f O 0 i R h c D a o l S U k i H c L n c j Y 8 R x O v G u r Y q t 9 5 r t W + P / K m n 1 E e B M c O D i I V n o f Z 6 k C f v 0 O E 4 m P p C V I m h F S c m 4 8 L q N 0 s 4 F D o 9 0 t n M D N p v G J 5 W a j y d 6 n u o p E w T h 2 + E y f H b 0 M s F F Z 5 g V y Y I J v N 4 O q l y / J 7 R O o l B 7 / f h z 7 7 A P L Z g p g w C T W W q Z a G J A n 0 p s 2 8 n k A f 0 o m Y I i K F T J O n F m j G 0 a w j 1 t f W c P n S J U U y z u 3 e 1 9 e n C K K J 2 O g 6 3 d 3 d S q O R m B p W h w U W R / 1 z 9 g K c L U k t b i 7 F e H g q i 0 K p t c B a 3 d K O C 5 n W 4 9 d f r H q c 0 o 2 E 8 h 1 u Y j g r R n K M d u W R X E u h i L z y d V o F h Y z C x k U J U q k 0 o s E w l u b m l A P f F e h S g u o U A T 5 4 + A j W g x G Y p F H v E b 9 l c K B X N M 2 d S E S F U O r 8 m F o 1 p B r a H L N b 7 c r M O z x 4 W N 2 T m q g R V I s u 4 O r s M 9 M z C A i x D x 8 5 s k k i n r / T N Q g e z 0 1 H C T W p S m I R W W 3 X m 4 d 7 D d Z l K h m H 1 e l F v l B C c C O i E m 9 9 j u b k r S 6 h j v R v n 0 K M w z t u F u x 2 / N Z e o z z 1 n g K X p M k n S n D 1 N h 7 x q 0 F t w d f H j U Q K h U L K L w o G g z j z 8 h m c O f O K W u 2 D S + t o E 8 k p m i I a C e G z j 3 z W E E j x e Q m u M t H v G M C w Y x T W v B P Z H J c P N R Y + 0 + j y d W O q a w p d 8 t 9 D t z 4 q p D N W h W 8 G J A 7 L M H V w a p N g + l x d t p 3 A 8 l I 7 5 q R s h D 6 P S w T l M n m k O G R h n 0 B C 9 f f 4 M T R x H C + 8 F 8 H S 5 T d w K B D G y b 4 N d D W R + W P 5 9 S 9 9 + Y / L 3 z c x J T 5 T 9 e R + z I y Y C 9 8 8 h L q Z Q X k o N 7 J w i w k + 6 h b T Q X x r z 6 C z r p A x X K s X c q b f k 5 G N n w w l v / H G m 3 j 3 7 H m 1 E M G h Q 1 M 4 d P i Q M q m 4 a f C 6 j P 5 N X 7 k C s 9 2 M y 9 O X 0 e 3 p U q F s r 9 c j v 5 c Q 3 Y i J 9 q J u N / w d L s f J c h b F u S v E 8 s p M p O n I a z U y z 6 q h n 4 m f m m C t g G R i e R x O z l d x / b 2 Z 0 5 c O F u D u 3 Z 9 A G O 9 d z O f R 7 7 f g F 8 8 8 g 3 j w C k y 5 C M b H R n G g l 4 N n L U j m 6 t f N t l + o 2 g 4 J o a r R Y h 1 9 q K H J R L A P K z o f E x H e M v d 0 F E y D L T T J t L S 4 i F d e f g X f / + s f K r 9 n c X F J v n 8 f Y / I y P / m p x 3 H 0 6 G H 0 9 v W o R d 6 4 I k g 1 6 M + M j o 6 g z 9 G P + 2 + 9 T 5 m E D J t z s Q M K + v B Q H 5 b n g + p + D G P T B I x G o q I F 6 H M Z f T 3 a V G s F J E G z 5 l 0 9 8 F y W h d A m H + H t l 0 Z D / s 4 m O 5 t Y r L V i 5 a b h c r v h d t p x + v Y p f P 5 X n 5 C G z Y i U k t y c r L T R l N n X E c r v L O J w X + 3 R n j d 6 o Y D 3 K w L O A m x W F 3 y j b k W k c C S i f K F I O K x M u Y 2 N D f U 3 8 d R T P 8 V t t 9 + G z 3 z 2 0 / j b v / k x V s T Z / / y T T 6 o p o b 1 e r 3 L c P R 7 v 5 u w 8 1 X B K C 0 9 C O E U Y O H K X G k z 3 / d B E 5 K S U t x 8 + h Z P j t 4 s Z e h j W g g P z c w u Y 7 D s o L b P h x + w n t F A T v H c 8 U X v t Y X u X G Z G r z Y X P e U 0 d u q 8 k Z j V 0 E K Z y 0 + e x L r q 6 A v B 7 3 R g Z G Z b G J 6 u u x X O I e 8 f r k / s 6 Q n F Q Y K 3 V 2 a 6 s W / H 2 Y g s q t 8 G D f J g w 4 C s i t Z 5 C T s y o e C p u B B U S S d E 6 P 8 C 5 s + f E k b + K V 8 + 8 r k y 7 n / 3 0 a d x z z 1 2 K A D T T P v a x h 3 D q 1 C m 1 S A G j e N y 3 E y i U g U B A E Y 9 a q d o k 5 G 9 2 c f K j G + t I C K G X L s 3 D x O H 8 6 8 a g x N 1 o m F Z A w a T g a q E m 2 A / F h o O o F G 5 u 7 l 4 n H B 7 n t q n S K o / T 3 y u v r Q l Q j U q i z c 3 O q k 9 G J w l q b l 5 L 1 V d P P 1 L p l J j f W f W 3 N k X 5 0 e 2 q L e P X E Y r Z t J V l 5 t e z K z b M C K E + Q u t g H 9 7 6 N S G R J a 7 m g H v 6 Z 8 / g l V d e x Z N f + D w i Q i 5 q o M N H D u G 5 X z y P + + 6 7 F y d O n l A m G l t H L l L A T 6 e r 9 U y H e q B A k G w k K f 2 q O + 6 8 Q 0 z L K G J i b k a j E U V s C i E 7 j L m p q a g 7 C C 3 0 F G h G H X v 7 h 7 E c X c P l j S t Y y i y L q e V T x 2 l t Q L l n B z N 9 v l Q q q T q w N Y G 4 8 X r c C P 3 J 7 o H e w W G 4 y g E b f T + N y u / z c / M Y P 3 B A f W d 0 M p l I I L Q R U u c Q r H + b 1 Y Z A l z G P u 1 E m 4 / y 7 x z P 4 x J H 0 t l j D t q D E g E + c Q + E P z z s z Z 9 + 2 I P R H a A 5 2 a a o O u B J I i u 0 / s 3 w J Z 0 U j P f T w g z h 0 + K A y y 0 b F L 6 J v R O G e n J p U 2 o R a h R p K v T Q R B p p 2 N M J a C R D s B A q Z Y R Y 6 V W s 8 M T G B l 1 7 i 8 H W T M i t J q p j 4 V j E h v F 6 J k c d 3 A l p j + L p 7 c H H 1 A l a j S y i Y 9 I o i J m w k 1 8 T p T + L A y C G k x c x y C e l z 5 g J 6 A v 3 y d x K 5 a A F 2 n 0 V l L 9 h s D p V b 6 P b 7 E B Y N 6 3 A Y G t w k 5 u 6 l 5 f P Y i K 9 h Y X U J E 8 N T Q s r 0 J v l Y t 5 o U b r d L T b X N + u W + l D w 7 c x Y X F x a V N n f K N U m u O S E e 5 6 l g M j L / 1 t Y C y 7 y e M C N e M c v X t l w + M u 7 W 4 S x e u e b Y e Q X A e i g X + M O M 0 U A R f a F V R B I h v H r p V X z q 0 0 8 o w e S K H p z 6 i y + G G e L 8 z p f J l 6 P B 3 y j s W p j V S 6 / 4 v V P g f Z m 3 x n t d v H g J s 7 P z o h E d o k 1 z U k 6 X 0 g 6 P P v q I M j k 7 R W o + G 0 3 f k M l Y + I D X 1 c 9 e z 0 Q j E Z h 1 7 i n 4 l G b L u T K w m m w o C t m I s d 4 J O E w G y Y r 5 g p D 1 P N s H B Z f d j d G e A 8 j E 4 u p e b D B C 4 r f S A g i H w h g c G l R 1 X K l 9 6 N f S 5 2 R Q h 1 q a k d e / / / u f q o D P S b E i d F 1 s p B 2 4 G u d q H V v v p q V s 8 6 b x I S Y U s x H S Y n e f H s n A k x P h d E b w o x / 8 F 3 z + C 5 9 r W j A Z A e T I U Y b S s 2 I q s r 9 J t + K 7 B Y W G m z a R C N 4 n l U w p 0 2 9 t d V U 0 p j H p / 8 s v v 6 w E i K 0 1 U 4 d 2 C 5 J J f c r 9 F + J z 6 n m q 6 0 O X T + + v L C s X Y U s s 5 W D z m + A M b G k J H q O h 5 n y X / 3 R 9 6 d + 8 T j / M J R N G + w 7 A Z r E i E j I G Z R J a A 2 t S p Z J J F e n j + b w O g 0 c 0 g W e v z W J 9 f U N I L Y S 2 2 / D A Q w + r B v L 8 R h e S Z S 2 1 8 9 v 9 C C 0 h m Y g h n 8 s g c m 0 V y 4 v z x g t t k Q j U W h Q o d t b m y 3 l 4 n W i i W B Y K j R b Q 5 a U l 1 W I z Z M 8 + K J 8 I B w M D H o 9 b m V A P P H A / / u H Z 5 9 W x b L X D 4 b A 6 l 9 d g q 8 0 O 4 n p a p R p a s H n e U m J B f a 9 V L d U k 0 0 L N z W q 3 w t 0 v Z m j G i t i s + F M p R u Q 4 + N C o L 4 L 5 f 5 p M x m + G S R d P R x H N R H B + 4 R 0 x C S + o 3 w n + r q G v Q f I Q + h i a 4 m x Q b j 1 1 K z 7 2 2 K P 4 9 G c / i e P H j y K d F L M Y e b X I h k b N j t 2 P 0 D 5 o r z v S C 3 j 7 9 W c R z m z g n b N n 8 a l P P g G 7 C C j 9 J P 2 S d g J f L o W X 4 X W v m B 8 0 D 5 s 9 t x 6 0 8 K + v r y t t N D g 4 q M w a b d r Q p 6 D z T 4 3 k c D i R k W f h 0 P B 3 3 z 2 P 1 Z V V t Z 9 9 M Y z I U d v w k + e R l F r o G 4 G k 4 v O M j k w g n N i Q v 7 e E u B n w + Z k P a f W Y U c j l U c q I C b e R E y 2 e F c 3 E M W J G v i C 3 y r r i d 7 3 / x N j t c J u 2 O p C r 6 5 R l p N Z h 3 V e e x + d V v 7 k 9 q p H j c 7 O R 6 e 3 t g U v 8 U a + j q O b A / 8 j k 6 z C 4 m v j o + o x o l y K 8 E 0 Y / E F + M X 4 R R T 5 v c L P g S Y 7 G Y s u d J K C U A 5 d / a g T a 5 m L v H Y I g W G K 2 x e C / u J z F o B p E o 1 E I k D k P W P 3 7 q 7 z E w M I A F c d r p 0 3 V 1 d 4 l Q h Z Q m G x 8 f V R H E a g G t h L 4 / 7 5 e 1 i A B G F z f L 0 C o o Y Z w f P x T J w x 4 0 c h G 9 / T 5 k 8 w n 4 B u u P n + K q J d H w u i q D f u 5 K F M Q H i 8 V j W J h f w N i 4 M T a L I J k Y r P G J J m e A 4 s d P / R S f f O L j i n z U Y M S r s / a P C N V p m O Q l n X b F 4 R g 2 I S v k Y k S o m T 6 k W q A A c i g E s 7 c 1 t L 3 f D i g U W k t d u n g R R 4 4 e V d 9 J o E r T j U K u t Q 1 J x X K w R S b h X C 6 n l G G r Y 5 n X / N E P x U d 8 8 n M 7 E o r g t X g v h 9 + D K 8 s X R W D Z o d w 6 o R Y j V q z G h N T u E i Y 5 K 6 8 g t h J H I S n 7 p u q P i j 7 U f U h 9 U v t y C I y i p v z P r H 0 2 H A y b p + W 3 a D S u y s r n 2 9 g Q A s q x 9 J 8 O T I z j 6 t V Z f P r T T 6 j G U m e h a L x v C c U h E R 2 c R K h j M M t L u N e b g n f c 1 l Z m e S X 4 Q t O p t F x H T M l s z t B U I r D t t u p E J a k W F x b E Z x o 2 x h 2 J U P A 3 o h Y p K G w k F 3 9 j A 8 H j 6 Q + R Z G + + + b Z o q f s U o X Y C 7 8 3 7 2 M V P u 7 T 8 n h C X z 7 G 7 e t L g d V M r B V g D g F 3 M v 0 Y 4 M X y b + I 5 R L M Y 5 t q w A t 8 u D b k 8 v 4 s k E H G Y H 1 p Z X R D s n l D l M 8 H l p E l 9 4 7 8 J m N w e 7 G f T v G p 0 n 1 D 6 Q i U u O n B r J q c W h q f Z v J l B D 3 e d L w j M i z v M u C a V m N + I m 3 y 9 d 4 I s 0 M r p J J m q Q n b R B I 2 j B 5 s b r V L a y z Y J B i u W l Z d X S j 4 6 N q C j m T t C m l k O E 8 e L S u f L e 6 4 M D u 8 H G T F h k 0 I r A u A u W 6 k V 3 y + A z s w w s f 2 W Z E 4 m k m H M 5 D H a P y B 8 l I Y 2 R y k X o R o w N C z W q z + e t W e b 2 m r k b j C 6 3 s e a t + w a s s r g T S l I w T i v d C d D n U s S R 7 z T P + E J p e l E g S I i 8 b M w Z 5 X z y T B t r F p p I 7 N O h h t H 7 W g X P Y W 6 i 1 + d p m h C 6 E W A G A l s K Z i c Q a q b Y D q B n K g C b 2 4 T 0 6 v U Z E r W g h 4 s Q R p 2 I X 7 c c F N P A I u a c k V h M q 4 A b t R H 9 S 2 r h Q L k b o x b e l 4 S 6 E r S q B Q e 4 u s f N C L 7 H X H r r Z e 0 G F E C + P J K J r S X t d m o F D h R k X 5 X d n M e A t 6 D m k H t n 0 S r E 2 p k Y W q g 5 K J G d n B Q m E p R b s z A E s I S l p S W V + U 7 z l O R k C 9 4 I + t 6 x 0 A b G P G N i e p 2 E 3 W J X d d Y Z m O A b 8 i A V T y G + k E F 8 x S B s J X Q Z e n q 6 l R l L a I I M 9 g y y Y 0 7 V d z 3 f V 5 9 f C + 9 L Q r H u m X f Y z H q 2 N w K 5 v J h T 7 c w 1 V g e a V C Q U v w + P D K t Q O v 0 q j e G A E b b l 9 G 7 N z C V H g S E m J i d V m h E z J k g Q 7 Y g T + m + 9 1 S K c 2 W z F N 7 / x V 7 g y P S P C m V E R R I a T G 0 E / B / 0 n j 9 c n z v 5 a + Z f O o e 9 Y F 6 w + k Z P 1 L H J h M 0 K z R t 9 S J V g G P S s U v 9 M f s n t s K u i g 6 6 B V d J x Q U i 7 0 u E u 4 f S w n T t 5 N G D X Y B 6 Q T R p h 5 L 0 B h Z C o S s b 5 m T B 5 J X 4 v r I + t 2 k y s p c o X I R i C h d K v M k D 4 F a 3 3 N C C c r c 7 J M I A o W O 3 6 J S i G j A F J b P v L I g / h v / 9 l v o F d a + x d + + S J + 9 M O / U b 8 z 8 6 I R e D 5 B / 8 t X T j 7 t N F w B J / p P d K N k T 0 O a I 9 F Y W U T m 4 8 h n j I a I z x N c X d 3 8 z k B D v p j H 6 Y f v x 5 r U h T a H W 0 H H O n a 5 5 P 2 R v g J u H c l j t K s A t 6 2 k 5 k L / M K K 3 l A F X 6 L e 5 9 u b 5 K Y w U f N r 0 S t O I M L C 1 5 / Q L T N Y k G K y Z 7 G m s w n k d r a n 4 n Q J F w W L o m O Y O U 2 1 4 D 9 K I v 2 v T U 4 P H k F T c x + / j B 8 Y M T S d l Y y I p z T + 2 + p X n a L D 8 d r s T 7 y 2 f V 8 E b X p / b X o D B C U f A D o s o o 1 w 8 h 2 L W q u b 3 s D n E h J Z y 8 / 6 x G H M a j Y w H T t E 2 d 2 k R w 8 O D 6 r l q l b 8 e N q N 8 f p c Z f n f z J 2 o w f D 3 s L 2 w b b 8 9 5 z Z t d s O 2 D h r 5 8 H A H R z u 7 e z i 7 9 q U H t x z n A K f j M j l Y v X I j A 7 O u n L 2 5 N u 8 U 5 2 V s B t R J B 3 0 y k e 1 O Q K P z 6 O 0 l V T / B J J p L o 7 N l 3 M S 0 m 4 B N P P C 4 O v V 8 N g 6 i G 1 n 5 m c f 5 n 1 q 6 o f V p j 7 j X S 8 Q y y G 0 V 4 R u z K 3 L T b H V K f R n / T 7 Y f u l k Z p F R f O X B D t + 5 A K S F S H x m u B e Y a h q 9 E t Q h 0 Z t u O o b M 2 C V c p 5 + l i 3 t a o 3 W 3 j / r l C 4 W 5 h F 2 C 3 y 9 J 1 Y l L o a m 3 U q A m B U v F H 7 h U I O y X h U j R D g y p H U U H e O 5 d E r p m A r 0 I J O k D j 8 z v A y N R U F S 2 u q R q R i J P L d s + f Q 0 9 u j R r z W 6 5 8 i g T k U I 5 q N I R h f U d d s R R v s B t H Z F M z S 6 B U s e f V 8 D 5 5 6 F K + 9 / I r q a z p 5 6 + 2 Y v n I R f X 2 9 m 2 U v Z I t I b K S Q S + Z F w 4 n y K E l Z L a J V z R b Y l J Y z i 6 m f b N 2 H Y j X a h E g 0 8 d j N U r t a P 9 y g P O 5 V Y 7 J Z 3 / L l + s W b D T i t J T x 8 M I v T B 8 S H d b U e a S R Z 6 K d x 0 x q D f T U k G j e C n y Q D t 2 S V E u R 5 x L v v n h O T a W j z 7 1 o g g Z i q N d Q 9 Y t R Z m c j 7 A b O T q 3 s Y 4 6 R S 0 S x m p 6 d x 6 N B B N U Y t E l 5 T O X q M X s a C C Y Q u R x E T / y s f l f O s J h W 4 c A T E X A z I Z 7 e Y w d 4 C 7 L 3 i x x 7 z 7 0 A o P p / x p O p P u 5 C I W z N E 2 r + q u Q m x L 6 1 M / Z t Q e X C x O 6 b 1 7 B a a E P S v i I s X L q h Q M 8 d Q E V E h l D Y V C W 0 e c W Y m k o r H V U 9 b R p A 8 3 H j u 2 W t v q T L v l 8 n H B o E T a O a y B Y T C I d x x 5 E 6 V Q s T O W t X P 5 O 9 C 4 l I a + Q 0 r 8 h E W T O r z g B 0 9 R z 3 o P u B H Y N w L / 4 g X 3 k E 3 P G L W e 3 p c s L s M 6 2 4 H D W W Q h 8 4 u i d T K 6 z G b P s S U k k e v Z x K 1 C 9 a m 3 g x c P y h x L 6 E F n e Q 6 e u y Y i g h y 3 + v n 5 t H n v l 4 L c j 9 / v / v u O 2 G V 7 5 w C j Q S k J q i E 1 n Z O v w 8 l s 5 H Z 3 Q 5 I y u p r N 4 I + 1 m Q 3 q T J c n Z l V H d P 0 G 9 P B L D Y u x J C Y z 8 E Z c A O O L L o P u 9 E 9 J Z p H p U j t j L p H c S 5 z u x D J j K 1 w b C v Y p 3 d 9 c 6 L D z 1 5 J I v 3 J Z M 3 9 q m I K O 8 n E T Z O L v s 7 k + O D m 9 0 r Q 3 6 J G O 3 b 8 m E o y Z a C C M 9 5 W g 9 p r J b y o v r d q 7 v F 4 a j 6 G t p v p U N b Q c s n k W K v 8 c a D r g P i e K R T W S 0 i F s m K 6 m e E d s 6 P / e B f c 3 a 3 P 5 7 G N U I p I o o 2 0 P 8 0 + j 1 Y f l m i O z x 9 M t K b L 6 4 O 1 X l n z R n a 0 8 U k n W P + 2 F 8 R a K 4 f f 6 4 G m W i l n 9 E / V C i S Q U N x / 6 t Z b c O 3 q N S X A l X L E 3 2 g e d l n 8 m O w 1 M s C 1 1 t o J T F P i M H q u U Y W Q C U 6 z S 2 l B P Z y / M Y z a S s e F P F J G J s W + c e E 1 F P w 5 e C b t 8 P V 7 l Z / U L l R N U J s N e I u b R K q 8 H F U k H + C P / u i P 1 C Q W 9 f C H 8 r t O 4 1 B o o U x f + f L v l 7 9 9 Q F B u B t t p i L b D o B X H 4 G j t Y H w a E d Z O g f E N L l c U j J u x E u M Y K Y b m g V j a h K v r Z r y 3 Y k Y k k U c 8 L X 6 P E H p O B J m d u Y 1 A U n X 3 9 O D 8 e x f V 3 5 W E I a G o + f g s n P d h J 1 T W Z T K Z g s 1 i w 0 + / 9 z M 1 X H 3 6 n a s 4 O X 4 H e l 0 D K O S K i m z 1 i M X 1 E k I z M T g K H p R s O b i G 7 B i c 6 M e L L 7 x 0 n S / Y L i x f / c r v / f G p 4 S x 8 L k Z 3 D I f y L 7 / x D Y y P j + O 5 5 5 / D 1 7 / + d T W I 7 O L F i 3 j 6 6 a f V d L l v v f U 2 M t m M m m v 7 z / 7 s 3 6 m w 4 + X L l 7 G 0 v I y n n n p K T Y 8 V 8 P n w l a 9 8 G U e P H s O f / / s / w w + + / z 0 8 / o l P 4 t / / 2 Z + I X f 0 6 J g 5 M 4 A + / + m V 0 d 3 X j 1 T O v 4 F d + 9 d f U v T 8 o Y N i c / U W 7 D Q x Q j k g c Q w t s X c v w O Y y / + a 9 a m 1 b e S T v g A n q c a p v J x l y x k Z v H A U R S J v X d J Y L H T A y r + D q p Z A K h W B Z j f f Z N Q h h l 2 Q 7 + R l O M I 4 T p 9 P M 4 C i 0 1 b F 4 t R M 3 v Q t J C E s l s f W 2 n h 9 u T J A z J 8 7 w e S y / c 4 q t x G j b 6 P 0 / 9 L Z c d D S O + n o R b / J 9 8 M Q d z y Y J E M I V s T O 6 V z C M r W i m f U L U F R 6 8 F i 8 F F l W C c S W R x 7 x 2 n 1 b u i / 1 f v e X Y G 8 P 8 D O 1 D W M S 2 a h 1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 N a m e = " K i h t   1 "   G u i d = " d 6 5 2 9 6 f 4 - b 8 8 0 - 4 b 5 5 - 8 7 3 1 - 2 9 6 9 4 0 d 3 9 b 2 5 "   R e v = " 3 3 "   R e v G u i d = " 7 5 0 f 9 1 e 2 - d 5 8 c - 4 2 f 4 - a 8 b 7 - 9 f 7 3 0 4 7 a 3 a 6 1 " 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 V i s u a l T y p e = " R e g i o n C h a r t " 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 U s e r N o t M a p B y = " f a l s e "   S e l T i m e S t g = " N o n e "   C h o o s i n g G e o F i e l d s = " f a l s e " & g t ; & l t ; G e o E n t i t y   N a m e = " G e o E n t i t y "   V i s i b l e = " f a l s e " & g t ; & l t ; G e o C o l u m n s & g t ; & l t ; G e o C o l u m n 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 / & g t ; & l t ; / G e o C o l u m n & g t ; & l t ; / G e o C o l u m n s & g t ; & l t ; O F A   N a m e = " T a i s A a d r e s s "   V i s i b l e = " t r u e "   D a t a T y p e = " S t r i n g "   M o d e l Q u e r y N a m e = " ' T a b e l 1 ' [ T a i s A a d r e s s ] " & g t ; & l t ; T a b l e   M o d e l N a m e = " T a b e l 1 "   N a m e I n S o u r c e = " T a b e l 1 "   V i s i b l e = " t r u e "   L a s t R e f r e s h = " 0 0 0 1 - 0 1 - 0 1 T 0 0 : 0 0 : 0 0 "   / & g t ; & l t ; / O F A & g t ; & l t ; A d m i n D i s t r i c t 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 / & g t ; & l t ; / A d m i n D i s t r i c t & g t ; & l t ; / G e o E n t i t y & g t ; & l t ; M e a s u r e s & g t ; & l t ; M e a s u r e 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A d d r e s s & l t ; / G e o M a p p i n g T y p e & g t ; & l t ; G e o M a p p i n g T y p e & g t ; S t a t e & l t ; / G e o M a p p i n g T y p e & g t ; & l t ; / C h o s e n G e o M a p p i n g s & g t ; & l t ; F i l t e r & g t ; & l t ; F C s & g t ; & l t ; C F C S t r   A F = " N o n e "   A l l S p e c i f i e d = " f a l s e "   B l a n k S p e c i f i e d = " f a l s e " & g t ; & l t ; M e a s u r e 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I s & g t ; & l t ; I & g t ; v a h v e l p a n e e l & l t ; / I & g t ; & l t ; / I s & g t ; & l t ; / C F C S t r & g t ; & l t ; / F C s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.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2 & l t ; / X & g t ; & l t ; Y & g t ; 4 2 3 . 6 6 6 6 6 6 6 6 6 6 6 6 6 3 & l t ; / Y & g t ; & l t ; D i s t a n c e T o N e a r e s t C o r n e r X & g t ; - 2 & l t ; / D i s t a n c e T o N e a r e s t C o r n e r X & g t ; & l t ; D i s t a n c e T o N e a r e s t C o r n e r Y & g t ; 3 & l t ; / D i s t a n c e T o N e a r e s t C o r n e r Y & g t ; & l t ; Z O r d e r & g t ; 0 & l t ; / Z O r d e r & g t ; & l t ; W i d t h & g t ; 3 7 5 & l t ; / W i d t h & g t ; & l t ; H e i g h t & g t ; 1 1 3 & l t ; / H e i g h t & g t ; & l t ; A c t u a l W i d t h & g t ; 3 7 5 & l t ; / A c t u a l W i d t h & g t ; & l t ; A c t u a l H e i g h t & g t ; 1 1 3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f a l s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4 & l t ; / M i n M a x F o n t S i z e & g t ; & l t ; S w a t c h S i z e & g t ; 2 2 & l t ; / S w a t c h S i z e & g t ; & l t ; G r a d i e n t S w a t c h S i z e & g t ; 1 5 & l t ; / G r a d i e n t S w a t c h S i z e & g t ; & l t ; L a y e r I d & g t ; d 6 5 2 9 6 f 4 - b 8 8 0 - 4 b 5 5 - 8 7 3 1 - 2 9 6 9 4 0 d 3 9 b 2 5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7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6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u t v u s t u s   1 "   I d = " { C 0 5 2 1 E E 6 - A 3 E 7 - 4 6 4 9 - A 0 2 9 - C 6 4 D 2 E F 3 2 E 3 D } "   T o u r I d = " c 1 3 7 b c 8 3 - 6 f a b - 4 1 0 d - b e 9 1 - f f 0 7 e c b 0 c 6 d 3 "   X m l V e r = " 6 "   M i n X m l V e r = " 3 " > < D e s c r i p t i o n > S i s e s t a g e   s i i a   t u t v u s t u s e   k i r j e l d u s < / D e s c r i p t i o n > < I m a g e > i V B O R w 0 K G g o A A A A N S U h E U g A A A N Q A A A B 1 C A Y A A A A 2 n s 9 T A A A A A X N S R 0 I A r s 4 c 6 Q A A A A R n Q U 1 B A A C x j w v 8 Y Q U A A A A J c E h Z c w A A B K o A A A S q A f V M / I A A A D / 6 S U R B V H h e 7 X 1 n c 1 t X m u a D n C P B T D G I o o J T 2 5 Z j t 7 v b 7 u 7 p r t 6 a m a r 5 s r 9 g / 8 R + 2 / + y V V P 7 Y W u q d n Z n d r a z 3 e 6 2 2 0 G 2 b F m W Z E V m E i B I 5 A z s + 5 y L Q 4 I g I g k m W Y / q C u D F x c E N 7 3 P e c N 7 z H t P / / D h Z Q w d Y q m X M 7 K w i H Q 5 j I W R B 7 N E m H D 4 n L H Y 7 n E 4 b b m 5 W k f X 4 1 b F m E 1 D t 2 N r h 4 b R W k S + b 6 3 / 1 h 7 C r g l e m S k j k z U j m T Z g O V e q f G M g U T P h 8 y Y Z i x Q S 7 p a Z e h 3 0 V v D h e V p / n S y b Y Z L / N o v 5 E T a 7 R J N d K b K b M s F u B o K t q 7 O g D v F c f P p D 7 a K v h j Z k S V p N W j P v K a v / X q z b E M p 2 v 1 y I f 8 1 i e S 1 V + 3 m G t o V C u n 1 g f 4 P d 5 T Y M A z y H o q m F D 7 s v 3 A S 5 7 T e 6 9 C W / P F f D p 9 i a 6 E k r D J H d 8 D n F U 5 O 6 P B 2 r I m J 2 4 F X e j V p c s l w g F B d W M m h K E Z N 6 C w n 6 5 P T X 4 H F X M h s s Y 9 R l C v 7 R j k Z t A g p g w 5 K 7 i 9 o Y V W 3 L O T h E G C m h J b p B d y G M 2 1 e C W G z Y f q W B x 2 4 K Q H D v i r c A q P Y d J P n u 0 Z R F C W X B t r A y / s z O h S G a e B z u d z b Q F t 9 c s e G G i j C + X b Q i I A L 5 2 o Y h v 1 m 2 Y C 1 d w Z 9 O C 7 e z 5 F E i K w 2 v T R X z 6 x F 7 f 8 x S C v U 9 N n n c u C 3 s h j R H k Y J H O v p g r 9 U Y o 3 i S r P N + S E I S 9 9 P W p A t a S F j z Z t s I i g s U e e j Z U w p M d m w h i F V O B K h 7 F r c g U D b K d N t i T D 7 k r Q q i y C L M V c S E P N U 7 E W 1 W E W d s x I y X n O u K t I Z E z i c Y A P A 7 p Q M I l f L M m Q j 5 U U e T R W k 5 r o w 8 f 2 n F 5 p I x h T 1 X d I w 3 e 7 7 x o C r 7 m 5 D V T M O N + 1 A K b E F b 6 G y G t S d 1 L g u f B 3 6 N m 9 M i 5 k L Q 3 V 2 T H O Q Y 7 1 5 x o 9 a P A Y x f L p y T d c x f p Z A f l l + e x c w I d k D U d R y C e g N v h R r W U R 0 k e e q 5 a g j d o x s S c D W 6 v t 3 c N 1 Q i r u Q a r E I u m E G + e 0 1 Z F W Q Q n V T w H v W r D E y L R K n X F Q r O L 1 + M W I m X F B G Q n 4 R e N Y p J j L o p 2 I z F I w M c x C y 6 K x m I z n y 3 Z 8 d J E S R 6 8 C J E c z z Y 0 q O n e v + + Q d k S 4 e u h Y 3 P J d n g r P o R l e I V p G 9 n c T r q c J c 3 K P l 7 f N 0 v E c j Z i D h O v u V / B 4 H H B O + L F s H q / v F Y U j W 8 i b l f 8 r h y P U U W B o u 9 q R b p S b v V c f 5 H V I 7 1 + o / 5 5 b y J 8 V A Z 8 K y g M T 0 0 + D 5 x U R c y 4 k 5 l d Q z L d o x q K E u y h S P h W o K I 1 M g b 4 2 W l Y k + W z R J r 0 o E B D N N 0 Z T U j 7 7 W M w c / g o 1 M 9 s b 8 1 d R E L L F e + g 9 + b 3 G B 0 G L w M r z J p H q + 5 5 h s K A y m I + U M V J 3 B S p i 6 i f y 4 h K I 5 V U U C 6 J c l x l q 2 5 o 4 q c M r j x H 3 B V A N D q n 9 r X C i h A q I a q a p Q 8 d 1 O 7 s n z P 2 C v k h K z K h e w R v H i 1 S 9 f 4 d u f n 6 4 I m Y e z U K z m H 5 m I R F / Q 7 S W E D g i p h g 7 g Q U x 8 U g Y O t 1 J M f + o 4 S j 8 u l W a k 9 R O R w E J W z x E c O E Z + s M L Y l 2 o z r A L d j I V 3 F q 1 w H 3 n O 6 y P j M H q D 8 N s b i 1 / v U v l A E D N Q M 1 y F D I R / Z C J Y A / T y p R q x g P x c z 5 + b M N X 4 s N E h R g U 6 m I Z 6 p U a b i p U w S d P b P j o k R 1 p M Q t 9 Y h 7 m x M 6 n q R c T E n I 7 C p m 8 9 c D G M z I d P x h 0 Y i f Z C 4 I e C 1 6 K p F G x i r 9 s X 8 f l o Z x S C r U W n f O J m 3 y n C Y p p q 5 v Q D j x + V M y 2 G S H S o t j z N P t o y g 2 L L 0 V C l c V E I O G e 4 X y C Z v 9 V M e F 7 Q V V M v k d f L 2 F r N Y 3 A q B N T l 8 a R r 1 n F t 7 V i K 2 f D l l I S Y u o f N 6 E G E f E 5 K h Q J x N e x y D W v J b p r N 5 7 t k J D m i p h 3 P H 9 i Q 8 j 0 9 Z p V v W 8 M Z j z D + c U F 6 S j 5 j H t F p V J B a i e F 1 e 8 2 s L 4 R x 6 U X p l G u l T A 1 P S G m v l h B Y l k c K 6 E o y D a z M V B 6 Z t B C Q z H 0 y r 3 8 6 E K o j I A D y l F 9 u G W R n s e s 7 O K 8 3 P f D D J o 6 h J A M L D z D 8 Y N D D 7 Q o Z s M V / P l B 5 3 G w 8 U A F C x E G m O o 7 e g Q 1 V b l c x v b y D j b v Z 1 G 1 p p E 1 Z 1 E W s t l s Y s E c F 6 E o Q i T U U R 3 0 g a M F o f q N G r Y D / d S j Z C w 8 w 9 F A n / a N 2 W L d t I e Y 5 W Z 8 u W J V z 0 I / m y t i 4 t n k / a i v o u T z s K D r s H E v h l K 1 p M h k c Y q f v d P j w O 5 h Y J G T r Z w 1 M h F N h N I 3 t Q X P n u E M Y s J f Q V U e m h g + W F V R 2 D 1 w m O K F 8 V L 9 L w N l I d H d T R t m w m V F N A 6 e H w e o t Y r F 0 v F F + c 4 k m V q A N 4 D k b + y s u q U R P c P p Y G 6 o r L J W x k W 7 e F o 8 o 5 Z W g c g h / R s O n B 8 X m Q i G 0 a 1 W y 8 m G z c 8 S n H J z 6 T u R + O z F G m 8 1 x 5 e e 4 e w h m r a o Z N Q h T x X h F i F v R l + b w Y y e y a C R Q 3 l s E O F J x 9 N Y / X b z 7 B C K g 6 P E s V 5 4 A / J F 0 9 n z 7 8 4 J G O U 8 a V A u r g z v R e T o L z W j 3 f O 8 E B x 8 l j Z 9 q E K y g H Q 0 i / h 3 a d i r X l h x h j Q U t Q T x T M i P F 4 M w e z h k c N K k o l x s p P f / 6 M 8 v F 3 B 9 u q S y V 0 L u m s q g a Q U m I A 8 C j P A l V 5 P Y e Z J G Z q U E p z O A a s 4 E i 1 s + d J c w 9 v z w 9 2 t g V + E c R B 8 Y K O l 0 m k b v X O s p Y 4 T T T T h d h K D y v z p W V s m 6 j + P G v v M E W j H z o q X o 8 5 a E O 4 z W M f O f M w a O E / l E A Z m N H H z D I W R i K S F 3 G c 5 h B + x O G 6 x O a 0 N g S 9 w I 4 + 0 z n C V 0 4 z w z N P y u 3 o T I 4 6 D Q 1 Y + V B 8 8 h A k 6 e J K h l m D l P M O m 3 e e J l N + g J l y c F W j E c m B / 3 c 9 4 d E G p B J h K N G + e 8 L W 0 b C c 2 H Q b l Y R j 5 b Q P x h A p W M G T V T F S V r B q F L X g x d D s I T c s H m 2 i M T Y W L 0 s f 7 + G c 4 A O M h 4 a a i 7 U O d K w E p D p n w n r I g A X p 8 u q s m V F K 7 b a z Z 4 G 8 Y 8 m b B M / 4 T z v z i 3 a 1 Z + / 0 K o u r t 1 8 m n 1 n K 6 T B A N G T B R g l s N W 7 q D 4 c v Y s z 3 k t Y V G p R Y 0 C 3 w k 1 s S k r w t h U N I 3 t + 2 l R S 0 5 Y C i 5 U K z V Y / V V E F s L w + M S 2 6 9 L e M 5 P v D M F j q + E H U y X 8 9 d H B U f 6 I p 4 q 0 m G q 9 J P k 2 g 0 S h 9 t k S H y T o r i r N x I m U F D y f s / v 9 4 G z l R T E R m V q j w Q w Q T n c o n w K p X p 8 p I e C s q n t B 3 6 p R S 5 F I A b l G h t C p w b q B R N p e T M B c s 8 L t 9 6 J S K i O 5 s 4 3 I p T D M c q O o d f r B 9 0 t D n W E y E Z x E 2 I p M B B 3 v H 8 4 V 6 3 / t g e T Q g Y b m R 0 9 Z I G l 0 6 h P z E 3 U w g d P u e y E T Q T K + M 1 / E 9 Q s l l Q X C N i P u G n 4 6 X 8 B z 4 p N 1 0 m L H A U 1 i Z v k b U 2 z 2 w J Q i j j n 1 Q i Z i 8 2 4 U b q 9 P 7 F f R Z q 4 S X G N W j F 4 d h s X K R O j + L + z 7 p a H O O K E 6 Y S J Q F e E t q e k j N H n o o N O n Y C 9 N c j A H k Y m 8 d 9 Z t y o c g m N P G F J t B + j r 8 T f b + F F o t b 3 k x Q T 9 8 K M 7 a M a O Q z 8 k z L O L d K 2 a 4 n T Y l 8 O u i k U a F R P 2 I P s U g F 8 u h U C j C B h d y u T S G x a Q b B J 4 R 6 g z A K / 4 L 5 + d s Z / f P z q U 2 o U b g P D L i Z 5 c L S h v w G O 7 h K 7 X P q g j V x c j e G I 1 u g 8 d U K 2 I q x t P I J v O w y j + b z S Z + h n T x c i 9 M Z j N s b j t s H g u S s S Q s w r z Q e M j 4 c p 9 I i g n J F J 9 E v h / R B l z 2 q p y P W U h a 3 9 E G D F l n 0 j t I x x 7 h 1 6 + P w W q 1 w e f z I p a 1 q Q H d f r T k 1 v 0 d O F x e F M v i K w m C U w E x 7 / o 7 7 3 Z 4 R q g z g H c u F p X 5 w s p L X y z b V B Y A / S U K y U h p B y N O M 7 I O K 6 p L U e Q L 4 i S b v P I t M 4 Z m X a j U c l h 5 v I h a q Y Z S k S F l u w h p G E 6 X D 2 W x j R x 2 j / T A S W T z m / B 6 v H A J g Q i 7 2 w G X X 5 x s M f t W v 0 k g k 9 2 S N k z w e E O o 2 r f h i / g x e n F Y + R G d w F B x 9 E 4 M p o p o x m J R 2 i l j x + p G M j Q i x B 6 M k B K c c 5 1 O i m 9 T f Y i 7 t z 7 H u + / 8 G O H h E A K B g N w r q 9 w / o / P p h i c f L m P 4 0 r i 6 b 7 5 x 3 s f B I S N a 7 x m h T h n t J r n x V D l 1 x L k t D 3 4 s i F q 5 h n w q j + j m E o Y v j M D h s 6 N c q C C 2 u I V S t o J K U T 4 v Z l R R m d B 4 A C 6 P C 7 5 h X 9 9 + Q C 6 R w 9 q D d Z S E 3 A 5 L U D T b j r R p w e R L Q f j H 9 g t g U c i T e p K F V c h e E V O s l K e P Z 4 Z V t K A n 5 E N s K 4 O S w w 6 7 u Q p H t i g a 0 I y q 2 I y F X A 6 R K 0 N C a t G W Y r 5 u y m 8 x z N 0 Y N a T C S B X 2 z p 3 v r k V y q G 6 v w e 6 1 4 9 / / 3 3 / g 9 V d f w / j k K P z + A O I 5 O 0 p y 0 1 b i V l V o Z 1 p M Y I + 1 g n K + r L b c V g k W i 0 V o W Y V 7 w g 6 n 2 2 k 0 P E A U M 8 V n h D o N M N I m M o g R T x W j / v Z h s n w i L 4 L k x L c P M 7 j 2 n A s O R 2 d t c R z I Z / L Y X t 1 B w D u M b D q B o X n D J E y t p 2 G 1 u J B P Z h G c 9 x 6 o s V A S I c 5 v F V C m 2 8 P p D V 4 T H F 4 H q s K a 9 Q d R F F J m z L 0 9 L K a X X U X a d p b E 5 D T L e z F R z Q w I C D E L 8 r z W o y V Y X R Y 4 a m V E / H Z U x F w t m 0 p I i Y n 6 p 4 / f x 4 9 + 9 E N 4 A i 6 4 T R 5 Y n H v O I s s I 1 D I 1 2 O Q + 8 7 G b X U J S Y a l n 1 H 2 o Y E M v K C S e E e r E w M A B a 8 2 x g C V n M F + K V D A 7 1 N p x 4 G n G 7 m z D E / Y h n U h i a C 4 k v f v x C E G v y E Q z s M A t W t L Q g n a n C 6 V S A f 4 L z L v p H 0 + + W o H f P Q 6 H W z o U I W M x m 0 c + n U V g I q A + r 9 a q y M X J R t G U X q f S L s W S f D 7 p Q y l X w c r d D Z i d V X z 2 5 Q 2 8 e e 0 N + I c C S k s 3 w u a 1 o W a r i P k q b D o B J F d S z w h 1 X G D E b U y 0 T y J v U c U / 4 1 k L 3 p g 2 f K V 7 m + I P y a m 0 q 2 f A h E u X w y 8 m X A K e i K e + 9 / S R j e f F Z K v A 5 n D A I t r S K r 7 d Y U G t F P 8 u p c Z 9 P G N O u c 7 e i M n g B A M t y V Q S / + s / / o p X n r u I 2 d k J e H 1 B l V m u H r H 0 P b r 7 i a b N L b P Q j w N Z M c 9 P 3 o Z 4 S k C r o Z P l Q C 3 E u n + J r M k Y 3 R f u s K I S x 1 A 4 0 N q O T P S L L D U H 4 h u b Z 4 p M h D v s h H f E A 0 f A e i Q y a d A E d I / 0 R i a m A i W T S e z s 7 C g y R b f T W F / f Q M p x Q b S 3 S 0 V E W W f + m 3 X r L p m I S s 0 o E H o S f W n h m Q 9 1 O P D h M e O a B T u Z V 9 e 4 j + A Y D e u j a y e b 0 T p O W k w J s X 6 6 Y I S + W 6 F W E V / i S V r 8 D C C 0 Q L + k A 2 P P O + R R Z N Z L s P n E f B T T r B N K R f G Z 0 i l s b m d x 6 + t b W F p a l g 6 q i v n X / l 7 8 p i C u X / J h I 8 m q + i b M i B k 9 2 q C R F J n q 7 1 U n W H 9 / H N h + n H x G q E H j 8 k h F R Z j 4 U 6 r i q O x j O J c D s f S f W L u 8 H R J i g 1 u l t 7 V 5 a y o C 9 j S j W q o i H 6 v B 4 i s r T d U O N O / W o k k 8 W V 7 D z R u f Y u E H P 0 b K P K I 6 r a z c X 4 f D i V + + Y M H 9 q F U N Z D e W w z 5 p p M X P P L r e f g a l c a 6 J G U e N x T L O B H t D 5 p g x L U h P n u x E J q K c F s 1 W y D 7 1 Z C I 2 b s X E R M r C 5 u q i n U p M d 6 r g g / c / w D / 9 4 y / x 2 p U Q f v G c A 1 e n f H j v e R e u T d p V R V + a 0 K d J J s J s M y p k P c M h w R o H z 4 + V 8 d N L B U y G K n h 3 o a h W g j g s G B 4 2 1 f q s a 3 U e I X J v s V p R L h e 7 D h x X x G 5 m A Z T R I Q / s d j v 8 P j 9 8 H i t m I t J 5 u c 2 q x o S u n X j a q F T K z w h 1 F I T d N Z W M 2 U U m e g d D f 2 o N j q c c o r 3 N a l y 1 c 5 I h s z A y u R w e P l 7 B 0 P i c 2 m c 6 w 3 6 l u f p M Q x 0 J T w Y 8 6 7 V q 4 m p 4 Z 6 O 3 P W 6 4 f B 4 4 n A 7 x k d p c r + x O J t L I F m v 4 y 8 e f 4 / V X r q k 8 x O M a l B 0 E 7 G 7 7 M 0 I d B V y p c V B x D v b G l q r l Q M b B Y X C Y O V M n j X w m h 3 K x 1 H b o g Q O 7 l W o Z N z 7 / F D / 7 6 V t w W k 3 w e g e b e z d o 2 D y 2 7 x G h j i n C N y i F k t v K i w 9 l h y v S u Y R w L 2 A J a W Z / n 1 V w e M B h d 8 H i M b U 1 4 R j d o 5 p a W 9 / A 7 P Q E n E 7 X m d Z O G t 8 r D c U p E o w G s b j H U c D H S j l 4 a 6 4 0 M P + p l C u j V C g O J M L H S X + 9 1 p w 4 D Z T y J Z W v 1 0 k b M 3 O + W C q h Z r I r I r G I 5 H n A 9 4 p Q F n M N k 8 G K G l z t N T L U a k o A p 1 h z b p L X P r g A Q j l X E + H Z X 0 b 4 a Y S a c n 4 / j W Q s D t 9 4 + 0 y Q U r m I 2 y v y z B w u Z V y Q V O V S W W 1 s 4 6 z i e 0 E o W g o O 6 f j H / d X d k f J e q M C B w h / P F 1 W B + R F v F R M B I / V B j y s N E m Z V O + 7 s m z R H R f T b L Z U H O H I t U t / T G n f X r d i M R j E W C S p t x f A 5 i Z R K p 1 U Y X Z O L S 8 y c J X w v M i W 4 p M 7 C c H m X E M R O z o x 0 3 q R W K m Q G Q 6 t O j x W B X p / e 0 x o 8 5 g / 3 H G q p m 2 u j J T W 1 / M t l m 1 o L 9 / l x o x j 9 Y Z F Y Y r 0 3 I D T t q + 9 5 u s C g S + J J W n p w K 4 q 1 E k r h E F b r a 3 V x W j 1 X x t f P o F a r I p + I Y v H W 7 / D K i 1 c x O j K s B n g n J s a Q T m d g t 9 m x u r 6 K C 1 N T u + N Y v U Q A 2 X x S n j t / j 5 M 4 j 8 M l e + o J x Y l q F 4 I l t Y L 7 b n 2 6 J v A G s 1 r O v a h 1 X + y C f h L X Y W U O n s t W x b 1 N m z q W 4 H O c D Z f x Z N s K u x D 2 x c l y 2 8 q l v S C 1 m h Y f q o r w n L + + 5 + l B I V l E e j 0 H 3 0 g I t + 9 u I x 6 I o M o 5 I C 3 A b H L W e C h k M 7 j 7 0 b / g n 3 7 9 Q 0 x N T M L r 8 y j C k J j c q K W i 0 R i S o r E u L 8 y r z 0 i q T r i z Y V X l 1 / i I W U X q 5 a n B m 9 j H Y L y c L L w i x P 4 G Q X a K z 8 O / K d w k x B Q X U B M i t S M T Q R O O d d 6 a / S X 2 m F x v 9 9 G W B b f X 9 8 j E d C J u q a J Z L a / y w 4 t F t d D 0 U V C p 1 A Y S M j 9 r 4 A z g q t y n H e m U / r J a R S w 4 0 p Z M J E o 2 m x J T r o C H N / 4 d C 1 d f w n B k G C 6 P E 1 a b V V U i U q 8 W i 8 q a m J g Y h 9 P p w H Z 8 R 3 2 X Z O w E B q T e n C m q E m T H d a v P v Y Y K C H H m I m U 4 6 / W r + a w o 7 C Q D k y e 9 8 p 6 z N 3 s R e F b z + f g x c 8 P q O 9 r g 6 k h Z L W A 9 S G w / S K F S r i F y 5 e n R U A x 9 J 5 7 k s J W q 4 L G T P l N 7 G 4 s 1 I 7 I Z u Q f F I r 4 V z T S x 8 B p m Z 6 b x 9 o J d k a Y V 2 H 6 5 U k Y q l R b t Z I X L 5 a o X o T G I R a 3 V z Q w c N M 5 9 l 5 h Q q 9 T Z c X + L 5 b N E 7 Y t f w y z v W 2 t 2 5 S M R v W o P a q h X e j A D 1 l K W 3 a k a g 4 L F I b 3 v 8 V f i O l F s 3 U 2 g L D b 3 E 8 e Q / N W B T N R M 6 Y S Q K Y f b H / 4 P T F 5 + H c H R W e R N P h R q 7 W s / 0 H + i t n I L k b Z 3 E q q d o h B S B S 1 k o 9 / F j f v 0 6 3 E H M Z 4 a G 4 N Z C z e E W H 9 + 6 M B f H j m w m T b j m w 2 7 m r G p p l H 0 q I c 5 b 6 l b F C 9 T M K E w w H W D K 0 V h J 7 V o 4 G x l m X N S 5 G H B e V 3 + 8 S F 8 n X a j 1 s b E I 0 i C j J C p X C r i 5 u / / O 2 Z e f A + B k R k 4 n G 7 R N g 5 8 t t R 5 o J t m M k 1 B v i Y T K d X e r W + + F T 9 M y H n 7 r q q 9 t 7 G 2 q Q g V 3 9 p W h C L Z W p m H 3 U z G X v D U E I o g a R q J w / f 3 Y 1 Y 1 o N t N 8 9 P c e x S 3 Y E O 0 D + f a d A J 9 q c 8 W 9 3 y q o 4 I z P X m u r J 1 w l r C V s U h n V P + j T 7 g 9 X q w / j q P a Q e 0 y t U i R q V z A r T / 9 M y 6 / + Y / w h s c V m e x 2 4 1 7 w v n R a 9 J w m H c n E S K D N b s N f P / 4 E z z 9 3 V Z l + z z 1 3 R d q x Y W R s W I 5 h V S U j k K F J R Y 2 l t Z b W b H w 9 C p 4 q Q r U C q w u t J 0 1 K g z W D I W 9 O T L u z a c E n T + x 4 I O / v y v t k Q / m q d q B f x h p 6 g 0 A 5 W U V N e s f T L s T S D G b S d 5 m u 1 B b 5 b B r h U R c s b U w s a p J c J o 2 S m H k P P / k / W H j r H + A O R O B y + 3 b J p N H N v L Z a u Q q G W C F y D 1 9 + 8 Q W l a b i P 5 i D 3 M 4 D B 2 c 8 k X T A Q E F 8 t h 5 W V N T y 4 / 0 g d a x C q h G 9 u f 6 v a K 5 b K + G r V q P v R L 5 7 6 s D k D F G / N F A 5 o q O V t C x 5 s W f D 2 X F G t S N G K c J 3 A 7 z H b o k 0 q W k u w B 8 x l s y I 0 b v X A N Z h x X c 5 V Y P f 2 P h e q I o K Q z W S U I 9 7 Y V r + g Q F G 4 0 + L Y e 7 y e I 7 X V j P X b O / i y G o J J B N t i O d h u s Z D D 8 r 1 P M T z 9 P H w B + l m t 8 Y v L + f q 7 z m C m f i 9 l A 3 i 9 m k g 0 B f k 3 V 3 K n O i T 5 P l 0 N I u y p q Q W w + + 3 i n n o N l S k a 0 9 C b c X f T q m Z 6 / l V 8 r n 7 J x C L 7 v N F / e W j H 7 + 4 6 9 m 3 t z B M + P N r 1 J F N z 5 I l l g E m Q Z p C A e j 9 f + T c f v o Z N H v 5 R w T a z Q n K 3 5 3 D l w N o h t V i E Y 7 y G n 1 z M I F h d k e s / 6 J B V y i U x d 1 N w u g a T R d 5 r D Q 7 e f x 1 6 9 3 g 8 a v O J i c q / S a y f X i r i x U O Q i X j q C U U w K N E I h s W 1 W B 7 G D 0 r l j V U y G l c d n 4 9 U 8 I P J k v h r r R U + i c C H m E w Z j n M z 8 v H 8 b o + p i R T f i m N z f U P 8 j D T y O e P z t L z n K 3 + Z J g 7 B 4 / V 3 W r X d D v z O 5 s a G 0 n L 8 X j P R D 4 u d R S H J u A k + H 8 0 3 O 6 5 f G c K s L 3 G A V D Y x 7 a x 2 h 1 x b q r 6 n N f q 4 p E N B E a w e 2 M i I 1 i 8 U C s Y H h / j d 7 w W h m v E 3 8 Z c G A S b b M k n 2 F 1 c K a j p 8 p / p v N K U o X P Y 2 K T K M 9 F H A + d l W L C a m Y Q 4 + v w + j Y 6 P i p D v h c N i V o 0 1 S U v g Z v c q L x u N x N F / 4 3 b S Q l Y T j + 2 7 g d / L 5 P M b G x 9 W 5 6 b Y H g W r e W F e J J b / 4 y v b n x x w Y s e / I 7 + 7 5 V F a b H S M z L y K f 3 p G / 2 k t v i 9 t 1 L H A 4 H A j 4 / Y j H t 5 X W 3 k 7 s q N d + A h X f C 0 L d X L E h n j U r 0 + 6 r V d t A J u A N e S p 4 b 6 H Y l w 9 F p J O G h l K a S D Q N 3 3 O z 0 n w T m a I A D k U i a j C T m o O 9 J g V S + T Z 1 y W I v y o F M n z x 8 k o 5 E p T B Q I 3 Q D y c Z N + Q 5 C K k 2 i V i Q / D P L J A p x D R j D A L + d H b U r w d 1 6 c c c J U J K n 2 O h 6 r n P f a g y 9 Q K v T m J x 0 n e M 5 u M c m D w Y C 6 x w 6 5 r 0 n x L T e j M X W / e s H 3 g l B c D u b G k k 1 F 9 V g M s V c w 8 P C e a C D m A T a j V O n / 1 l G o I i P D y q S g G b P 4 + L H S K N Q U N U 8 R h b R R 0 H 6 X Q E 0 w y w P n 5 y S C J p o G h a E q j b K 9 V u T Q W o z F I j W J W / l z h 4 V u P 7 9 d g S v s U O 2 z Z + d 5 E v w d v r 8 2 w X z J v f v J E L n D 7 Z d 7 k K 3 v O X 2 w I 4 t I p 0 Z y + X 1 e e L 2 e 3 e v o h u 8 F o Q 4 L R g i Z X P u y + E Z c w p + r O m g k + 1 w H i a B Q k Q R 8 U H S g 3 W 7 P b r p M Y M g P U 6 Z 7 j J o r W 1 A z N T 9 g C n R V f B Q K Q i N J q C E o 6 C Q x B Z x a j O d A Y v L v R m 1 x W G i t x w h m o h T D 9 v a 2 2 u 8 U U 7 W R 9 D z n s e B + s 9 J q t W N s / h X R U L n 6 n o N Y 2 j 7 Y u R w 3 e A + Z 2 s S O g d q q V 7 P v e 0 E o p h S x 1 F c z u A I 6 y 1 A 1 f / b 2 b F E R q B G U 0 a G m u n p y r w 8 F L f C R 4 c i u R q K w O Y c t 2 L g d U 5 + 1 g 0 W O 4 3 e a Q W I w i l i Q B 0 + 7 X w t 5 P B 5 X 3 g l J q 8 m r g h v i b 1 m l H a 1 Z t G n W C R Q u 3 S 4 3 f p f f S 0 l b P H + P 1 w t 3 M a B M v U 5 w W S v y 3 Q Z f S k i 1 e O v 9 t q S 6 G z 1 5 Q h F 6 j V 2 O X f H a e V 8 r X R Y V f u o J R d n 9 w W R Z 5 f i 9 e s G w g 5 l t T J G + O F T G f M T 4 j I G F 9 x Y M O 5 7 p L q 0 G 9 c Z 9 + 2 9 m Y 5 S v b 8 i J K U F u 0 B A m D u z 2 6 5 Q 1 w G w S U o p P Q s 2 g E Q q F F H F I W k 1 k v q e W 4 w q G 7 H l 5 H t R g f O 0 E k o d C t b W 1 p d 7 r 7 5 K k F D i 2 b 2 V O o r S v t 2 a Q e F O + r D p e w + X 2 w u E J y T m 0 1 1 K f i 8 l + G u C 1 a f B 6 Y 1 s x Z V Y 3 n n 8 j n r q B 3 X F / B S M i + B 5 b b d / q 4 M 3 g + B R N u m b w P v 3 l k V 0 F L k g 2 a r B G / P 4 e / Q M R S n N N V Y L l x M L D z u D l A 6 I Q N j 6 0 1 G I J v u n + h I f C z Y g a g x P U Q q 0 E u R 0 o G N y U y S i b I o V 8 X 5 O v E S R P L B o V z c p U H r M 6 v i B 9 l N N u Z H V X i / K 3 + I G e L s v H 5 P I F f P D I I 5 p 2 7 z y T O 1 F U p f 1 g Z L y + 5 y B 6 H e A 9 D t D s W 1 x a l v v r V J F A B o G 4 8 T 4 0 3 q u n R k M F 6 i u a c 4 x p 2 F P t S C a i F Z k I 3 h s u 0 c k V M h 7 E r K J B j I l p f 3 4 g W k v e 6 4 6 J i w R E 0 x b p O b u H 4 C n w 3 J p / k Q + D A Q k G E z T K l R z 6 q Z m g 2 p X v V 0 Q Y 3 Z 7 + M x 0 o D D w P Q p 2 P m I 0 k S i P Y P s n E j W S i N t P E 8 7 i s i G X t y J U t M I n D 2 S E P d h c 0 W 6 V V 4 4 8 6 m G u 3 8 f g r N R e q H T Z T B 0 3 d k w K v d W b 6 A k b k + u k D Z + U + U V v T 3 O U z 0 D h 3 h G p X G C X g q i i t k S 5 y A e T D m 0 0 a Y 3 7 j d / 7 4 n U M t S 8 M 2 1 1 M H 2 + U g 7 2 e L d j z c O i j I v N E U Q i Z k k j i p Z H J X M D V 0 6 F z D 4 b c h y 4 X G u k B n T m x u b q I g P X 5 4 a K g u q I f D L h G F K I q g 9 X P n K z e S i F H G Z C K h e u b G X p k r z X N i J x e 9 L i S 6 j 4 E x I G P K b + 8 j r s v j g 9 3 p N V Z 6 b 4 P l x O k R i t d M I n H j + 7 C Y 0 v R l Y 1 v x + h E G z g 2 h t G v B 8 l h U / d c v 7 E V d r o 2 W c X l Y e k 9 v V f l H r S o V 9 Q t m P B h + V Q G u u j a 7 v d 5 a G + 3 k T J h u M e G Q g k l T Y W i I i 0 i 7 1 M O g E C 0 t L u 0 S y y e O f C M R C t u 1 l u s l U W l R + 1 Z E M x I M n V P Q h 6 X H H F Q O H t u g y c h 2 l a 8 U 2 0 I s F l P n S S F i h N E v D r r W a I 3 Q 5 d Q c 8 v 1 e 4 L V R E + 0 9 J 4 v F h v D 4 f E c N x Z X i u 0 3 + P C n w H v D 5 M u H 2 X J p 8 F C i e 9 n O j R m B B T 3 s P i q k 3 G T B 6 x R f G S i o H a x B g n h / 9 J c 7 6 v S y + V M M 9 a w l m T b Q C A w T s y U g a C i z 9 n A t i O h D 8 u z F i R 1 O v V S k x z r 1 i h 8 L g i f 4 d P k w d I R w k 9 D m S W C 6 3 S z q D I e X j c T + F S L + 2 Q 6 V a U h W K O o H n P R J 0 y j X U d 9 R h t t q Q i C 6 q u V H N G P G W 8 f o F o z D O W Q G v g 1 W Y a H 1 o 8 + / c E I r g / b + z a T j s 7 B H p B 3 k a 6 k k M E s z x 4 z w q P v S b q 9 I z 1 3 0 0 3 R M 3 o y X f h I W 8 0 Y 0 + E k G h 1 F t j 7 5 Z a F t N t 3 l h j V o N f Z d W m R m j N d 1 z Q f h V / h 2 g k f S O 4 y B m x l e F i Z w Y 8 I 0 4 k l 7 o P 0 l J j G 0 9 0 D w 6 X B 6 V 8 W s y + / d 9 n j m S q w E 5 p / / G n D X a W E e l w C F Z j I s 4 V o Q i W / d J Y i J R U C t C g Q c 3 E T H K a G J w n R S T q p Y 3 b z c 1 h 4 E K D B F L + h 2 x M W W k k T U c 0 y U t c r n U 7 Z z 4 Q S V f R N e k V O 2 m K f k H y a D O U G 3 + D J m o 6 J z 5 U / Z q 1 4 m F A Z l H 8 y t G 6 n z n k q a q q U Y n F r F q V M D j X O X t 8 L U k t y N 6 K Z i t / y 2 j Y Z r M j M D q r s t A 1 W G x n W J 7 x K 1 O M i N Z 3 H i M 2 U m a s J n t X g + w U e Z 8 i k S E 4 H c 7 z Q 6 i g y 6 h k V B A T 7 M N H x i x Q + k w s Q D l I c N J g v W P u C y s N D n N V f J D 4 V k z 1 7 E 7 v U E f B 5 2 / l y y Z V q i z h l t 7 9 i R E a j q Z N C I u g s n 5 c M y j 8 j O j 1 T N Q e w D Z v L + X w h 7 s 2 / O E O 8 M 3 j J L Y S e X h d 1 A y G y U 1 z i 9 P / z a Y a p o P 7 O z L W P D S b r P C M H Q y 5 8 3 b q j T O o R 3 1 y X a 4 K 3 p p K 4 / r Y D l y V T U W s m h C L Q x B b q 9 8 J q Q 2 z L y j H E d 1 m U Q 8 K 5 H k / F Y H 5 / N j B 8 B n n t w r n h 1 C M 3 q U K x u n S 1 E v 3 M K u 2 H 7 D A P v P 9 W P S y E b 3 + C m / s v n l V d a G 6 v e l q 2 w b L k 1 E b f v j A j r 8 9 s e F u 3 I E t 8 V e W 7 y Q Q 8 X Q W I B N b H T C h q i Y 7 a m Y L z H Y v 1 k s j Q g A j d 5 D Q W t L j a D 2 p M r e T R 7 l Q R K q 0 1 7 F Q w 3 P q D A 9 n + h 6 D e p f E H 6 X p x p 7 d 6 3 E I Y a 1 4 + 4 o P r 4 3 v y E E V e E p r y C Q 2 d 5 N l W X j n J M G x R W 3 e 9 w I e y d o b x U w R Z e k E z w 2 h m P F B D c V p 2 b w M b 0 N e 3 S C w I W q e G e n N Q 0 D 9 / M p N 0 W 5 f i 7 / 1 4 U M H w u E h J Y x v z b b P A W v U a h o P U m 7 p I T n F o 7 6 j D b h q B U 1 K b a I d B T T v K m L X x V L M d t g T i e V Y 7 1 W C 7 B 4 5 Z z r p L G A j G p f m K r W N r i F P J d 3 s f / L + k F g M x b M U W M 1 k Q d p 5 E b 7 Q u J o r x S k x L 4 w d 7 d o O A w 7 q 0 + T v Z a 6 c C h Z V S k i v F R C 6 5 D l f P h T N u 2 1 5 U K + I k z o o U A C Y 6 M r M C Q 3 H I c 0 L f o s 2 e L l m x Y e P P a J 9 n K r k c 7 H c u r 1 2 0 0 i i X D i A K q 8 D S A B m W v C 4 + N b W k U h F Q v 3 5 g Q U V K 1 e e 3 x O J i y O G K d M L O A Y l L W F S O j w O W 9 B c b R f A a Q T b 5 5 V O j U d Q y K U R e 3 I L o x c u q b l S j 7 a s y j c 7 a X C t X g Z C e s m A K e f L y E c r C F / y K X P m 3 B D q R 3 M F 5 U e 9 c 7 H 9 O E W / o L P 9 t 8 f 2 3 c C D 1 g r 0 0 4 4 K n U P J 6 k h / e X S w m l E z X R o 1 U s B S R i n b n i D K X P J 5 V a S M a 9 V y U J e a 5 C j a a s h 7 8 J p N Z m M p m V 7 B 2 o J c + 6 k d S H 6 9 a f A 9 k 2 p 5 3 n z P c a i Q x 6 7 G G l + d L N Y t k p N H L x Y Q l y B K r + b h m 9 6 r 7 H R u C P X t p q 3 r K u o a 9 K + Y w d D w 3 H b B f a z 9 w A w I V j x q R K v j B w E S l z 4 a Q b + J v / 1 H 8 Z 0 a o X / 7 Y j E G 7 4 h D m V C d w K y F 3 U 1 6 e e 3 r a M H s B y T o C + M V 2 K v J / S a e p X t a 1 S 7 k J 8 s i Y O a G b p 3 n w v a o A f m e 2 R a a + D o Z l + f K a R 8 8 h 4 A p L r 5 T W q 7 F + D 6 1 3 F k F f c Z C v I r g R a + 6 P g 5 j n K t x K N r k 9 E 1 u r 9 v w 6 W L n B 7 3 K E G 7 e g s f b n C 4 u D q P I C B 3 k D x 4 w Z c b I g q C Q L + 2 c n D n x M G b F r T X r b n 5 g s 6 9 G / G g q L b 1 z F e 5 w f / X 5 S C g K p H 6 / T 9 3 1 C B L y n c s k 8 Z 4 Q c 1 n O X k G n 3 O L e E y c S p S Q m K Y W N 1 Z l I I O 7 j 9 H 5 q P f 4 e h T C 6 u a k G j v n 3 q 5 f C c N m t G P e d / u z d T k g s p V F I V u C d 1 J a N U Q g o n z 9 H U T 6 C 4 W W O E S Q Y Y h b f p B W S q p 4 B s C M a 6 k H M h v f v c 0 z J I T 6 C Q 0 V j a N 7 1 E 8 U Z J N a 7 j G 9 U 4 k D o 4 v 6 B 3 V 7 A c S / 2 / B R Y E q p / O h l C o T Y h k R 4 X 8 j m N f b 3 A 7 r W j k j E y 1 n k e P J + 1 9 X X 1 S t O U 5 8 U M j O G R E U V + b p w 3 x b 8 5 j s P f c T q t a p g h m S 6 K 9 c A i m 4 e 5 k u N F a i k P s 9 2 E 4 P T e Y n E 8 d 0 6 R 4 Z j j u S J U I 1 j h t R l 3 N 2 z 4 R L Q X l 5 j R w s t I D T W C B g M Q / Z Y N O y k 0 m k u 9 g m R S 4 1 7 x u D K h j o r L Q x l F i I v + t B K S X s D j + d v l K g v 3 G 9 n X 1 D 7 T 0 9 M q B 5 D a R 6 d g K Q 1 a h x J E I Z b e x 9 f L C x f x / k d f 4 t Y T r g B / t g i V X B T T 1 G e C b / T g y o u 8 T t a i O L e E 4 k j 9 H + 8 7 l b Y i q H O W W k S E X p r o b e r y W U D j Z M N e Q T K V y y U 1 k b D f u V C E 9 m k I f n d q y I 6 g s 4 L x g P h D D c L f C E U e 2 f Q E Q 7 b B Q p k k D P + m l m K t O 7 a n t F 5 9 6 w Y e / 9 J 8 C G P z 1 7 G 1 f B c f P z Q 0 p f B V P W v W r D 8 t Z F a L s P n M c A V b n 4 O + v n N L K I K a h / 7 U 7 + 4 5 W / o k n F I Q 6 C 3 5 + d j A b P V e U a 7 2 9 z h U H T 6 5 c M 4 l O i y o X e j H a C I Q T m s Z O c 7 T a k F w H r e + t q a + p w l H r c R E W r P d D L / P v 5 t M e x i 4 x J z y u J x w B 0 f F L 9 s W 3 9 O M 3 3 / n V M + a J i C f t d 6 2 s i e j w X b u Z 1 G p F e E K d f Z t S a p z T S i N 1 y 6 U W p o H 9 L k 4 M f C 8 I J 9 I 1 9 / 1 B k 7 h W F 9 f U 5 W M 2 m m T T i A p u I X C Y U U e b q V S G S F z H A 8 3 9 o e r S S R u + n g S h h u 1 k t f r V d r K M 2 p H Z s 2 Y f H h Y 8 L t z g R T c v h D W H n 2 D m 4 / a F 8 H 8 Y t m B b 9 b 6 m 9 3 c D 9 h Z r d 6 I w e S u w D / Z v b q t 6 m T q 7 8 8 l + N i Y 6 8 Z 8 L 0 4 C P I t g i L x X 1 M z 7 h b g T t I C 7 3 B 4 x u a p Y E 6 1 B P 4 p b I p G o H 9 U e J A 9 N N U 4 9 0 G R k J I 7 1 / j x u h 6 r 2 y v 3 a J O R x f E + B p 7 + g S c N 9 J D T N T a 5 + I R e h 9 h 8 W J O j F y Z C a t B i Z v o Z s s n P R G q 7 V x c H 5 Q Y N T U N L L J Y y + F E J g w l f f 2 x 6 8 n y y S c 2 4 J F Z Z e 4 / q F g h p A Z c b B S u J w J s Z Z g i q t 3 G s A U g Q 6 m U j i z r f f q n L K F P 7 l p W V 8 9 N e P c f P m V 8 o M a w e l i U S j c K a v 9 r u 4 8 T 0 F 2 u M y t D r J w s g V j 9 d B B a L Z n K O G 0 p + 5 / A c d 9 n 5 h s 1 n w 6 q w N 9 t Q 9 O N z d o 5 6 f L w 3 W t y q k i k g t F e C d s q k S z b 2 A 9 z / A y Z f 1 v 8 8 d Z s M V t W 7 u G z N F P I g f D 5 l s b e q U H w f Y 4 b v c c h 0 9 d r Y U 9 M 1 o F N M z M 7 j 2 3 F U V B L h 3 7 z t M T U 0 g F A y o q f H U V I 0 V T 7 V W U 9 q J J B F f h e S g M O i N m o f 7 a M L p o p g k C z / T x G s G U 5 / Y J l F r D K k e E j w H R f q a F T + e 7 x 6 5 Z C S 3 2 5 B E r + A Y U z Z W R P C i W + V L 9 g N 1 L + v v z x U 4 4 a 5 x W s N x F e / g r N 3 j R t 1 y w k K k D F + Y 6 9 C 2 h h Z Y a h 6 W 8 V p e W l E m R j A U l A d p U 1 r i 2 r W r m J i c F N P L o R 7 u / / 7 X f 8 O X X 3 y p j t M g U f h 9 j g l p r d I M 7 u f n H C f S x 5 F Q 7 U C T U 6 O Y y 6 B 6 m B U Y m s D z 5 0 q G f 7 2 9 A 3 s p i p c n O t f Z Y C Z N L + t 6 d U L 0 d g J W p w W h N v O 5 a F q 2 C n 4 1 4 l w S q j m D e w C d 4 q l B 1 7 + Y 8 J W Q j E X V + 0 a w C m s s G s P q 6 q o i w p 8 / + F C F q I e G Q l h Y u A R / v Z 4 5 B X 5 s f A y / + 9 3 v x X R z i q a a w t / / w 3 9 S p a 9 I K J Y Z o 7 Z a X 1 t X 0 9 r b k Y n Q W o r H d D p O w + / f 8 z H 8 0 1 7 E H y b r f x 0 e / P 1 X Z 6 x 4 f O P / Y v n m v 8 F a T u C N 6 f Y R U 8 r A J 4 8 P H 4 D K r 9 c Q m v f C M 9 w + L O x r M 3 W l E Z b / / F / + 6 3 + r v z 8 X u B C s K I d V g + s x c S D 3 v I K T 0 5 j d 7 N 3 a R n j e j 0 Q q q U w t B g g Y C F B k E N O N k + 8 + + + w L / O i d t 4 3 C L G L i N R a 0 J E i q u b l Z V W 6 Z g Q N + P j o 6 g t / 8 5 r d Y W V 4 B S w t P T k 2 q / T q o 0 A n d j t F R w k w 2 q / w v r c U S S y n 4 x l r 7 U t r k b N Z 4 j e Y o 2 + Q r 2 4 w M D 0 l H E l f X F f Q 5 V Y Z M u w w K n u 7 F p j q K 3 c D f S i + V 4 J k U c + 0 Q A + v N O H e E I j h F g O D N / e j x 6 Q 3 2 D Q q s 2 F R L p J A z Z f C n P 3 6 g U n E + e P / P K n K X L x S V M H H N 2 t n Z G T H x Q m h X L o y 9 O s l C M 0 2 D Q s m M B W q s b 2 5 9 g 4 m J C W n f p b Q V h a m T K d c K / A 6 D F T Q d a X 5 y 7 S r W z W A l W h K C 7 X p H 3 S i k i 7 D Y L e p Y k k N v 2 6 I p t 0 X T M s O c h O X G N r k Z U U a b a p t r Y 3 E R O C Y 5 J + J R z M x M q 2 t j I V O m l 7 F 4 z g G I s m d h 0 h 7 6 C g X + J h e G 8 0 7 Z + / a X 2 u H c V Y 7 l z f r 5 Q l 5 N z v t 2 o 4 c x C L l p Z x 1 v h u J 4 v P w Y F V M J M 0 I a E o K C S W F n d V W P C B a F l c L J z 3 r R L s 1 g e z T 7 P v 3 k M 7 z 2 + n U 8 f v x E a T m S l K + 9 g u d A 0 z M c D t f 3 G C C x u J o H s S 1 k S K 0 V E J g y o o Z 8 A j x n + m Q k D a + B q U k 6 q k j B 1 t f E a + a 5 a r L x u j / / / A v 5 j g 1 X r l x W p M p X n f i 0 V W R P 2 n l p o q w q B 3 e F n B T L D b j H r b B y I e Y B 4 V y W Y u a t 7 + m k z z y Z a r A h j + d N a d z Z + A r X n r u m / J t W o G C x d 2 c Z Y P b i / Z B K a w c K L k P t d + 9 9 p 7 R e M p l C I O B X Z m G v 7 Z F Q L N j p r a / i o c H 9 J I f + r W K 2 h N x m E Y F Z o / a F 1 k K s T K u J x 7 8 T c k 0 s N 8 s 8 O I J t 8 v u 6 Q + H f 9 C N v 3 b q F a H Q L k a E I r j z / A u 6 l x t T C 4 f s g 7 b U q n 3 0 A I h b p l R I c I R N s n s G 6 C 0 / 3 o t V y g 8 8 y M p k k y s u f 4 8 p o A P e W 7 + G 9 n 7 2 r c v L a Q W s p E q p X U 4 3 f o Y D S F 9 M R O 6 5 + y A X d a K r 9 7 r e / x 1 t v v a n M K 7 b J Y 3 k M o 4 a t f o P t U c u o w p c N h G q F 7 F Y O t Y I N l V p e Z R q Q Q E Q j e X k 9 3 N / c l t Z S 3 M / P a Q b y d + / c u Y v 5 + Y u q 4 2 H 6 k Q a n 2 o d c F V w d L X c M H H D 1 j P x G D c 5 h k z J J B 4 1 n h D p F U H i v F J b g m T L G g p r N q G Z Q m C l o m h i 9 g N 9 h c E M H I i i c 3 P i e b T C z g k G Q + w 8 e q v V 8 O R O 4 W C j h 3 f d + c m C t K Y L t E b 2 e B + e i b S T M c G 5 s I T A W g Z 3 V k l o I v G 5 X g 9 q T P u T o K B c m s I i 5 m l B a 7 D e / + R 1 + + c t f q H s V z 5 o Q T V k w 7 K s K m e r D C g X x u c S 3 Z u S + W V O R 4 L m t M o Y W f C 3 P Y R B 4 R q g O 4 D 0 / z p t j l t 7 5 9 W A K v o n e M n g p d N F o d D f s 3 Q + p S r L Z p L d n j 8 + / G z U C t R d J R / J Q 8 9 y 9 e w + T k 5 M Y H m 4 9 L q a F v 5 u G I t Q j k B v J e 0 l t l F x K I z R 7 M P u B b W 5 u R m G 1 G A s o c J 3 b O 3 I e D H a 4 R Z s u X F 7 A Z 5 / d w E 9 / + m M h V v A A 0 Z v B S G A y C 4 S d c t 0 O C 4 r p I r Y X 0 x h 9 r n O n d V Q 8 I 1 Q H v L t Q x N 8 e 2 4 5 v o p u c 3 9 u B F D z j v U c q K X j U K l a L F X 7 x f 0 i q S o 0 V h j p f K 7 9 H g e 4 W 1 C i K O f j 5 j R u 4 e v V K W / N T t 8 X f 1 p q u V 6 T W i n C H p T M Q I W + E J i n b Y 4 Y H Q + V e j w d D k S G 1 j x u J 3 8 s 6 w h w e 2 P o u o e p t Z G Q b s t t Q k 0 t 2 q 5 q B 9 Y O O C U c P v D / F I J m O t S 6 c P N 1 q 9 8 y a f a B W 4 K L W J B M j Z e z N z a j g 8 R Y n V b Z + n N r M Y y S O R K C p 2 Q 6 l c k l M r X X 1 n j 5 W O z C 4 w N 9 n u / 3 A N 2 5 H d r O C 3 P b B a e 4 M P m i / b W V l R f l 1 7 A D 0 d J B u Z O K 5 7 D x O Y + d h G u G L f l W J a H L G B d u I + I 2 Z 7 L G T i X j q C X W U 4 Q V q p i 4 r Q B 4 Z x W z / E y A 5 D k W t w L E c O u o k y K i / g l t r N t x p M Z S g t Q h X z m C O H 7 W B 1 j L 6 v S Y Z j 3 v 5 5 R / g z r d 3 8 f F H f 1 M h 8 m Z Q u P n b D H s f B r 4 L o i X F t I v d T S E h Z p i 2 q 0 k c n g f D + M y + o J / W C z j N g t W H S C b v m B P h B d H c 9 Y A D n / / 6 / Q z 8 U 0 d P 2 u 0 F T y 2 h u N z n u 5 c L + F n T W r l n D e U O Z b c 6 Q Z t B D D Y Q j H I x 4 2 J 5 R 3 y Q 5 n C y g D 0 / i T A y M q J 6 8 u W l J a y v r 6 v o G Z e 4 1 G B 7 H J t 6 5 d W X 8 d I P X s Q n n 3 y m N E c r r c b v H h Z O v x 2 R K z 5 4 R p 3 Y f p h S p O B v c 7 C Y m p G D 0 R w r 6 0 a q 2 P 0 d R O 8 m Y Q 8 x B 8 8 H q 3 O / X 8 f i p V 4 h L 3 P 0 T g J P n Q + 1 M F z C T M N a T S x g + d G j s z v J c K G a w M y 1 / q o c a V C z 0 K / g u I 4 q E i K X z a I 0 M + G q u g / t Q E J R O 2 m 0 C 4 P r b I j f / v b 3 + P W v f 6 W m J 2 g Y 2 o 1 + l E H U o 4 K J q S Y 5 5 6 X l Z X z x x Z e i h a 3 4 5 a 9 + j r G x M d V x Z M V E L C Q K i n h m / p 6 Y 4 t V C D f 5 Z Z 8 u B W Z a I Y w f D o E R p M 4 t A Q 1 G V 4 8 R T Q S j a x q y Z P R M 6 6 J B k p B P 9 6 B R r E X T D L B K Y X 3 A c K v W F h G I P r n 2 M w 4 B t k F D 0 x T R h i h U z 3 A 7 D e K H J t 7 a 2 I V p r W o 1 N a Z C U / K 4 2 J / l 6 F C Q W 8 9 i u b i C b y 2 J s d F Q I J W 1 W p Z O I c y 6 W C 1 V L E Z 4 R j p X J 7 3 T 5 K d Y b Y c 4 n D y t m S u K n i v Y L n E y n e q 5 N P r n d e H E k r V K R W p G J c J 9 d 5 a R Q F u F l r 9 s P l D D X N U z h C G Y X Q S L S 1 N J k W o r X Y L f s m X f 0 k w L i z z x 8 + E g R T 0 M F N + r n 0 I 1 M J B 7 P u R 3 4 + X Z q U 6 U Y h X 1 h m N N W m F J O l H f K G L r k h 2 f K B t + 4 B 2 Z L d z I R + e J e K b V S r q I S i 0 8 K 5 5 J Q L L 7 y 5 k w R P 7 5 Y g M u U U Q + k H X q 4 / 6 e K k v h Q 1 T 7 8 K P o y F G Y m m N L 3 K e T y h o r u E 4 2 / S A 2 z q + E K + 9 e M Z a I u B 1 H v f / f g Q N Q v k z X m K L U j C 8 + V / t f D h w 9 V H m G n 5 x Q M B f D K / K t 4 c m c R n j E 3 / B c c C F 8 M 1 j / t D y P e P Q K Z b e J r 9 l J k f U A 4 s 4 R q J S I O S w 3 v z B V U f X O u x K F w R F P j t J E T g c 1 t 9 R Y 4 I Z F Y e X V j Y 0 M V S q E J F h 4 K 9 9 V p 0 K e M Z 0 x I M 4 s 7 x 5 X s z V g U D q 0 m a o j t Z D E 1 d n C u F N f w f e v t N 5 V Z q L U N t Z J X 9 r c C N R m P 4 X g S s + Y 5 A f L G j S / w 4 M F D N Y Z m a L e q 2 k q F M h J P c m p V d d + k G 9 H 8 p m j d o 1 W O D T Z M P u W 9 q Z 2 c g j r b 0 z d G f F X M h s s q 4 f H S c B l z 4 Y o 4 3 / U P B X y o 7 F n Z E z Y L Q S P 4 H S 5 b e R b h c g L D 5 g p s H m P 6 e S d Q S C l 4 n A / F Y / X 1 t 8 q 5 a w a V C M e p Q p 6 a M o P p x z t t 9 W V V b W J y b S w i M s T Z v 6 1 n 5 5 J I N 7 / 8 G p V a V Q U q q B 1 J D o 4 T 6 U g j n w P T m L 7 9 9 q 5 6 f + P G l 6 K B K 7 h 6 5 b K x w p 8 c 9 y / / / K + i Q c Z R 2 C m i k q + J Q i w g O O t B o V r A R x / 9 D W + 9 9 Y Y y P 7 v d i 0 5 g 0 u y u U p L r L q Y r c P i O r z p S I 8 5 c U I I + 5 3 v i E / V 6 O / m g c + L I e r 2 + j g / h y x U b Y t I b n z V w i Z 5 L 9 j R M I u C u U O f g C X t 2 H a r O p D P w i W 9 j E 4 H m g g H d k C s x t F 7 / o w k k K t v m 1 q p j 0 v e V J G K O H Z c j Z S o T z b h L l y 6 p F C U + B 5 K J M 4 o Z W E g m 0 v j V r 3 4 B X 8 C P o D + A r f v G L N 6 t T A y 3 H t x U p u T L r 7 w s J H M o A q e k X f k h T E 1 N 7 i O 0 1 o b 9 g N N 6 r t U X N y e h 4 v L b H J s 6 C Z w 5 Q r 1 7 q d A 1 j a Y R f J C c T h A I B r v 2 1 L f X r W o h g b O E K y N l B H M J 2 D 1 2 O H q I R P F 6 N S j A n G P U K c L H J F E m i 3 I d 3 H Z g m 4 w W s h 0 S d m 1 1 D e M T 4 y q U H o t G d 6 d q c O O x + j 3 T g 3 Z 2 t p W P x W g g N d O P f v S 2 I i X L c C W W U w j 4 w m I H V R G a 9 u 9 G M n n e b I d k Y d j / s 0 9 v 4 O L 8 n F p U 4 N L C J f V 9 a j g V z p c O g 5 k h / Y A r Q r 4 z v x e s i d 1 O I P L c w f z B 4 8 C Z M / k Y / u 4 H q n e V m 8 8 H 3 I 1 Q w 6 I N x g N V r O w Y k 9 7 O A m i K R e w F W B w 2 W O 3 d N S i v k Z s 2 9 y h 4 e n 8 z 6 C P R v H O L W d c M f k / 5 M v L K t h r b Z O E X h u I p 2 I z y c R / L j h F M X y J 4 P N f F v X H j p l H 3 I r a F h f k F e G q i C T J C 8 G I V 4 b k Q H E E r v E P 7 1 w M m U d k u t R Q 7 h K k L k + r 3 / v S n D 5 R P y D J o n F D I z / 8 k P t j c 7 K x R 8 6 8 H 8 H a E v T U x + f b q P 1 T E b 7 T 7 j h 7 a 7 w V n R 0 O J Z L 0 8 V U K k x z W B K A w k k 3 K A 5 W + X 2 O e d / K h G U I i 5 t u 1 Z A B e R u + L Y E R v f C b u 7 d + 2 p r 5 + p R F 6 P V + W 9 U f A b w d V G 7 E 3 K S 3 V A d f N O Z 5 k 7 R c A d I u D M R u d 8 I b t j f w K t / g 6 R F l O T w Q h + z v v N C Y v p W A 5 V r s c l n B 6 Z D q j E 1 6 I 8 F 4 b 0 m X / X f F 6 t w P b p m 5 F Y b J u + G U 3 M P / 7 x f f z d 3 / 1 8 3 x h Y J 7 z / w I E f z h X E t L R g r D 5 z N 7 2 Z l f t r h 8 3 V / T y O i j N B K B Z 4 t K K A H 1 / a y 2 D u B h K J B R 7 H J y Z 2 e + 1 + k B c T m + t N n T a Y c v a q N w 5 n i C P + v R G K 5 h K v n 8 L H 6 6 a W 4 W u z 4 H I l + S G 3 Q T x u h E G m q t I A z e D s W Z r O 7 Q j A N r R G K y R L Q i I O n J a N V Q c v B k T D G u d P 8 1 E / w 1 b P h o V J W e 2 p 2 2 O m G U k / b W 5 u r u f n y y V j u b B 2 t m x C 0 G l 0 z l y 2 M x s v w D 9 x / N k S / U n h M c E k N + v N 2 a q 6 e f r B t w M f K A W K Y y I k E w n Y 6 8 1 u B C N c C + K / n D b 4 y H n J n Y R L a x T e G Q 7 o 8 v p J J k 0 o C q 8 S 9 q Z 7 5 7 R U l D n G n p 7 a i C s F 8 n 5 t b h j Z 5 C S O 3 r i f Z O J r K 6 T W M 0 g + L i D x K I P E k 6 y c e A 3 u U T t C 8 x 4 M X w 0 r M m n C U e s R b L f V s / n w k Q N 3 N z u b c L x G F m p R 1 V j 7 e L 5 c s M 4 u Z P X Z 9 y w d 5 v e V M y c T O z 8 T h L o 0 X I G 4 E P L A c 1 0 J R c F K 7 C S U K a E F 6 b B g z p / v l B Z f 0 2 A 2 O z M l 2 q U e q R U 2 5 B q 5 O h 5 X f W c A h k K v T S M K G z c G E / I 5 Y 5 y I 9 4 i v 2 9 m q E k h m b / N 4 X c t h d G z s g J C y L R J A a x Y i n y w g t Z z H 1 n c p O P w 2 B O a c C F / y q 0 K Q r r B z l 0 D c N O n 5 n u 2 0 A x 9 X R H z Z q z o K 1 w b U c g 8 e P h R N X F S d A j v Q f p 5 1 u r T / + i x y / S e B U y U U b 5 D N L E K d i q v i i O a s T Q 3 2 a V Q 4 f 7 o J f O C 0 4 d n r U q P R 7 q b w H B b M u D h 1 N A h x I 6 i N 6 I t Q u y w + e q S E V f s k j Y J P g t H R p x m 3 s r y s I m / s 3 Q s Z Y 9 E A H q + F n E K v N V s 7 J F f S S C + L F S C + k W / K q a a M 2 1 v k c P F 8 O H j L g W b O j e J G s P 1 2 4 G m / 3 M O a X Q x a v P n m G 9 K W V f l R v / n N 7 9 W 4 V 6 + k a g 4 7 V W q l v l O 8 D o N T 9 a G q l T J + t p B H 7 G E C Z u m 1 A k G / K q D h D n m Q i u 7 A b B P 1 7 b H D 3 V T N k 0 K h b y x f G Y F i 7 9 s o Z P 1 i c d u M 7 6 I 2 a a + + 4 w R x f S g F r 9 s M G 2 u b 1 8 H T I J l 4 T X y f 2 G b l 1 y L G x s f b m m V E Y + e y l a 4 i 4 j O O Z U d F o r l F W 7 X K L C e Y R B q / n 4 Y 9 C P j H f P W 9 B 8 F 7 r r U R O z W G z f m 7 b F N r z E G C R K X P + M n f P s P 1 1 1 6 V 3 w t 1 v A d E Q R Q g r R 6 N 5 I r c 4 1 H P Q I p Z d s K p E u r 6 Z A Y u S x E r W w W M B W w q U t V M i m 1 5 w E G x 0 9 u R R Z k 4 s j n q o / V H A c n 0 p / u O E y 3 t z P V s r 4 / l Y M 3 k E Z j a L 8 T G t Y l G c R j a g Q O q S r u I M L U b z G V G C L M E u D C 3 w 1 J W g s d 2 G I 3 j L F + C + 5 r v Z 2 I p g 2 q p h u B c + 3 u t O z G S i S Y o o 4 J c n Y I E I r l i m 1 F E R l h U x f D r 2 r V z G K j x s b V 1 f P H F T b z 8 8 k s Y G g p 3 n c H L q r x J c e f c J B b d C X m u 3 R Z N O y p O z e S b D o q p 5 2 D 5 K B s s j q B a C a L V A / B M O J B a 6 l w o / i g r + O 2 D / L y h / U 6 Q U Y J U N o F q 0 R j M p P D T 1 O N 5 M I h A 3 4 r k 4 U Y y c a B V Z 3 k 3 g x Y y B 3 A Z i u f Y k + 7 F K e D M x y P 2 m Y v C j / R G V m k l q 8 e M 0 E W j m m s 7 8 J z 0 h D + S O 5 N J q + P Z P n 8 r H B k S 4 i b U c d z U t b B T k P c k o 9 7 6 B e 8 L f 4 P + 4 E 9 + 8 o 7 y p + h X c e s E J g i E 3 d K x W G v Y i Z q Q W s 2 r C Y e M M h 4 X T o 1 Q C y P G y H y u Y s f M k N F r t o J d u p e q 2 L 6 V Q v s o D d e Y 5 U 0 / C r a z J n y 5 K G a C u X i o h 3 4 U x J N F l M S k i c V i K u g g J 6 B 8 R J q x F K R G N E f y G t F u k W c t 8 A z 6 7 I j p s / M o h / h 3 8 v o k A 5 P F h P A l L z z h g 9 P Z G 0 l A Y v C c + M r B X W o 7 T q n X 5 0 d i k f D c t 7 q y q q r H s g w Y r 4 n P h h p m R w i g y d Y K / B 3 9 W e N v c 9 / m x q b y n X V h z m g 0 p m Y T 0 + T s h s T D D E J j J t i d N r V q y 9 f H u O p h W 5 P v 2 q Q d Y 8 H 2 0 Z q j g A m Z 2 p T l j 3 f v L + S B F q S X s h m 9 Y S P k l q t x L I b e x c i o 7 + 0 f F X l w z M A W H 7 j v Z W z y Y i p 9 d L d 9 Q Z N O o D Y c s a Y x 6 y 6 o C X S E m o U r T j l X 2 W C d P O 3 v a M H e j m + r j I J G P 4 j 3 8 U n c o t b N a g b N x o S Q p y y d k n P M C p f f t e 9 O N b a j o T W L 1 k C K C A 2 D v t z X S p s 1 k o K f 8 2 + d 1 s S / 6 R d a 6 0 G R f e d f / 5 6 + d v 6 + N m 1 J R l 0 D U L f J Y 5 m d U R G T e X J i o t 7 K Q R Q z R R Q S Z f g m 3 N i 4 H c f w Q h A 7 J d G m o r m O A 2 0 J 9 Y M Z B 6 a G j o f J t O 8 b H w V 1 S z d V y Z P k u k N 8 E B R C s z g K 3 M e b S / B G H 5 5 O R v v M L K D / U a n 1 1 1 J W y P 7 H W 0 a E 6 z C Y Q g J z k 2 Y 4 v P Y 9 Y R H T j j X p m g M I F D T 2 / O P j 4 2 p / t S I n b K q i J D e R W R G N Z 5 6 J Z m G u O p F N J x G e C y j h Y x I q z T 8 K O a N z L G a p h y A 0 + B s 8 D 2 r D 5 o U J e F w 7 a 6 I d 2 J Z u n 9 f G A A M J o k m p C U j i U M v x c 2 o z u g M k s D 6 / Z u I z 6 r e 6 u o b n n r u m 2 m q F x G J G 1 T 3 U w Y j M c h m m E f H X W 6 R j D Q K t z + K E U e d E R / B x W O S m m C g / 4 l d w U h 4 j V 7 z R a j M O O x J O c s V C D Z 7 3 h M e k y K T + r l 8 P q w q R T D R p K O A a F E 6 b Z w R P d u x q b p P Z w k 7 G m I 7 B t l Q 0 b z G F 5 O O 8 e u 8 a N W N o P q j u G Q V S Z a i L 0 H I q B V f k Y L 6 c 7 p Q I / h a 1 B O d d k U z 8 T u P W L 5 k I X o 8 G f 4 v t r I l Z S A K R 2 D R z a R Z q k v H c G M 2 M D E d U r h + / z + 8 0 g 2 3 x O 2 0 h l 1 U r m / d F 9 m w h 6 X k y O R R a F L I Z B E 6 F U M 2 X w j H N X j 0 g N Z Q g N 7 g k W o T / G s c W + I 4 b f a 6 9 v d 2 h j l V C R W E 2 V k g 8 C V D T X g k w u r b f T K O g U K i W F h d V l V Q t T O z J 1 7 c y i P j F t A u V l O m s w X V h N 7 / Z Q W o p r 6 a L s 3 i J b + x g / h v b o o B S c N k e N 5 K o k b Q 8 h r 4 Q 0 b h / E G D b 3 M Y n D T O N v 0 9 N z P P h R s L q Y x q 3 Z n B N q q + / u q X m W b X T T r m t E i z 1 E s 0 a H I Y p b n O a / / E 8 4 x M n V N t + o c f r o 8 A z m i U 6 S j n U / L t W n 0 b O V 5 1 1 s L u v / r 1 W 4 G c 8 Q k X 1 p B 2 2 V a k a b R 4 3 S B o P 0 n D Q T 7 p g V 4 K r T R + C 8 5 0 u T E / v E x a + 9 / j 8 u 1 k D p V w Z q d U c M m s l 5 B M F R K 7 5 E Z h 1 w 2 L r / l h V r 1 / 3 Z f i e Z h b n O H H M h / v Y 8 z O I Q Q 3 C 3 x o k 9 D U x S k d t q U n T e K 3 d Q F 9 s Z X U V d l t r D U X 3 o J K v q s 6 l G a 5 h K 3 a i n S P H h 8 W J E 6 o V K L 8 U Y v Y l 3 R 6 d 8 T k H O w 1 f i l 9 k 8 Q 6 S i 6 + s i s P 2 9 D 5 F r B Z a z N h D M r E J 3 g b j e 8 3 + 3 X E h 4 K r h q i M P R 9 C i T B 8 S q F F w O b 5 D c 6 8 x e s m 5 X C G 3 d C U J Y P P u N r K x A l x D d n j G b W o M q x + B J F h 6 j A J N r U D z k t e t 0 5 Q o 4 B w X Z C J t I 9 E H A V 4 T 5 0 R x 5 v F h T E i C n Y D b 5 e Z j a 4 n Y v R 2 4 x 1 r H A D h 7 1 5 S u S 4 C 8 0 H T m I g N p 2 Y 7 a d 5 w 4 o U i c d u B H 3 S 7 I E H 0 6 u f z L a I x f a d U s 9 5 F Y P G C / t j L e k W h 8 M D y u + f u t 2 h s U O D 5 y I V Q W A l j g C b i V e e d y G 2 F r b W I x 0 k X t w H E T r u K 3 s l 6 G Y 3 M b i U c 5 W F 0 W + G d c R k 1 0 6 Q A O K / C 8 d o J E J I G 0 u a W J y V d O 7 S A G q a V I K D 0 Q r 8 + h H 7 A D Y h s d O x A 5 3 U 5 Z E c 6 I B e t P s u r + 0 n T m m K h X t r u b B 8 3 L 3 g H 8 f 1 k B f + z O 6 r V o A A A A A E l F T k S u Q m C C < / I m a g e > < / T o u r > < T o u r   N a m e = " T u t v u s t u s   2 "   I d = " { D 0 3 2 2 6 E 4 - 7 C 4 5 - 4 6 4 0 - A F F 5 - 3 F E 4 2 2 1 E 8 8 D F } "   T o u r I d = " 9 0 e d 6 2 3 e - 8 4 7 9 - 4 c 9 6 - 9 2 c d - 3 7 f 6 2 d 8 d c 4 f 1 "   X m l V e r = " 6 "   M i n X m l V e r = " 3 " > < D e s c r i p t i o n > S i s e s t a g e   s i i a   t u t v u s t u s e   k i r j e l d u s < / D e s c r i p t i o n > < I m a g e > i V B O R w 0 K G g o A A A A N S U h E U g A A A N Q A A A B 1 C A Y A A A A 2 n s 9 T A A A A A X N S R 0 I A r s 4 c 6 Q A A A A R n Q U 1 B A A C x j w v 8 Y Q U A A A A J c E h Z c w A A B K o A A A S q A f V M / I A A A E V y S U R B V H h e 7 b 3 5 d x z H l u d 3 C 1 W F A o i V G 7 i C i 7 j v l C h q o a j 9 v X 7 9 3 h l 7 2 t 1 9 P N 1 + r 2 f a 5 4 x 9 p u f Y / 4 D t 8 Z m / w O s 5 t n 8 Y / z L 2 2 P 7 N 8 8 O 4 3 6 I n i R I l S h Q l U q S 4 i Q u 4 g g Q J g C B 2 o A q L 7 + d G R m V W o a p Q B Q I F Q P a X D G R m Z F Y u k f c b 9 8 a N G 5 G x v z / z 3 b T 8 x F A T r 5 V 4 8 0 F J p y d k a m r K 0 v T 0 d D Y B l r E Y S 9 s 0 k L e u a U o O b U g H O T N x 6 t T n s u v w m / J 0 Z I X s X Z e R + q T L / / 0 3 j y T e s t 3 W a x P T c r S t V 5 5 2 P Z G d u 3 b a 9 T / 6 6 G P 5 2 c 8 + k H g 8 b t d h e / X q l b q d l G Q y Y X n b t m 2 1 3 w + P j M r 5 j j F J r t x p 2 5 W g q W 5 a 1 k 7 e l L q 6 p L S 1 t c n 4 + J h e I y G Z T E Z q 9 I F H R 0 f 0 e r V y b 7 R N n g 7 W B L 8 S a U x N y R t b c 5 9 7 b G z U 7 n 3 F i g b p H q 6 R N S s m 5 c 6 d u 7 J p 0 0 Z J p V L B U a L l q A W Z h 4 f 9 c W l v n b J 9 p G c j c W l I j E p j Q 4 O M j o 3 J 5 Q f d M j A 0 G h z 9 0 4 E S 6 v x P i l C p x t U y m d i i A j Q h k 5 O T J q g I B W A 9 u o y C v P r k t L y 1 f T z I c R h O 1 4 j y U l a u m J J H / T V y 8 f 6 U J G u d M O 1 u m 5 A t K y d t H V x 6 l F A h j Q d b K p B D z 2 R P c 5 c K X 1 L J n Z G + v j 5 Z t 3 6 d b N y w Q c 5 9 + 5 0 c f / W Y J B K J 4 O g Q n 9 x I y d Q L v B W e p U 5 J f b C t X 4 Y H n k l / / 4 C S d 5 X E a m q k t a V F 0 u O j 0 t T c K n + 8 U R f 8 w u G l V R P y 0 h p 9 2 A i u X 7 8 m e / f u C 7 Y c 0 u m 0 9 P b 2 6 l p M i V t r h K u r y z 0 X 8 E T z y 4 s X L 8 r L L 7 9 s z z w 4 O C R P B t N y 7 w n n + e k g 9 v d f / X Q I 1 b h 6 m 4 x m V l p t 7 M n k E / D L T S 2 T 0 l K n x F C h m 5 i M S W 1 8 S k a G h 6 T 3 0 S 1 p b W 1 V A a k 3 A f n q Y a v U 1 O Q K P L J x e F N G L j 5 0 q u m d H W n T S G B 4 P C Z f 3 6 v V 6 9 i m Y U L v Z W 2 q V z Y 3 p + X q 1 W u y c u V K a W p q k u H h Y T l 8 + J D d E w L H 8 s 6 d O z K g g v Z g s E n q 1 + 4 N z h A i G Z + W u F 4 / r o q F + + B 6 p V 4 e Y v z h H l d B U C Z c Z 3 B w U L o e d 8 m u 3 b t U k y f k 0 5 t 6 v x J q K s C 9 r k k 8 t X v i f g c G B m T V q l V y / v w F 2 b x 5 s 2 q + t X Y c F R X n H B 0 d l e 7 u b t m 6 d a t t 5 4 O 8 q W n V V O K O R 0 u T h o a G Z H S q R n 6 4 8 y g 4 c v n j J 0 O o p r U 7 Z T T d Z J q g F J n e 3 6 U m U P D O f Z 4 H v + N F j 4 y M a O 0 Z l 9 v P m 4 M 9 I V r q p y S h 8 t e r J p D H h 7 v H V V C C D c X Z e 0 k Z H A v 3 x 2 R S 3 t 0 x p j X 0 J T l 4 8 I A 8 f 9 5 v G m r v n t 0 m Y J B r c l L P q 0 w 5 p C Q b z c T k 4 f O 4 p F X 5 + f O u a 5 y S 1 Q 1 O 0 0 Y x p K R 6 N l I j d 3 r V r A u V p a E 5 0 S 8 b a r v t 3 H E 9 9 8 T E h G l J t H d f 3 3 M l w B Y l 8 I C k N r 4 h P S O 1 w a / 0 n L 0 P J N X U J v s 2 q n Z / 3 m G / q 1 U T 7 / F o q 7 y + u 0 n u 3 s X s 2 5 R j 9 o G O j g 5 5 6 a W X 7 J n A 5 c t X p L Z W z W + 9 N h V U I p E 0 T Y m G I l H W H H v / 6 T O 5 + e i n o a l i v / 0 J E K p 5 / W 4 Z G m m w W p h a k 1 S I T N O D d 6 V N a 1 6 k 9 P C h g 5 a X D 0 y 2 y 4 8 T M 0 0 u / Q 2 a Y c / a j F x 7 m t R z B v k B I N m x 9 r Q 0 a V s E 8 P t H / Q m 5 / j Q h G 5 s n Z f / 6 j J w 7 9 5 0 S a r 8 J Y m Y q r q S L y c V H a A i R 0 c F e O b Z T h b U v K c 1 6 D s 6 / d 9 2 E a a X 5 A E R C e F v U 5 P v 8 s 9 P y 9 j s n V f u G p D + n m r V / P F I J K C e g B d p 8 W 8 u Q P H v 2 T O r r 6 0 2 D g / v 3 7 2 l F M C K b V G M 1 q 8 Y F l D N t r J d e 2 q 5 t t 3 H 5 5 J N T 1 m 6 E P F y r V 4 n / f E S k p + O s n H j z D b s f S M W + p 8 + H f h K a S g l 1 Y X 7 e 2 C J h 1 a a d 8 n y w c V Y y g Z / t H p P b t 6 l F n f M g C g 7 7 + O b M d k A U e 7 X N t L Z x U k 5 3 5 N b M U b y q p O p Q b Y H W a N V 2 1 3 N d N t W m J f 3 w j A r R c R O g S b 3 W p 3 n X W t M w K U f U l I w o u n k F 5 d D T 0 y P f f n t e z T a n X X b t 2 m l a 2 R G r R j 6 5 V W d E 8 k V 2 Y t u 4 r K g N y 6 8 Q + H 1 / f 7 + Z h B 5 X H 0 1 L 9 8 0 v t P L Y J 1 e u X D e t t G / f X n t 2 c O n S J T l y 5 I h d 1 y f I 1 f V s S K 7 e 7 7 J j l i v i v / m n / + x f B u v L D r G a p G R q N p u Z N x u Z M L m 6 H n f K l i 1 b g p w Q I + m Y f N 7 h B H y b N s y f j 4 Y 1 d R R 4 / 7 6 6 m 1 J C F B f 7 E T X X j m z O y N 1 n C R n T d Z C e j M v a 9 e 2 y v t n d T 4 1 m o 5 1 G M u F 1 0 H 6 c t 1 V N y l K Y C M x A U i X Q 1 o v + K C 5 T k x P O q d D T K 7 e 0 c h n o H 5 D r 1 3 + U x M o d 5 o m L A k / d p h Z n 4 h Y D Z I A o t P 9 o b 0 G M t U 0 x M y e / + + 5 7 1 U 5 x G R s b M 2 8 j 2 u 2 7 7 y 4 Y w b y m i 6 K h L i n d / U O S m S h d B k s Z s d 9 + v T w 1 V D y R k l j D P h U O 5 8 0 r R a Y D 6 9 M y 0 X 9 P N m z Y k K 0 l o 0 D j j E 9 U K K E F w B l 2 q U l 4 o z v w p e c B Q u K 6 1 r t U j T Q l t 3 s S c v 8 5 L n O 3 f 6 f + d m v r Z E m y c O j k Z E z b W 5 W 9 N t p Y 2 1 d P q E C f l 2 P H X t F z T F h b i r Y N T o f z 1 x 5 J p v W I E S I f H 2 q 7 0 2 d T r o W O A U + e P L H 9 6 9 e v t 2 0 0 U f u W d q 3 I n t h 2 Q 8 M K W b F i h a x d u z Z 7 D p Y k r 6 U m 9 T 1 e 7 H g s A 6 O 5 3 t b l g m V L q G T r U a 3 1 J q z B 7 I n k S e S X Y H 3 T h O x f l 5 Z u N X f a 9 E X m 4 9 z 9 l P S r t p g N C D A e w S h e b R / X N t O 0 a b i k 8 v S L O 8 V N Q X B k Y 8 Z M x k m t g D 9 V 8 6 p B z S n a W j g h P D B L 5 x t U O G g l B J Z 2 T 0 / P M 5 G V + 2 R P W y Y 4 w i H f j e 6 x a 0 1 G m q R b H j 7 s l K S 2 h y j d 7 d u 3 G R k 9 M a J 4 9 E j J q W R t b 9 9 s m m v H j h 3 W h m t s b J S h o W H 9 X c q I B T y h o o l 3 + v W N T i P X c k P s d 8 u Q U H V r j s r I y K Q V f C n N B F 7 f O i 5 9 T + 6 Z u 5 e X 5 U E 7 5 r s H t T I Q 8 c Y V A k 6 B 0 f F J a V J Z 2 9 Q 6 L b d 6 c r U P T o h X 1 M S 7 9 i Q p T 4 d K n 4 t j c U 7 g + L i j J i F m X j w 2 r S a h u y 8 I V q P b O D H a g / 6 t w X F t W w w k Z K c K d e T 2 9 T n F t C p k j k / 0 y Y 0 b N 4 N a v k b N r B o Z G 1 e t r O 3 K Z C K p 5 t 6 0 O Q 7 W r V s n T 5 8 + 0 c q l V / Y d e k X W t N Q H Z w u R U R n + 5 l 4 q h + S j I 0 O y q 6 F T 9 u z c k i 1 D 7 y o f G x u X 3 b t 3 W V 4 U u O c f P n w o q b p 6 2 b h h v a 3 j b d y 7 d 4 + 9 N 9 p d q 1 e v z p 7 P k 4 l n 4 B 1 6 U u W / z 6 U O J d T 3 y + q O G 9 c f U R N F a 3 m t d U m l y N R Y q 4 L Z S F 9 H Q n a s D Y W 9 s z + h B H D 9 S y k l D N o H 4 X x J T a K 2 p i l b X 5 G c d m R S w b l 1 q 0 M O H T q g 5 3 d a 6 E X M Q + Q n U T M t m T x t 5 7 F v n S M n Z O P e I J t v U k D I w 6 r l c H o 8 H n C m a y Y 9 J s 3 9 X 8 n R o 4 e z t T 6 g L B D O p 0 + f a u U z a m 0 a L 7 z s + / H H H 8 3 F j V u 7 E N C i P c N x 8 z j S z 8 b 9 F A I V 2 q 1 b t / T 4 a d m n Z P H 4 9 J N T c v L t t 6 y L o K P j t p p 5 b a b V c K 3 3 9 v Y p 4 Q b k v f f e N Q 9 g P q m o F M w k V V K d u 7 W 8 n B S x 3 5 1 d P o R a 3 X 5 A n v W 5 M J p o u w n k k y m 6 / f K m t H z f 6 d z T U R Q K t 8 k H w r J t 2 z Z 7 8 Y W 8 c 3 P F 2 s Y p c y N H r R r M x v y + p H z g 0 E D + k G + 0 C c / 5 / o 5 h u 7 9 C o E K A V H S 6 R s H v c H H j M N i / P z c S Y i 6 Y m M j I g w e d R p p n z 3 r l h x + u y L v v v h P s D Y H m u X b 9 u u x Q M k / g Y V G 0 t D T P I B X 3 x z s e G E v L 1 Q c 9 t m 8 5 o E i 9 s / R Q o 6 Z L n z b g v X u c A v e k 8 U u P / O 2 x C T U j d I k w U v P R O K e t M h u Z A C E y 3 p H B K 3 e v / c X R j X m o N x W t + W c j 0 w Y 1 B Y 9 v 7 J N Y 3 2 U j E + B Z c Q Z Q J o W A c E 4 V i G M i v 6 F x x Y y y m i v o t K W v i m i K C x c u y j v v v B 3 s y Q X E X 1 H v n B M Q q b 4 + Z b 8 b H R 3 L e a + Q C T T W J q Q + V b i y W I p Y N o S K N + 6 3 h i 6 F X k o z R Y H w v 7 d j T D a 1 O A K 9 t 2 N E N m Q u y A 4 l V D m g X U K D G u H D l f 6 J a q f 5 E T 8 H 5 B z T q l x g 5 p 3 t X C k T L W G n N G 0 7 z L Y H 2 k a J g j I i 3 o 7 O 5 L V r 1 w S 5 d F y H r / y h a Z R c z Z U P z M 9 y U V 9 f Z 5 E g H 3 z w v p V Z M d A P R p A u 7 6 6 2 N m V 9 W D g y + A 3 5 d A q P D A 9 b R c Z Z D m x c b d 7 R 5 Q A q 7 W z N u 1 R T 3 c r d k k 4 X j h r P R z T / l c 1 p b R 8 F G w r M j S 1 b 2 o O t 0 q A R P Z z a p r W 4 i w K 4 r e 2 W p Q Y c 8 M 3 T X W a 6 b d 6 0 y f J 4 f k y 8 z z / / w m r 5 E 2 + 9 a d 6 1 L C K C i Y P g k p p m x c o S 0 K Y r F 8 Q o 1 q h E l S I T e P q 0 W x 4 / c q 7 0 Z 8 / 6 z A N J / y D m 5 9 j o u F U Q T c 3 N d l 8 E 9 C I E + z e t y p G J p Z r c 3 S 7 h l E g 1 y 3 i m z s g w m 3 b y 2 y l t R H + w c 8 w i x K N 4 8 O C h N O u L K g t 6 q s 0 N / V m T 7 J i S c 0 v q o U x P u v 6 R + t r i D f V 8 U G t Z Y G v N t C Q 1 z R f S Y 0 M i I 4 / N 6 Y A D A g f A F 1 + e M d c 4 U R A M 3 4 g j k B G 0 N Y Z 2 Z U N D g 5 H q h 8 u X T a h f F M T 3 X b 1 6 P d g q j u b m J l m 5 y n X s r l z Z a p q I D m D c 8 I N D g 5 Z v Z F J i 4 q D Q D a l N 1 M j q R r y S M 2 V k K a W a A n l L K 9 V v t 8 Z r l E i g G J l 2 r Z 2 Q t 1 8 a V w G z z R w 8 f / 5 c z 1 O e Q K / f s F 4 6 b n f Y d Q G R 0 U / u X Z e f 7 5 u W D 9 V 8 f G v b u L y j 1 8 G 5 U A o M C X l P y f 3 u j n F 5 f + e 4 v K 7 t t o b a C u y 8 E l j V U K P t p 2 4 j z 5 m v z t o 9 v v n G 6 z Z e 6 f s L 3 5 t r 2 r d F i o H h H H v 3 7 j W N T D D r i w B S r 1 + / z i q / U s B 0 j 2 o x y E w k B W h v b z c N 6 8 F h t L u m 9 D k 2 t S q h o r K x B F P 8 b / 6 T v 1 u y o U c N b Q f V p n Z 9 E h D G p 3 z 4 v P X N U 7 J 7 b a 6 J w r 4 z Z 7 6 S x 1 1 d 2 h 5 6 y W r l c o B w Y M u n 6 l L W l s I M 8 d 4 w y g 6 g e d Y 1 T V o U Q i G g w d 5 R I k U t I E z Q 9 t Z J c 4 z U D H Z I 7 0 h C Y o n S n k M 0 7 u R U 5 C S K 6 e k p I + f g w I A R a t P G D d L V 9 U S u X L k m w y M j c u D A f h P a x 4 + 7 N O + q t l N W z o g O 9 0 B D E D Z E n 5 K e 2 T T F X I G z 4 c r V q 9 b n V Q x U U h C d Y F s A Y e j w x S N J H s R G 2 w F P P J Y Q b 2 1 j n X Q P L d 0 o i t j v v 7 l Y X p V d Z R B a N F W 3 R w u x P B d 5 r Q r q O z t m R h k Q p 0 b H I w S p F L d u 3 d Y 2 V I N k 9 B 5 K t b 3 S E z E l V V w 6 B 7 U m z V M + x S I f u O e P P / 5 U 3 n / / 3 a w X E e X 5 / c N a G d U K H s 8 k E Q r R A Y w 8 d f d g 3 J a d d 2 9 I + / p m u d N x R 4 6 + f N Q I f + X K F T W l V t k A x i g o O 9 o t 1 6 5 d k z d U g 3 l B z g c a j W g I y P g i o F O X c i f E K V r u P P P j r s c y q R Y H J C I U L A p M V k x A w D 3 7 c g F U q q T x 8 b Q 8 7 B + T g b H y 2 3 b V R O V S V i X E m / Z k v X p R A h U i E 8 g n E / k P O z t N K 8 2 F T A A N d f f O v Z K 1 L a D j c 8 + 6 C W u 3 n d g + b m Y e F e u b W 4 v X p G N 6 b o a D R + 8 N j f d K e 1 r e 2 p 6 2 + L k o m Q B 1 d Z t q R L T i / l 2 b 7 N 6 e K F F 8 5 + z u 3 b v V T L 1 j 4 6 u i 4 B q Y Y r i y L 1 + + a u W S X 4 4 A p 0 I s X i v P + v o t W n 6 u 4 D x b t 7 Y b Q f M B m T Z u 3 D i D T O D i p U v B m t g z d H a 6 4 R z W l t J n Y A n J N r f M T 1 / g Q g C f z J L 7 l 2 p Y o 5 r J 1 V K 8 e J / y 4 f P y n Q O Y D j S O q a m T y f L d v v n o V m E 9 d u x l N Z U K R x M U A h E W D K O H E A 2 p m f f s A V l X M S w 9 M G n K A S 5 2 f 0 b M N 2 L d G B Y B H j 9 + L N 9 + + 5 3 s 2 7 + 3 q F m L M B 4 / f s x M u q + / P m v 3 4 E F Z n / r s c + n r e y b / z 1 e d c r Z j y m L 7 B i N j p C p B R 8 f d L N E 9 0 D B E u E c 1 T x R p 1 T 7 + n U J K K o H z 5 8 8 7 p w u k M m K 5 8 l r b m I p I z N L 5 F / + b / 1 T b U N z j U k r 1 O / V l z 9 6 B 6 / G + a g b a F J c u / S C 3 b 9 9 W k 2 a F j X m q R F g L o a f 3 m d a k 6 + e s 4 W b D H R W 6 z e 2 b g 6 3 Z w e O c v Z u S z R a R T s W j J t / t W 2 a m T a h Z / I q a f g 2 R 8 K N i o J 2 D s N J W 4 b c M 5 e h 9 1 q s F H J O 9 + w / I Y O 0 O F X r X L u z s j 5 t W x K S u B E S U f / H F l 9 Y X Z m 5 y J X y n a k Y G W N b V F T Y 5 c Y z 4 i W q M P J p 6 9 N 4 Y c j 8 4 M G g V w X Q g E 3 V 6 P 7 3 Y x l G 5 W Q I p 9 o d z l 4 p X o 4 u A h j W 7 Z G C o d k Z E B H 0 u 3 k F H Q C n x b Y z T w d Q b G x 0 x 8 4 J h A y 9 K o i i + P v u N v H b 8 1 Q U h F N r h 7 N l z a o a d D H L K w 7 k H K W t b M W 6 K z m a W l J M X w E r h H T 4 s M 5 m 0 m o x 3 Z S p R L 4 + n d k i q P t R 0 c 4 m C x 2 y 7 e / e e u e a 5 t 9 n K 8 d N P P 7 M 2 J f D P w n 2 R + C 0 R F T h P 2 C a y Y i Q z J Y + H y + u k r x Y W p u p 9 A Y y O 1 5 k T w h O J B P i L t v c y Q 4 3 5 r m o m 8 v B k Y Z P P J 5 k Q 0 n i N G 5 6 9 E E A o i C y o F M f b x + X H 7 o S Z f 3 e f x e X p k L v H u T 4 7 z g H M Y h w V z c 0 t c u T o Y T m 4 Z 5 u s a s r 1 X H 7 3 s H y z 1 w P T c 8 + e 3 T Y 5 T S n g 7 q d T t 6 n Z d a J H w f 2 N j A x b W r N m j b n U m Y a M K c 4 S s r T I B N T k + + f / M q u v F j m l W r b K e D q Z J Z R H l F R o p 2 3 J m 1 K X e W S 1 H y C U Z b 4 F v 3 9 g Q F L a B i i 7 I 7 h C I E C Q i i E M l W J t w 6 R 8 d r v O R v w y m Q z t t s Y S 7 b V K A D F p 4 9 Q m 4 h Z V 7 y P r G X 1 M l H t G Z X j N L H 1 v U f B e 8 N w R b 1 i s L J n 0 h f Y g b d 6 o a 9 9 X E p j w x A p e v X b d r J C h w U F z 6 i Q w S 9 O j k o 5 B 9 l x Z W q x k T b y l k j J T z Q W 1 U x R 4 u L Z t b Z c 9 u 3 f J q 8 d e k e 6 e 7 q w 3 a D 7 R r T V h N A Z u v g G Z W l p b g q 3 K Q K x o c 1 0 o 1 J e 7 k j Z 3 4 H y C c i b s K H 9 I / o N + p h 5 L 2 V w Z v B 4 I d 1 W v z 9 i y Y k N S c E 7 Q O c + Q j U J o b G y S 1 a t W m S M i i u j 7 R 1 M d O n j A 2 l B I y z N t 3 9 K 3 O D E 2 M k O O F j M t m U i J R E O b F r q 2 k 4 J 2 k 0 d 0 n S B X X v K g m g h E g Q 9 o Q 3 X z p s 3 y S E 0 + P H v z B f p R s P / z v V T z C e 7 9 R T y Q L 2 / K 7 Y c 5 c z e V 9 Q D O F 9 B 6 T D q T 7 0 V l 7 o t v 1 Q R k U h u m D + j s 1 / b N 4 L j 8 8 L h w B / f j R 4 + s / c O E m I W w c e M G u X n j Z r B V H G g s z E g 6 q W v 0 p u r r 6 i y 8 q l H G Z 8 j T Y q U l 0 4 a a i k O o 4 h E R j G T d 2 5 a x x u j o y I j a 1 K R h K 9 y X 1 e 4 / f + G i k X E + g E M E M 2 M + 2 2 T 5 Y K 6 6 F z F T i Q 1 k s k 6 P i a m Y X H 4 8 d 4 K W g h 8 q T 7 B x M f T c / 0 G e D c f k i m q r 4 T Q T W w Y 7 F O P p T H b W I 2 b i Z Z Q x b c D o q O A 9 e / f I u X P f B l s h 8 i t X 3 g k V 0 f 5 9 + 8 2 x M z W l F k 1 6 J D h i 8 b E k C J W o a 1 E h z g 1 8 B d H 1 4 1 v c y + y 4 c 8 d q p X X r 2 r J e v X v 3 7 s n k R M b m L 5 g P M H f d k y d h P N l C g D C f / M D V S s G 0 Y 1 H Q n k K Y 5 x s M y W e U c Z T A U T D h z K s 7 G 7 W y G 7 E h J s w M x V C X U 7 f q b P n j Q J t 8 c y 9 h 2 u z s v V o 5 e z 9 l c 2 q c v R d q V U j C T L o M T i w F X 8 m x o O 0 8 M p a W W v 1 t Y 7 x 0 z G K 1 o G + U G 1 z c F K t r 1 7 Z T 6 C K P E g k Q y 9 Y Y B J S 2 a y F G w b F 4 p 9 5 8 8 w 0 z B f E Y v S h 4 a Z C b / p P 5 N C W j w F N l U v E C q E V L 5 b d x + g q b X S + K V 9 b 1 y s e n v p L 0 W G 5 5 8 A R H N 6 X l U W e n t K R y N R h d G 2 i q e N 1 K S c f U M N P 2 F t t + D B j 7 P 7 5 R Z 3 1 d H Y 8 G b D T A Z 5 9 9 4 X Z G k C 8 P v B 9 S / Y o V + s 7 H p F / N 5 / g 4 W i p X r h Y j L Q m n R D Q q w i O 6 T v Q 4 w P O W 7 y n C W 7 Z S z T 5 q u A P 7 9 9 s 0 W Z i O L w J M s R M n 3 t C G c N x m W Z 0 v U z I K i D q X Q X O 5 o o U b P T d 6 v W u w x r 6 U M d 9 o b m q U D 9 4 5 L r W 9 p 5 U J Y 7 J K i d y s b S x m y + V d M R L 6 9 Z d q b A 6 K S s E g x h 8 f j t h 8 f b / 6 1 Z 8 G u T P h t Z O X H P 6 u W 9 M s w 5 m k t n e T W X l a z L T o T o m m D Q f M A + Q J l F 8 b Y b e T R 4 / 7 Z A G i 0 N O P y g e Q 6 t C h g 3 L x 0 g 8 z z l M p c E j Q i C a G 7 M K F 7 6 X r y Z N s q A 4 E Y y g I p u Z c x x F B K B s 8 V w E I w j 1 z J 2 X L K O o i T S f a U h c 7 n c N g v o G n 7 Z 2 3 3 p D 6 v j N y e M O I m u F j 5 g W k r K m E G H 3 7 2 t a 0 d Q I T e l U J U i u 3 W a c t X z Y p 9 O b 8 + 3 T a i a V b p / 9 s 8 / q V 8 r y / X 1 q n 1 T o J 5 G q x 0 q K 3 o Q Y H Q + 2 U T w J m / V k V D B L k m O h 0 v x 4 m m N m a S + w Y x v g Q 5 j J X c K 1 7 9 + 7 b R I 1 v v / 2 W N a g n M h M 2 C v b R o 8 f y + 9 9 / Z J 3 J H P f Z q d M W V o O 7 v 1 z w n E R N l + u U 8 I 1 3 v h b C d G L R + c 4 h d H N i p p l L U T 4 K Z k a a T 1 D R H D l y W E 2 z z 6 0 8 r l 2 7 L j d v 3 r J 5 I q L v g V X G i 5 U L T E F i B 7 / U C i M 8 y 2 x w p t / 4 2 I h 0 j T R m K 9 b F x O I S S g s D O c w n k 1 8 / q S 8 E o a U B X 2 j q X u D D / a N g 5 h 0 E v 1 C 0 c y l w 3 T 7 V P E x y 3 6 Q m z v H j r 1 o N S O w b D W A C Z f U o E y r C a b Z v 3 y 7 v v H v S X O B f f v m V a a 3 o c x S D e 1 5 X U U B E T F Q 8 i 5 C D h B l r o T V a W e D N n E o P y e 2 u c e n o j q l 5 N y k D o 9 O q p e j X G Z K O O 3 d l 2 5 q 4 v L J R T U j J 7 R C v Z D 6 I S s C Q + v f f f 8 / M Y m I m K Z v 6 F f X W 3 R A F U f j 5 3 9 s q B U j I O / e g I z m K 6 L N 5 T c W f z r E 2 G Z a V 1 j l c M 7 W 4 0 R O x P 3 5 3 Z X Y J W C D U r d 5 v c + w h U N H o C J b D z 5 9 I 6 + g l K z j s 4 9 d f f 8 3 2 R Y E J h u C 1 F u g g H V f B p P 3 z 1 s k T W n s W D s a M A i F m 6 i v O B S E x b w q B e z 1 9 + g s T q C g Y d n 7 j x g 3 b z 0 D E U g M Z I c + / + 3 d / L + v a 1 s n Y + J i Z f n j 8 S A m t Z X E v O 7 d 6 X D I T a R u P N T A 4 o j V w 3 M 7 f 3 d 1 j h B 8 e H t V 2 x 0 p 3 U i 0 z F S e Z W H 1 M U k 1 u u A k N 5 A 8 q N L 3 m C i w F A p M P H s z 9 q g m f 2 / n 6 X u k Z d a N A + 9 q g T F 3 H I 8 g g y n w g K 7 4 i I l 3 q j M m T 5 5 O y t W V Y m h I j M p g s X P l W A 4 t K K G n Y r 4 K c O 4 D Q k y o 9 3 C u / P O q m u Y q a E l E g W D g k E k W G A 9 A 5 y + T 0 p Q J Q O X 9 X V 5 e F M R 0 9 e s Q 0 U i l w n x C K g X r 5 I 2 A 5 F 1 M O M 5 U W 2 o u a u 9 A o W Y T g t 7 / 7 g / z q l 7 8 o a f b 5 5 + a 8 X N f D l 0 m h c v n y T p 2 M T 4 b n Z I x W m Z b l C w F r o O 9 5 n 2 z b u i 3 I c T h 3 v 1 b 6 Z 5 m d N x 8 E P e 9 p S 8 v V r l p 5 T y s E / z 0 v j 5 B Q j l S d z 6 f k a i c B v h l 5 d d O Q 9 M U i k 9 J U G e Z o W q y k Z W L C Q c r H a i V K M a H x 6 O 1 9 V r I v B 1 O N 3 v R i p h 8 v h W m 2 i B P D 7 T 4 b m Q A E Y I A c 5 l 0 + u F f a c E y j 1 d j Y Y K Y j z h R e e h Q 8 L 9 d G E / l n L J Q 8 W H d a y y W 0 J 0 v u J T / t W 5 9 7 r U t d 1 W l X 8 D y p 2 t z K o 2 + k p m I y A d z p V 5 R M S M X M o f 9 h B c u C N M y Y L c u L 2 f i t W I x j w v 3 V T J U / 7 T w h 1 e q + T e T J l E 8 q O n I L E S 2 K 0 b F c h 0 Q + 2 H f g 4 H 6 b U 4 E h 2 d F a H h O P h v W B A / s q j t l j L B H e x W L 3 h 2 A z y v e D D 9 + X I W 3 n / P H j T 4 x Y X g t D M B w n C 4 H G v O 8 5 9 Q z F r U N V K / M F A y Y s U e D R u S i 4 i 7 l E q O f j 5 t P Z + 9 W Y / 9 2 g C 9 q N D W N 9 b n s R s G i E S k / w L V q n n b x g R g W 0 O E 1 C t J Q R C Y 6 W w j y j k 5 Y G P h 4 5 + q q Y F e j k y b f K n r Q l i s 5 H j 8 2 k K 0 V m Q L T 6 1 m 1 b 5 W 2 9 D g T 8 4 o s z c u r T z + T c N 9 / a l y k W A n S C 5 4 M O V a L T o 5 8 x f V H w r m g 3 0 W 7 8 W C s M y j H a R 1 j O + y s H j w d n m v N R O Q G E M 0 W v m M 7 M r S t j P o C u 1 E X 1 k z f 3 i m E W W b V a v p j j I B 9 c h 8 b + p 6 c + N w / d g Q M H 5 H U l 2 V y C X z n X Y y U U J l 2 5 Q N h w N T P W i C f G U V L o K 4 r z A c q t 0 N x / 5 H w f f H 5 0 L q C 8 0 e q Y z 1 Q O D L f / 5 p t z 5 m X 9 8 M M P b P o v z F A P n B G E K 8 0 H x i N W b C G Z 8 R 9 T A G r s q V R j u o e y V s 2 0 K B 2 7 t Y 2 r 9 A W 5 2 L 1 4 L F I a A Q i p K U U 2 g H u Z n v V y w I t + 8 4 3 X Z G V r q 3 U e 8 n 2 i 2 b R L M W C m 8 s t y y R w F 3 1 b C Y 8 n 9 z P X 6 5 Y B J O A u B I u 1 W E 7 A S 4 E l l g O B H H 3 0 i F 8 5 / b / 1 7 y W T C N C z T l / F V j f y o e Y Z x 4 N m j k 3 k + 8 N X d 0 J S k 3 K K y E Q 3 C d Q I m c r 0 7 K b W T o z k y V 6 2 0 K K F H k 9 M N 2 f Y M h U 4 B R Q v p e P t w N i q h G B g P U 4 m G 4 f y + 4 f 4 i o L 3 A N 4 / m c h 6 e u a V l 4 V 2 6 r 2 n 7 8 + D 6 j A w P M r F n b o V 1 6 V H 5 T g o q D 6 Y B o C u B j 0 + / 8 e b r s n / / f m s f E q B 8 5 f J V K 4 8 o e I 0 / V H C N c h D V Q B A q W h m F a y G I J H n 0 + N k M u a t G m j + j u g J M 1 z R m S R Q l E i A m 7 O y Z L 6 1 W 5 I U W Q 1 p f Z N T E m A 2 8 + L k O 6 I s C o q 9 b N / N L i O U A 4 X 5 R Q p c D y q 1 2 o l t W 9 J 3 V r d z y B e c 7 X U V E g C 5 d B k + 7 u 2 2 O c T 8 O j L Y R F g B d A H z 1 E a 8 m W i k q y D z H q 8 e P 2 e d + o i D k 6 V m R b x S / C P j 0 T z 5 4 s o f 9 M y 0 F 8 n t H Z 5 + s Z i G g d 5 n P s Y V P e J H z i e T R 1 l R j 3 x V i c k p c 0 9 7 l D C G i X k E 6 R E s R L h 8 I y S o 1 9 1 4 U R C f Q 9 z U X E F G / 0 F + R o M z + + N H H F r n 9 1 o n X p H n F z O s 9 G 6 6 R e 8 / i M j Y 6 p u 2 h R 0 Y i o v S J T f z h h 8 v y 9 d f f y B / / + I l 9 M X 5 b i a 9 z Y D 5 3 P X E R + X T C F v u k 6 H z g y u P k z A p Y 1 2 / 3 F K 5 U J 6 Y g Y K 7 c V S P F P r l w r b B k L y A y t e G M s L 6 Q f E H x t X Y a s 9 T m T H O F d w 5 P H d u Q i / A S p h 2 m g U x H b L k 4 q 6 b L K 6 + 8 P M P e r w S 4 v m / e v C 2 v v v r K n N p Q P T 0 9 q g m e a 2 W x M 8 i Z f 3 z z z b e y S 8 + P W x 6 N 8 v C 5 G 9 S H G f Q k 8 s l S y r s 9 9 q P W q J m C n / S k f N F C p c x q X t n 5 u x P y u H 9 a 6 l b M n G B l v n H y p T G p r Q m 7 H p C f j 3 9 M 6 F L X d Z u O 3 c m J t I 2 N m 9 J 0 Y E + L P g O C X j 3 M v 2 6 e B Y k V b U q O m a a e B 1 / x A 7 x M J j h E e I 9 p e l P t d y I e 3 j 5 5 w k w Q w o P y Q Q E j C G g z z B X m m u j o u G P E Z D K U F y F T X 9 9 z 6 8 u C l H M h k 2 / L L G Q A J 5 E D j G K m M 9 u b Z 8 z h 9 7 A / n k M m h 2 k Z n G 6 x T 4 U W A n 1 K s 7 V R r z 1 N S l + m s S p k A r T N k J q o 7 K x a g b s 4 2 I i A x + 9 7 W n q w 4 k K g 6 p E S y B U F E k 0 e r N N P B B n A m j W r L S i W / h w f G c B L 5 n M o j K r 1 g E h 0 L F I 7 f / / 9 J T l 1 6 n M z e b g e D W o 8 U k z J P F d g 0 u A m f v X V Y + a l q x T 0 f 6 E h I X Z C 2 y I L h e H h I d P m + e F O f J s 3 H 3 G t u R t b 2 w q G R p U D h r G / y H T N c w F R F 9 M R t x 6 i 0 9 6 i V o 7 b c h n B g n k c + 0 b x p s 6 U w Y V M V d d Q s d p V O S S K Y m K 0 X 8 6 c O S u / + 9 1 H d g y C P B t o P P / u 9 x / Z 1 x u I B t + x Y 7 t p E Y Z T o 8 k I B Y J 8 0 Q Z 1 J U C z n L / w v U W e z 0 X 4 e A 6 G 0 + M Z O 3 H i T f v U z E L h U e d j + 6 g B z 0 r Z c e 9 c / + j G c d m + i k / I B A c q p q Z j k q 4 w e g J Z 7 t H 2 F 5 3 E T A r D 1 G L V R U z u 9 S X s m Z w M T U u T D c t n 2 7 h k i b 9 4 B k d H y o 9 0 n y 8 o o S i U 6 q V C D g m / v b p x S t 5 + + 4 T 8 7 G f v m 4 2 M i Z Z / b B R 8 R v K s N q A / / O A 9 M w G d 9 m q 2 Q F d v Y n n g n c O L R e O 7 E m c G H Z n 0 W x W K a C 8 H t L v o C E X Q u b + 5 E r s c J F O 1 9 p x o + N / + 9 v e W z p 0 7 L + e + + V p i A z f l j Y 2 9 0 p w K e 0 k J S y o X z F f B H B F 8 / H u 2 b w E v H N S C i Y z x c q K h f 3 J E J N y Y X A T H R N U 1 l J f z Q k R h n A 9 e t F u 3 O u S T T z 6 T 2 7 d u W 0 0 7 M D A w g y C Y U R D k J d V I 2 P t e U N E i n D v a j 0 W 7 i n m 2 b 9 / u s G B Y v F i A 4 / L P m 4 / B g a H c T 2 p W C D x o / H 4 u 7 a 5 K U a v m 5 I 8 / 3 r Q P J R C N 8 S d / 8 j P Z s 2 e X H D 5 0 y D 4 Q / f E n p 6 S m + 6 y k E l P 2 + n k D A 2 O u 3 I p h R L U Q r v A f H i f z O l G r C b 2 w v i t E B l O T 9 + b k R 5 e R v 3 Z A Z H U q e 1 z 1 E P v 0 4 v W q X j G T 3 K 3 C X t j D B 4 6 v 7 5 X r 1 6 5 Y e 4 V R s 9 T u R E Q Q O x e d u p g P A z D I r 1 D D m R q a s U 1 H X z 4 i z U 1 N 5 g 7 G 9 P M T K T 5 4 8 E D u 3 n s g a S U a X d s 7 d + w w I j K j E v f F + K m 6 V J 2 N q U K j E R t 2 8 q 0 T O c G f 5 Q A i f / T R x / K L X / y 8 4 H 3 O J y h D P g e z p X 2 L k Y f 2 Z r 4 2 p P L g e 7 z M a d f e v l V O 3 a 6 X X W 0 T s r U 1 E t u j Y I T w z e 6 E m n f x R S R R L r y M T E 9 N y r r G j O x e w 8 y 7 b v j G p z c T 5 u X D u + c 8 f c 7 b N 6 X p 4 P 4 1 + m 4 X z h G U j / j f / t 1 / V r U v G N Y k k j L B y M p g h q N C 6 L x 7 X U 6 + f t g E g j g x T C U E h I k S P S H u K t F S K t z F Q o 8 Q / I a G F X L 5 h 8 v C V y Q w D a N f 4 + A 8 f N G B P N o 0 L m i 2 y + a j 2 L h h o 0 W f 0 5 G J Q 4 S 5 u T H b v v v 2 g m z Z u q U i p w Q j e Y c G B 6 R d n 4 H n W U j Q l r x 8 6 Y o w v 1 1 + J 6 w H e T h 0 7 i q p 0 u N j s q K x R e 5 1 p 2 X 7 W r 0 3 f R 2 0 O 7 5 9 W C u 3 e p h b r 8 Y q + 3 J R 6 C u L 8 w 9 X + Q 5 o 0 7 q 9 N Q 2 7 b P t O D 1 q L U D a t p L O J 7 Q l Z 1 V q v 7 2 z h r Q O P 6 o Y e x e l P C j V S I V L V t h 3 K E Q b W I S C 1 P U C D M B P p t s D d 6 z t 8 q X 2 9 1 s P c 4 3 g + a E Z 7 a s f O H T n n R L j R Q r T R G A P F F 8 j R i H j I V q x w Q 9 4 J r c H L y L F M U r 9 + w z o l X W V T P k P U v v 6 B e Z n a L A q e M w r r W D 1 7 T j a 3 b z I y l Q K m J 4 G 6 m M u P r 3 4 i g / e / l Y + u J 8 2 s w 9 k w O I f x S 8 D P g b 6 Q s I G G J j N K K j x + u u 6 + m R z I F P 9 1 6 Z P V C B N j h W V x g Z K W X q H s B U r T L E s j P e k E A r O N A Y Q A p 0 B 3 d 6 + 5 1 M + c + d r 6 l A A k Y v s P f / i j f U f 3 7 3 / 7 O 1 v H x c 2 w 8 i N H j 9 j Y p b o 5 u o Y 9 G H n b 0 / P M P h B t L 6 p M o P 2 O v X J U 2 1 E v P r M p 1 3 3 y 9 K m c 0 2 d j f B W E 8 P l X r 1 y V n V p p M P S e i u N 2 b 8 J k q R i o J J g 6 g G 8 1 v f v W y 7 p d v n M C o I 0 2 t V T f M w F 3 P F l u P I 3 r 0 r W T / J y N u e / G H f d 8 i L w 8 O V z A V F W n B M / r C y T 3 4 X P R 1 d N n W u b O 3 b u 2 z a f 1 p 1 S l Y z N j B v J l Q f Y z c x D C T u P 7 t d e O y 6 G D B 2 X 7 t q 2 y b 9 8 + 2 b x p k / V d Y R a i K e Y K a n / 6 t 9 r a 1 k g 8 U V m U O M c m k 7 X W K T y b 8 2 M 2 U F 7 3 1 d R d p 6 Y q X 5 3 w x Q e x + E g 1 G t W b l Q z f K H W X O H 6 I V E k n 2 + T 7 H 5 / I 6 H D u 5 C r F s L Z x U l 7 f k r Z 5 E j f n t b u q A c g D W L h B h d M y m m Z y S W a 1 h e A m Y F Z W H K N / J T P f X 1 G Y B V U d v h H I w K z o e z 5 k 0 y z T 4 + 8 w L U 2 N j d Z B e / D g A T l 0 + K D 8 4 f d / l M 8 / P 6 1 C F H x + R R v 9 T D o / M j q S E 7 B J r F r + V x 0 q A b F t + / f v t c l H K p 0 6 m T Y U w o 4 T p J w + t V K A L F u 3 b j X z F 7 O N S T g x / f C A Q i a 2 P f K / z Z s P i I 7 2 v / L N R z L 8 6 J K s b i 7 u M F n f N C l v 7 x i 3 u f a O b M w E / T 5 q N V S v W R L C + I I U O e J g 7 t 3 s i e t S Z F 9 b x p E o u 9 s R a x w f f w F Z X K h U V Q 1 V 1 1 z 6 4 8 8 e a z a 4 g E w c E e F Q c + 7 Y g b 6 m X / 7 q F / L u u 2 / P a E / E V d i I R O c 3 C D G m I 2 2 i u Q D N R q e s m 3 0 o Y + v l t o f 4 7 e 9 / 9 w c 1 N 2 v N H O M b S F 5 L 0 e 6 D C M T 2 u W c r D D x Y H j z L l 1 + e s f 4 w P k y G o 4 X 7 u X j x B 5 v n v R I w Y 9 L P f / 6 h z T d 4 W N t T J 3 Y 4 E 4 6 P b a 9 c M S X 7 1 2 d M C 0 G i g x s y N j 9 i P q 5 2 V Z t R 6 B v H F i O L / v u 8 w 3 1 W J 6 P E I j L C H 8 M / x y r 9 P 1 H d 0 b t V d U p E 5 K M k r g Y T i 6 R S d S p 0 3 W b W 8 L n K K F w t z d f 3 X O 3 a N e R s a k J T 6 u v q T R g J Q 3 p F 2 z B z A S 8 N z 9 8 b b 7 x m I 1 N x b m x S M x K S z w Z v J p 5 4 6 w 2 L k M D l / / y 5 c 0 5 A 8 N O n v 7 T h 8 F 9 / f c 7 a V 9 6 p g m n Y 2 9 t n 5 t h N 1 b K 0 B x n Q x x T U 9 J + d P H n C P I 9 8 J 2 l 0 Z F T u d N y x G E e i v i s B G o o R x 3 g z u Q 7 k 5 z N B z K F 3 b H P a P g 5 Q a C h 9 F H z S p p q w e g c i 2 U t 2 y T u 4 X E e z H S C x Y J 8 n X V L S B W V x o V J 1 n R J l g h G f z 9 V c w s s G Y b 7 9 7 r y 1 i / J B T U + / A + h V Q q k x l N U C C G m t a o e 5 d s o S m I s W Y P g 6 i a / r H T 1 6 2 I Z 6 F w L 3 A p E g H J p k 3 7 4 9 F v q E 8 G K O E c n x 4 4 8 3 5 M q V a 2 a a / u m f / o m R H Q c K Q / M h 2 P k L F / T 4 a f k 3 / 8 f / Z Q M o C Q b u 7 x + Q 7 7 4 9 b y F V e B t d u y w p m / U + b t y 8 W d Z M T c X A b 4 8 c P i z n z 3 9 f s U l a D a + e h y e R k Y R V y 7 M 9 9 i 8 z 6 f Z B s G x n b n C Q m 5 w m X w 4 X L s X / 4 7 / 7 z 6 v W D x V L r t b a l w c v 3 g / l 0 d E 1 J q / t W 2 v C j H n k Y 9 S i Y A p g B J U 2 V J 3 W q N 8 / r J G m 2 H P r k + E r 5 E N D g z Z A r l J A j s t X r k j 7 5 n b z K G J S o S F w c B Q S Y D Q o h H j U + c i u z X A I 2 j X + f n n e i 5 c u 6 7 1 u t S B d z k e b y I i q 5 G I 4 C n n J R N K 0 4 L 6 9 e 6 y 9 S H 8 a J C I i H D M 3 + v x M h N m p 5 v C e v X x 3 a e 6 W O 8 + D F / W s a u F n q h 3 p P O c 6 p S I 7 G G V 9 q 6 e K J l 9 A k m x f E / 1 P J k N u S f l 2 P s c C c v t d m r B l X c 2 E t G 1 Y u C 9 R 5 m N J O i V A X e N q 6 6 l H 6 F x h 5 v 6 a b U w o H 4 H A J z L H M w S A x q z X n M J s a p z b 9 3 E x y z D V f C A r U R S Y f k y 3 7 D U g Y B 1 z C d M Q A r z 7 3 j v W x w M J o u C e + I w p 0 5 l h w v l z Q C r O z T N C G N p a A C L 5 0 c j 8 l n W W H l Q w D C S s J c y q o l K d C c 5 r U 5 6 9 / 5 7 s 2 r X D u i a I 1 q c b 4 s H 9 B 9 L d 3 S 0 9 m q L l f + Y O M 1 Y F G w s M e / f + H x f 1 K d j 2 y T T R j P w p q c F Z k y e H C 5 m q 6 p T g m p X g h 8 e O L E Q w 3 L 9 / 3 9 Y 9 E M r o t F V d g 3 E b S 1 W b S p q n j / 1 J P 7 i q D H C 8 f x F o E 7 7 5 G h V i T M c 1 q q 2 6 u p 7 I Z 5 + d t r j A j z / + V D 7 6 w 8 c W y b F L t R I E i f 7 G g z x M R T q P 6 c 9 C m 8 3 V l U / b 8 M s z X 8 v T J 9 1 G 8 v k a X 4 U Z S V u M G a F w W F D m 9 S v q 7 D 6 / / O o b K x e A u z p d 5 F u 6 C 4 L g n b A 0 s r i s b F 5 0 a f / Y j p C K r o 5 q I v b Z D z e 5 g 4 L Y M d + q M l Y r m a n 6 r P D y 4 M B W s 8 i 9 n R W 1 0 7 K 6 Y U q e q C C v W 5 / r J e T L 4 t S u H g O j M R l 6 9 k j P E L P + q l F t X r U 0 1 t n U v q X Y j J n W 0 9 2 j Z k 5 S y d F k 7 R Z C k 5 Q J w R E q y K r 9 i A l k + D t f m q B f D B P N I h M K k K g o 9 G H R M H Q 8 0 x V Q 0 W 8 V t A 0 p C 4 i F m U g I 1 l w x P j o c v I f C o D 0 y r F Z A t N v h 2 w e 1 8 n w B 5 o w o B E e K 0 K z D 6 j A H z q S z Q K Z 0 3 W 8 z a j c a x z e h Z v v k x L i 0 r W m Q v X s X Z g 7 E Q o h 9 X o J Q r + + d O S r 2 x U B 8 m A s Z q Q Q 2 J F 4 L D L v e f q l / k E O I Y E M i 7 C g E A I e G o 2 R W T A O B Z W q y Q q K L 0 G T 0 P E k 9 D y 8 P Q c U R E p 3 7 g f O R T z + U 7 z x 9 E f D 8 u P b p Q + O Z Y q X Y X g D c D / e K N 9 A + N B Z z l n u l G B r s M 0 E t h u 6 e X p s S 2 z 8 z 1 / 3 8 d s q c R t W A E S m P U E Y m i B Q Q y p E J Y u G g I k D W D Y G f N I f V u G z Z 1 C o v v b Q + O O P C o 6 o m 3 1 x B I 3 h y u s Z M D V 5 m R r d Z n 4 6 5 h v G k v u n x I B 8 C m d n l U 4 D J A n K D g H g y Q S D 6 m / h o W P 5 E K k 6 j T l X 8 g b R i 4 P 6 s I l A i T K r x z 3 1 U A u 6 u R n 8 L m T K q O R G 0 + c Z n n 5 + W l a 3 M y R A + M x + l n k 8 y R b 9 z l Q + n n Y o k S i w n L 7 B 4 8 v L 8 d j V R 2 i m x h B A r E G 9 G H s Q q Z 0 J F + k 3 y i 5 b C R m A 8 g Y o 9 t j s u P q 9 F w r m 4 t t W 0 E N Z l V w R I R d u H k K z 5 B K Y t 0 0 f n e / p u d B e P q J g L I C f m e P 7 X N Q y Q g X 8 B K T x p L A X 9 T z l 5 m q w c g 4 R m I 9 X V 6 z 3 7 F 1 u F t C w 0 1 H w B L Y W i Q n h J 9 F 8 w N m g 2 O L 6 V F n l 9 p e 7 F B t u l Y N f X Y z m v I 8 S E C c F c w D k Q L G a D K u f a s 4 H 7 w v O Y b 9 r e f b Y w X 5 h n y A g W R r Q j 2 Z W j b u u S x L Z b z y V Q m M j 3 K c z n + L p U F d 3 7 C i 0 1 C q l 0 o s O M h j r r z O t 9 + v R p i 3 B m c s T 8 Y 3 3 i e B d a H 8 1 n 2 6 0 t B t B S 1 I p o N f N U x X B H z + 4 F s u B c a s V g O x / U h A T q j q f H 1 Y R T c v A y A 7 D m a k t c u 5 P W d q K f y 4 J 7 x 1 y A L 2 0 A 9 h U 7 f 2 n E z D n C O U u 1 h 0 r h c V e X / H j j p k W W X L l 6 z e I o 8 8 E Y q Y W E 7 y h 2 H + A O S e G I k b u d S 5 5 g m d V a u X l 4 K p 3 E V S e V D D 3 y e P j g g f y P / 8 N / L / / r v / p X 0 t F x W w 7 s P y C n T n 0 q D x 8 + s P 2 d D x / K f / f f / j e 2 D v 6 3 f / 2 v 5 c / / 7 B / K 0 y d P g p y l C 9 p d 1 J C l Q J v H a Y K Z B + p r k 7 S S g j Y R o V L U 7 I z 0 h T j e n K O d g 8 A D z C g i J 1 J 1 K e t v I g D Y d 6 a a Z 0 q P n 9 C G N g 4 X i F g M 3 A n n x 6 3 N t b g O T g q I W c y E 5 P 4 t k o B 1 l y W n v / h S N i i B 9 u z e Z Z E g B w / s D / a E u N V d v V q e j w w Q P h T X O 5 x B k L x 1 / Z N d D 7 c 9 m V h O a f k 6 p 1 W 1 U t k m 3 7 l z 5 8 w 8 e e v k 2 / J f / 4 t / Y X n / y / / 0 P 8 t f / s W f y 7 / 9 t / + 3 E u y U 9 A V x b n / z j / + x n H z 7 b V s v D C 6 9 d D B b G 4 y 9 d K 6 a a a b r C K U T f P c V P Z w V t M O s Q H U 9 l a o 1 0 g C E m 7 4 i C M e X F s 3 5 Y V 6 5 8 J q s Q z T M T x M M 3 S b I 1 7 S O C U m Q 9 J + / N l o N o v p I B 0 h Z k 3 A f Q c j o f e J C d s T i n 5 J P j 4 f o x E S 6 o S 9 u E C Z D + 0 u B q c L u 9 l W J U P a c + m y 6 n F D t k q j R C s U / e 8 H k y c V x r s 1 k 2 w G Z W D c H V R V R t l N i w / o N 8 u m n n 9 h L 8 v h n / / z v 5 I M P + J Q J I 1 5 f l Z W r y v s a x l I D B e 8 R r u U C s w + y Q C r T H l o O v C v T X s E x H u R A m n h N 3 L 6 4 U e i Y f L C f 4 y E d C R c 9 F R j X g g h + / B c k g x w I D f d j 9 6 H / 6 B T Q T f s d 5 M W J Y p p O f 5 P W 3 7 L O / I Z 4 M a k c I D A a t Z T A o S 3 O z 8 N H 0 8 q F l b 3 + c S T h w 9 y s u y + 0 e I L o H 1 t G y Y R p Z x U P R C L 5 Y x U x b D A e s U q p b A 2 1 u X 2 z / P V f / 0 f y X / 2 X / 0 W Q E 4 I X d P n y 5 a y G W m 7 g J V j t r b U 6 N T s 1 P E K L s P K i S I D n J B 9 B N o 2 i Q m v 5 u r 4 Q g J R c h + t i I q L 5 I A s a D 7 K x z 8 i l / / y L 5 E 5 5 t 4 6 Q e m w q Z d 0 C t b o O e Z w A q p D q O U t w y T p v v 7 n / Y i O d K 4 E j h 0 v 6 J 1 h 3 x P D B r 2 y b 1 g 2 e w d a z 2 y 7 G z 9 6 Z 5 U 9 K X a q 6 U R I g d v r K b S c t B f D a 7 u I T x c 8 d v F Q 6 e I t e t u q g f q f z m J e G B k J Y e S m s Q x 7 A P o S Q z k R m f 0 X Y e Q a 0 B o I + u w 6 a G z A r g R H A 1 k J Q g l Q A 7 H P 3 4 z x m i R K 3 4 s + H F i z W s d s 1 U C O X u 6 q o m b R s 9 Y + V p y e J d e I G x G D p I y M I e q X v j m 2 i I 6 y T l 4 5 c X a c N O m E d u 5 r U t G 1 b 2 y g v v 7 I n u E p 1 U J Z T Y j 7 h a s W l Q y Z u J T Y d v D x e r I J 2 j h N S V w o I H y Q D t J c 8 e T j c m X M L V V p 6 L 3 o 9 5 8 G b W W Z c l f 2 M 4 v X b B f t 0 c q D a r I R q + u p e b V X J 5 G T B k S l L r B L J v K 2 2 7 t 6 X f 2 + m n Q L N 5 b X W 2 r W t V i b V T F X v 2 O X h w Q K d v n L o j R h J d I m g Y U Y F 2 W o q O b M K U 5 B t I 5 Z u + 3 Y H z w L x F g q U l H X a x j A v 3 T W J C C F 5 e l G c U X 5 E V o u j w E H w l c / R 2 B f V q w h H h m I p J I s j S S Q f Y g V 5 1 i 0 R I Z J f 3 7 i J e E y 9 S B V T d U t v i Y K J 8 3 E I U N t H 5 4 2 w x r 6 + I L d B i e W j c H z g f M C R S c 2 b 6 Z h 1 T v r r E J M Y j 7 n r I k g c 8 6 K k h r N M s 1 x 1 Z A k S T Y 4 U L g X b U a 0 U I V F O X p R M t o 9 2 Y v X F O / b F 1 e J t q O O 7 X B v q / / w 3 / 7 s t / 3 / 8 N P C b 3 / x a t X G N t a E w F 0 / f S d n 3 o 6 o N I 4 Q S A H L o h i M J 2 y R r L z l v p m t P O b P c x r p p e 4 k + u O y 6 t a F c h z l t J 9 p Q M Z m Q X / 7 q z e B K 1 Y M S q q M E o Q p / O + h F M a 2 1 7 s L V 7 Z W B K a i S J S o y X j o v y n n 1 w g M p t H R 6 3 L x u 8 9 2 G c t o p k 9 W a H p Y / F V P B Y 2 N K 2 3 5 E 4 C f 1 G W x 3 W c C D 6 T V x / 0 C f n O l I 2 t T L 1 Q b l a i R S k u R o F i N Q L o l s G R D M k U i X j M j V d f + x N Y s 2 V z K R I N T a 1 Q 3 y + p u H g 6 t V D 1 V 3 S g D m T V g q 4 L M u p e 7 G n A 4 I d a R A t F 7 V F 8 j X 4 B e u p J A 3 z E z j T p D 4 / I w 5 J 3 Q n + 4 n A J 7 9 i 2 M l F L n S m F p V M 2 X 9 2 P 2 4 Z J g i m S 4 j m T b 4 C p p 9 L I f n 8 V M x H X 9 6 b f T v V T F V 3 S i x F R I d 2 u F f r w n r M B M m + c A f b F 0 R 3 4 7 R g V 7 h 3 / m D X 1 M T w E j Q h H b t W A 2 v t O 5 E h Z p C 5 v S E 1 9 1 g + a F e g p S D n a H V n 2 D L 4 5 / L l m k 1 G F k g S J L a z p G H b 5 w d L z Q 8 1 W Z B v 2 2 5 / t a P M f a p + q y 1 A a b 1 Q X U S H d v A y x s f C L z v Q z 8 R L C z 1 7 L r L b 9 Q s F 5 t c 8 w w m K i + n j 9 J h 1 m J b x R J C S K U l o S t U m X P w e b n U E z / 2 8 J G g 7 S U 3 C j q 8 2 c g j k U 0 A A S 1 q Y 9 h x + 2 6 9 H j 9 G E l v b E i R K J 9 4 R 2 0 j / B F a u P w J Y p l v 6 / A x u w a G u E 8 L j w H Y s 0 U C 2 U 0 0 7 S g x y Z H O b b k c Q 9 j K c n 9 J p K G i W S e a p U s L g v M z + D R K g g 5 G C o B f M m E K J E B T A b s X j O m B K K U K q q w p 5 B U 5 Q k R g q 2 f f L 5 E W J F j v E V j T s m N P N 8 n q 3 r b z Z u Z O 7 7 q B x X L 1 W 5 V E O 4 d l S p V 1 9 9 I G w W c q Q v D 1 B E C K 3 V 6 g H Y E y i r L P I 2 X w g I E W Y c w o I z x A f f c h G i O X C Z M 9 L V O y L 8 P R q x 9 D i C X z 2 x 8 k F k / W K V O N f l l p Q a W Y J E S R S 6 w S N 5 l g + 5 3 L o j l z 8 2 s h 2 Q y 7 e f j h 0 / 6 C 6 6 C F g 0 Q o V Y r F d c G H j R C C I F / s 6 i S 1 5 s l E L z S S a A 5 o A Y a C G i M 1 g i Z L w o o i B Q W F w z / 7 p s O 8 3 q i e W G i 3 j Y v S 9 S U X P / + i e b u I 0 s c W y p S W / O b T s S Z f d 5 I m X J 4 9 a N b J Z y X e t E v U Q 9 o 9 W G R a E U S w s N u 8 Q i v e R i q I k n r C a n l s c Z g M a i 1 q f d h J B S L g v 5 w i i T a T R i 8 A I Q K k j l w V q 4 N R O 2 3 9 S X 8 0 T 6 4 i 0 0 p 0 Y 1 w P 1 z L 4 4 4 E Z K w z j I g g v P U e c L 4 d b c v T O H x 3 o 1 u L n R t a 7 r J W y Z k 1 5 6 t W f l d j L R 4 V F Z k 3 e d W 6 E s H L l 6 M + 3 P F w 1 c Q E U 7 a M 6 x r u S 0 o M P E w 9 S A y b b h S s X e F Q H u P d h + l S q V A j V / t u c i B I x E E C s l k p P D r f r 8 / x g h D i q z b P p Z e I 3 m i h c s s K T X t 3 j P f M 3 V V B q p C X R R L 1 c T S I R U C 7 T x 5 2 n 4 i a Y 3 P / H v z P V F L c b i r u O n M 5 l b n Q S o f 1 J u e q H 7 Z Z o l i 5 A m I k V 3 m k s S W k W O y b S Q S Z C E v S x y W b p 2 l I 5 U j U y w 2 Z R V J K L / V T 4 u q o U C N N r Q N S 4 d P h l h N U r X S l A 3 Q w 3 V u H y j T 2 n 6 M g X 6 Y g v o C F w r M B I S W j J p 6 c w V a t t C M U Q s J i K F / s s m T y G n + g B D Z Z U A u I 0 e Q F 6 z 7 l L 8 / u w + z z 5 t + m g 4 d 3 h 3 c w e J h 0 Q k F s l z i B S w R W A R 6 D f N E p O y T o t R 8 N P j Z Z r D e X O b T K x f m i N B l I U 9 d p W B W o R e n Z f n w Z L J / L L N J y Z B N n l y a I E Z k v 2 k j f x w E Y j s g k C N T S K B s U l K h o X b t X l x z D 5 R 0 S u j / 6 i R t S 2 V F R w t 3 q S D a j o / e b 7 a A I v f K m s 3 1 o C + W 5 Y s + h V 1 n H o q i k j i / F w U E 4 a b t H y T x S 0 1 G C C M J b S e / H i 4 9 Y X w y E g V k c t u e Q N F 1 R y S W a 9 Y w K S d 9 d O H r W Y y 0 J D S U e + k U f y B D E U F d b O j 7 n w F u 1 8 Z J Z T L u f g M Q 0 M q t E 7 m A Q 4 E Q H / d U l Y H z E w U x p m b m Z K E b q A C z D z i c H 3 j i 5 D o X Q j K 4 p V 8 P C e G T P y 6 H M H k m n c v D m + e W F h S r Z c 7 6 y 8 c O B H e y u F B C U e L F U n U Q X s k J j / 1 d I q S y 6 Z 0 L A N V O x A Q R C i T X 7 + P y b B 4 H N Q v B X B + D v i T m j m B m I 0 6 B t l w a J T I T W T K h U U z 7 B O u Q I 9 i 2 p W 5 7 L W U p u x 4 c y / 6 8 N I N g w d I 6 4 I P 8 Z I K P Q 7 T o n U R l d 3 H S k t B Q g A 5 L h 4 j Y z F U a 5 x F E J x R D D e R R o c e T x k h e m 7 h f 8 3 3 C B E F o K o W K m P 2 j T M z l r U L H + Y j k o E 1 U K f j t Q i F K p i i p s g 4 I k i c I + z X f k c w d Y 8 f 6 4 y w P k r B 0 y W k z X U 7 6 f Z E U 9 D 3 9 / B e l p q y r L p Y M o f J f e l a M 9 S U s J k r N 2 c c e H A j Z N O M p d L v C 2 4 d A o 2 P O q 4 h J g + v e A m D V t K m N M 3 V Y c G A l W K D h M l E y 8 Z 4 c c R x p P E H C d b f f a y p P F k + 2 K I k g S 2 g W 6 n b U 7 A v M P U u 6 T Z h W c 8 v c P v u 6 E F h S w z f s O 0 7 2 7 p 0 A L C 6 V Q s w 2 s 2 w x U I Q 4 K M q F i p y M M Y u S a j r C n 9 B 8 q W T C Z j 9 l s K G L L H d R G y a g w e 9 m w 0 K 8 y h l k i m w 7 I p H c t i O P L q N k I t / 2 O d J k y R U 5 x q U 8 M u n S h t Y E x N p / Y G e u z C 5 y M n 9 A s b R o y C e V v q j F B F p q L n d g Q a 2 K 8 t 3 f M U m q R s J b F A W b P g K e C H T G S D G P 4 B g z Q Z a B r K d v n s o x l z y Y b Z o 8 G c g P 1 h 1 h w v U c M r G M p J A 8 4 X q O 8 8 K T K a K h p q c m 5 M j L + 3 J k d r G T v v F C 2 T 5 V H 1 m T h n e v L 8 e v 2 n q w v V x A C U I E E x p d 9 4 J Y D F b q + W y K w M 6 n + y E W 5 7 W 4 Q z U L S 4 G r U R 3 E p p g r f a 7 l 5 w k U k I j n M Y H P X c 8 n x X R A A t s O 1 o 0 k 2 f x A 2 / g U I Q v E s e H t 2 W 2 m l 3 Z e P T c M P i N / + R / + U u / N S m 3 J p L l Y 5 A s K 7 0 L P I h C C b M 6 c h W J x A E E Q e t z o T O o / y u B F h E O T i m d w l A N b + X m F Q G 0 P o S z 6 P M 6 0 + v 6 3 D i w 5 B q H 0 4 6 T y 5 8 Q o h p A 4 0 R T u M 3 K g Y Q I t k 0 1 Z o m n y + y x P f x / N y + Z D I n e 8 I 1 R k v y c X 6 0 a s q G Z y S y q J u v p F m K l p F i w 5 Q o G E S o q + h m A L u H X + 2 p p / w 1 W C r 3 / m A o S Y 6 A o b r K h t I h u c G E N r u W h w h I a l 0 z T R u S q K A + + Y a T 4 t h 5 H R M R k f J 4 3 b H O Y s M Q m n C C 8 3 b e a 8 k K U 0 X 2 H 4 0 p 4 2 Z 0 h r n V Y A E A G C 6 T 3 n O B 6 M I O G S Z 4 r m e a L Y P s t 3 z + 2 O D Y h j y 7 w E g W w Z r F u i 3 y k j / + D P f m Z 3 u d S w p J w S U X B 5 S O U I l P 1 j c J v h 9 k K C + 2 A u v L k i p z j t j y N Z Q o X c z 4 3 O 2 Z F 3 Y g c J a y J W 0 O Z Z V 0 E q j m k j I Z / E q U u R X F i U h U Z Z W y t h f V m e n M G l y w R k c U U M g T Y 0 T c j R j W O O I C R I 4 Q l j y Z H L i B H J 9 0 S J m o R F y W S V S 7 A M k t N K J E c m b / 4 1 N 6 2 Q l t a m s G C X U F I L q / i / x Q R a y i E Q Z l s E 6 w q 3 a W / c t h c K F V f s e c A j B z H o + K W T 1 p + O J e 0 h I 5 d q L Y a F s A 6 R r I 2 E F i v w b A g g 4 P 3 w + 0 L H F M L c P J X T q p k m Z f u q t L t O Q C R H A k 2 a B 4 H 8 d p Z I Q Z 4 n n d t W U v k p r 8 n L J k + 2 g D y 6 j L a r f D v K k 0 m m J + Q f / s U v 7 P m X 4 r 8 l a f J 5 M K M r y N F U E Q H K r t n L D t b n G X P z 7 4 V A q D C 3 0 B g M A W G m p E I c 9 Q R D Q 9 k H 2 l T 7 F D L T I C h 9 U + z D f K R 9 F J R O S W Q 9 f S X g S I O 2 c c v a m k n T T F 7 4 U 4 m A E A F R s i m H O K y H G s l t B / u z K S S M 5 R u R g v w 8 r Z S b M v L y s U N W 8 S x V L G l C I Q Q m B y Y v E b H h h Q d b O W u W P 7 8 o I N M V g V r L l n o i / 6 8 U O A 4 N h e m G 5 v L g y d A I C D u D D y k N I i l i c b 4 h R U z h H J 5 d T b V Q y E N S s E z F J + T 1 L a O W j y m K + d W U V K H m m E J R C 5 4 M t p 6 7 n 9 9 G + 4 6 c K Q d B Q g 3 k J q 0 M t 5 1 H z 3 0 4 z i c + Y n f o y N 7 g 5 p c m S r e h l k D K m n 4 m L 4 h N I D j B t k d 2 b Z 5 J 9 c K E m s M J g k e 3 Z 0 X A M Q P x 1 i G o p u k 0 u e i J C d U i 0 5 b n S F Y B 9 G A r T Q g U S X z c 7 N j m M U v K L E c O X X 5 + q 1 Y e 9 6 u + 1 u 3 s 8 a w b e V w i L 0 o m t 4 9 l u B 7 u 1 6 U R y y V H u I B c Q Y q u T 6 t 2 + k e / / v f C w l m i a U l r K I P e Z M I + e G Q S Y M j S i j 8 R A t m m r e j f M P v F E J x q z q f T W y + 3 n e P h r u e 0 B 9 o B w p i j Q T W W b 3 f 5 v i j g O R s s C i I n B t B u J 7 g n v T f u D / N u 9 5 q 0 v N 4 + J g 2 1 k 3 o d B D 9 M a b S S E c m T w m 2 z N M J k 1 6 M k i x w b I Z P t h 0 i W F 5 L J k c s R y Z J W J B Z N r u l X / / 4 H V g 5 L H U v W K R E F A u N q e h U C J 2 3 2 J x A J E 4 o g 0 + D W 9 C / 5 Y f a c 4 P q Q n D Y g m d k V 7 C s H l C O m T C W / c V O B I a T a Z g q u a x o h 2 O + g p p / e l 5 9 / w n / u p h D U s t M U 7 L e T u D P x J K y 9 u X V M T m w b k w 3 N a l Y p s U J C u P T Z z W R O n t c 4 3 m M X J k + S g F R K Q v c 7 i B I m b w I 6 E 4 8 8 R 6 a Q S K F m o t 1 U v y I l 6 9 e 3 B V K 5 t P 8 t f Q 0 V w G k p E I h V I B j B V n b b g z W 3 p X + N W C T L q A w 1 Y T Q 5 E 0 p S m / P S 6 a T F D H M f g n Y u b q v B g 5 9 5 U B F Q s + a P n S o E y D q W g U j u N z g d + B Q o 6 9 y + J 7 Z 7 6 p g 5 O L g H m z y m w D B 3 j m L K Z R u C w g Y n C e 7 C 1 l T Y W 1 M Z b S / p v Z v g u 4 T j I 7 o 9 Y W 2 m w s m b f p D G L d 1 6 N l E u + X n Z f J Y h m U I S h d q J e u K v f / N n d s / L A c u G U C B p 0 b P A C Y V b 5 J H K h C a E Z Q X J / r L f b Z S N z K Q j M z U Q f T u J u J p g S j J z H m i C c B a x o O d F 6 C G b 1 b y a A c m 4 I B q E r 6 7 7 / i V q a K 8 h S B w 7 r u 2 i W n 3 G 3 G E g 7 p 8 f H w X o 9 2 E f / V i Q z T q K y Q 8 S L n I + y m a z 4 a K Z r E x I 4 T E A Q d / c w t c R P R E i K S D R v d 6 g 3 W Q p 0 E y B e e c S x A h J F R e 3 n S U O y Z P H r 0 M a v p 5 h 5 A n J 5 L W T k U k 1 0 / R U R v 7 y r / 5 B c L f L A 8 u K U E h R a N o E Y m E L J 5 p e U K I C F E W Y o 2 s c 4 w 8 L d x Q E u z P R N k g B c F d e 6 C E Y s y U h Z B l z H i B M 4 Q f A n B B N K c H G T c P 4 0 b 1 1 K T d l m H / C Q k D j R Z + V d l T U 8 W F j p q g A 7 P n c w 7 m / L k W B t l W D 1 O 7 N J 9 N O E Y 1 0 q 6 f G K g X f X v L J k c v / l q U j W 1 o b a 4 5 A / l i 3 z x E p d 9 0 I l E M m p 5 U g E + 2 m A 4 f 3 S m N j Q 3 C 3 y w O 8 D d 5 S 4 b Q E E Y / T K K f m Z S s Q k 6 y 0 O F E L d 7 E v u 9 P g t 1 x O Z M s f y 2 Y B 0 A Z h N q 4 i u 3 N A y R k t t A x t C I Z q M f q X C D + i A 9 d 9 l d 1 p O A h B f k q 3 S 1 P J A c E u d B z 3 h X n n n 9 f 9 L X 2 / C P e T Q d f G C 9 s z u t R 8 1 q 9 1 u Y 9 0 u 4 R W 0 W W g W f w x y Z j X M q R c g m S J 4 p N p H 7 e O G 9 y 1 D 6 l w N J k 5 6 9 K k r u / d v 1 P e O H E s l M V l k p a X h g o A q b j / U P 4 D s c l K U E A q D 8 v P 7 s z C 5 8 z I 9 S f O 3 a F C p B d V + F 2 z J b t H W 3 P g 1 1 E N h E Y D V u P b W n H 4 c 6 I 9 3 M y w I a y d 5 E I B s 8 e V B g f q n e l 1 + 0 f C v i i 0 E 5 q T a 2 S U I I + e + 3 0 Q K b r U + 4 V k u h x N u 3 z T V p Y X p I B k n p B G O L 7 g H p D L k c 3 N B + G 1 E s u p i b T U 1 a f k 5 L u v B / e 6 v G C v p l h a y k g m X R e a F y L 3 N x A l W y D K B Y i V m 5 M F u T 4 5 B F t 5 O z C p y k d M h c v d Q 7 F k b S B d W j 8 T Q p 6 3 3 y c P h t 0 j y A D v 3 T j R O L r M P 2 4 m g i P 8 w Y r 6 5 K Q c 3 j C W Q y R P n P P 3 E 0 a 4 b L s p W I a k c c d l t 2 0 Z 7 P d J 8 x 2 p n B Z z S w g U T Y 5 I L q X 1 v S b k N / / k L 7 I y u N z S s t R Q H s l a b t 8 J S S g n g b Q E C 1 Z Y j W x q 0 j + k M D c H f o / b G 9 k K f p c p c 4 5 L 2 j Y I 1 G z A 9 Y 0 j A o e G u 6 / C Q C g 5 p + t / 4 g s c x Y 8 N 4 e 8 9 W P X Q t 3 + g b V z P C Q k g R 0 A Q T c + G R Y b G 0 U 5 s + 3 y 3 d K T y 6 + 5 4 7 s v 6 k o K U X Y d A p p U g V n Q Z S W Y C B m R K x O V v / + k / M s 2 + X F E 6 U m I Z o D b p 3 c V O a J z M B N I T L P x K d t P D M m b k 5 s D v z U n 6 p 4 T c G x B A I 0 j Z c N M 9 4 y F E Q M P 7 c s m F H L n v 4 2 a h u + I F J 5 E J f m c 3 G m z m I a m / i 5 L I E c F p q o u d a E H y c s n k i Z R N e p / R d Q h i e R H i u G 2 v m S C O r g f a i M Q X G V n S L v 7 1 3 / 7 F T B l c Z m l Z a y i D P k Q u q Y p o K 1 t 1 K 9 l N D 8 v Q P 6 T c P Q X B E S 7 y w B 8 / M 1 G + C D 8 x e T N R 5 D d a N U M q B D v b v 6 U C i J e Q 9 W x g b f A T F t m g / G x m s I M U g c + K 7 p q a D k n k T b 7 + 0 c K a K Y c 8 w b Z p o o B A 2 T z b n k k s a x / Z e u B 4 C B J t J s r p 1 / / k z 0 1 L L 3 c o o X g j y z y p I I a k A i o y / L d F R I T 8 a k A c 9 y / M N v j 9 P u X u z Y L 2 S 4 n d d l s I Y 3 h A q Y M V m s 3 x E I g g U A s 1 s i 8 Y R k f a 4 j I v c B a 7 V 5 Z u E / j N M D s 3 h / s 3 E 0 z J 6 k 0 x R h F / / 6 A m I E O g V b I p I A c m G s m v 6 5 L f Z f O V J K 4 S C L x 2 V i m 4 P K s g / L a t O 8 3 0 V 7 / + M 6 m v r 9 f 7 y n u v y z A t W 6 f E D B Q i F Y n / t g i 2 P b K b Y b 5 f c 1 s B s p n 6 J 4 d B r i 2 V 3 d I / O Y d o C V J r h w c U T / z G t Z 9 w U l B L 5 5 Y + b Q q L S L C T g + C H m o y z A c L c K C I 5 O Q f o b y e Z 8 8 8 R 6 v m I y J k O t K P T L K Z d C m i g q I b K L j V F i e f J m C W k E m h m S k s i X i N / 9 Z v / Q J q a G n L k b v k m k f 8 X H K 6 s 0 J f i 7 C g A A A A A S U V O R K 5 C Y I I = < / I m a g e > < / T o u r > < / T o u r s > < / V i s u a l i z a t i o n > 
</file>

<file path=customXml/item7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u t v u s t u s   2 "   D e s c r i p t i o n = " S i s e s t a g e   s i i a   t u t v u s t u s e   k i r j e l d u s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8 8 9 2 6 e 1 - 5 f f 0 - 4 2 5 0 - a 6 b 8 - c b 1 e 0 5 3 3 c 2 0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 9 . 3 1 3 5 9 8 6 8 3 8 2 4 1 1 < / L a t i t u d e > < L o n g i t u d e > 3 1 . 3 5 6 3 7 0 0 6 6 1 5 2 9 7 3 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V y S U R B V H h e 7 b 3 5 d x z H l u d 3 C 1 W F A o i V G 7 i C i 7 j v l C h q o a j 9 v X 7 9 3 h l 7 2 t 1 9 P N 1 + r 2 f a 5 4 x 9 p u f Y / 4 D t 8 Z m / w O s 5 t n 8 Y / z L 2 2 P 7 N 8 8 O 4 3 6 I n i R I l S h Q l U q S 4 i Q u 4 g g Q J g C B 2 o A q L 7 + d G R m V W o a p Q B Q I F Q P a X D G R m Z F Y u k f c b 9 8 a N G 5 G x v z / z 3 b T 8 x F A T r 5 V 4 8 0 F J p y d k a m r K 0 v T 0 d D Y B l r E Y S 9 s 0 k L e u a U o O b U g H O T N x 6 t T n s u v w m / J 0 Z I X s X Z e R + q T L / / 0 3 j y T e s t 3 W a x P T c r S t V 5 5 2 P Z G d u 3 b a 9 T / 6 6 G P 5 2 c 8 + k H g 8 b t d h e / X q l b q d l G Q y Y X n b t m 2 1 3 w + P j M r 5 j j F J r t x p 2 5 W g q W 5 a 1 k 7 e l L q 6 p L S 1 t c n 4 + J h e I y G Z T E Z q 9 I F H R 0 f 0 e r V y b 7 R N n g 7 W B L 8 S a U x N y R t b c 5 9 7 b G z U 7 n 3 F i g b p H q 6 R N S s m 5 c 6 d u 7 J p 0 0 Z J p V L B U a L l q A W Z h 4 f 9 c W l v n b J 9 p G c j c W l I j E p j Q 4 O M j o 3 J 5 Q f d M j A 0 G h z 9 0 4 E S 6 v x P i l C p x t U y m d i i A j Q h k 5 O T J q g I B W A 9 u o y C v P r k t L y 1 f T z I c R h O 1 4 j y U l a u m J J H / T V y 8 f 6 U J G u d M O 1 u m 5 A t K y d t H V x 6 l F A h j Q d b K p B D z 2 R P c 5 c K X 1 L J n Z G + v j 5 Z t 3 6 d b N y w Q c 5 9 + 5 0 c f / W Y J B K J 4 O g Q n 9 x I y d Q L v B W e p U 5 J f b C t X 4 Y H n k l / / 4 C S d 5 X E a m q k t a V F 0 u O j 0 t T c K n + 8 U R f 8 w u G l V R P y 0 h p 9 2 A i u X 7 8 m e / f u C 7 Y c 0 u m 0 9 P b 2 6 l p M i V t r h K u r y z 0 X 8 E T z y 4 s X L 8 r L L 7 9 s z z w 4 O C R P B t N y 7 w n n + e k g 9 v d f / X Q I 1 b h 6 m 4 x m V l p t 7 M n k E / D L T S 2 T 0 l K n x F C h m 5 i M S W 1 8 S k a G h 6 T 3 0 S 1 p b W 1 V A a k 3 A f n q Y a v U 1 O Q K P L J x e F N G L j 5 0 q u m d H W n T S G B 4 P C Z f 3 6 v V 6 9 i m Y U L v Z W 2 q V z Y 3 p + X q 1 W u y c u V K a W p q k u H h Y T l 8 + J D d E w L H 8 s 6 d O z K g g v Z g s E n q 1 + 4 N z h A i G Z + W u F 4 / r o q F + + B 6 p V 4 e Y v z h H l d B U C Z c Z 3 B w U L o e d 8 m u 3 b t U k y f k 0 5 t 6 v x J q K s C 9 r k k 8 t X v i f g c G B m T V q l V y / v w F 2 b x 5 s 2 q + t X Y c F R X n H B 0 d l e 7 u b t m 6 d a t t 5 4 O 8 q W n V V O K O R 0 u T h o a G Z H S q R n 6 4 8 y g 4 c v n j J 0 O o p r U 7 Z T T d Z J q g F J n e 3 6 U m U P D O f Z 4 H v + N F j 4 y M a O 0 Z l 9 v P m 4 M 9 I V r q p y S h 8 t e r J p D H h 7 v H V V C C D c X Z e 0 k Z H A v 3 x 2 R S 3 t 0 x p j X 0 J T l 4 8 I A 8 f 9 5 v G m r v n t 0 m Y J B r c l L P q 0 w 5 p C Q b z c T k 4 f O 4 p F X 5 + f O u a 5 y S 1 Q 1 O 0 0 Y x p K R 6 N l I j d 3 r V r A u V p a E 5 0 S 8 b a r v t 3 H E 9 9 8 T E h G l J t H d f 3 3 M l w B Y l 8 I C k N r 4 h P S O 1 w a / 0 n L 0 P J N X U J v s 2 q n Z / 3 m G / q 1 U T 7 / F o q 7 y + u 0 n u 3 s X s 2 5 R j 9 o G O j g 5 5 6 a W X 7 J n A 5 c t X p L Z W z W + 9 N h V U I p E 0 T Y m G I l H W H H v / 6 T O 5 + e i n o a l i v / 0 J E K p 5 / W 4 Z G m m w W p h a k 1 S I T N O D d 6 V N a 1 6 k 9 P C h g 5 a X D 0 y 2 y 4 8 T M 0 0 u / Q 2 a Y c / a j F x 7 m t R z B v k B I N m x 9 r Q 0 a V s E 8 P t H / Q m 5 / j Q h G 5 s n Z f / 6 j J w 7 9 5 0 S a r 8 J Y m Y q r q S L y c V H a A i R 0 c F e O b Z T h b U v K c 1 6 D s 6 / d 9 2 E a a X 5 A E R C e F v U 5 P v 8 s 9 P y 9 j s n V f u G p D + n m r V / P F I J K C e g B d p 8 W 8 u Q P H v 2 T O r r 6 0 2 D g / v 3 7 2 l F M C K b V G M 1 q 8 Y F l D N t r J d e 2 q 5 t t 3 H 5 5 J N T 1 m 6 E P F y r V 4 n / f E S k p + O s n H j z D b s f S M W + p 8 + H f h K a S g l 1 Y X 7 e 2 C J h 1 a a d 8 n y w c V Y y g Z / t H p P b t 6 l F n f M g C g 7 7 + O b M d k A U e 7 X N t L Z x U k 5 3 5 N b M U b y q p O p Q b Y H W a N V 2 1 3 N d N t W m J f 3 w j A r R c R O g S b 3 W p 3 n X W t M w K U f U l I w o u n k F 5 d D T 0 y P f f n t e z T a n X X b t 2 m l a 2 R G r R j 6 5 V W d E 8 k V 2 Y t u 4 r K g N y 6 8 Q + H 1 / f 7 + Z h B 5 X H 0 1 L 9 8 0 v t P L Y J 1 e u X D e t t G / f X n t 2 c O n S J T l y 5 I h d 1 y f I 1 f V s S K 7 e 7 7 J j l i v i v / m n / + x f B u v L D r G a p G R q N p u Z N x u Z M L m 6 H n f K l i 1 b g p w Q I + m Y f N 7 h B H y b N s y f j 4 Y 1 d R R 4 / 7 6 6 m 1 J C F B f 7 E T X X j m z O y N 1 n C R n T d Z C e j M v a 9 e 2 y v t n d T 4 1 m o 5 1 G M u F 1 0 H 6 c t 1 V N y l K Y C M x A U i X Q 1 o v + K C 5 T k x P O q d D T K 7 e 0 c h n o H 5 D r 1 3 + U x M o d 5 o m L A k / d p h Z n 4 h Y D Z I A o t P 9 o b 0 G M t U 0 x M y e / + + 5 7 1 U 5 x G R s b M 2 8 j 2 u 2 7 7 y 4 Y w b y m i 6 K h L i n d / U O S m S h d B k s Z s d 9 + v T w 1 V D y R k l j D P h U O 5 8 0 r R a Y D 6 9 M y 0 X 9 P N m z Y k K 0 l o 0 D j j E 9 U K K E F w B l 2 q U l 4 o z v w p e c B Q u K 6 1 r t U j T Q l t 3 s S c v 8 5 L n O 3 f 6 f + d m v r Z E m y c O j k Z E z b W 5 W 9 N t p Y 2 1 d P q E C f l 2 P H X t F z T F h b i r Y N T o f z 1 x 5 J p v W I E S I f H 2 q 7 0 2 d T r o W O A U + e P L H 9 6 9 e v t 2 0 0 U f u W d q 3 I n t h 2 Q 8 M K W b F i h a x d u z Z 7 D p Y k r 6 U m 9 T 1 e 7 H g s A 6 O 5 3 t b l g m V L q G T r U a 3 1 J q z B 7 I n k S e S X Y H 3 T h O x f l 5 Z u N X f a 9 E X m 4 9 z 9 l P S r t p g N C D A e w S h e b R / X N t O 0 a b i k 8 v S L O 8 V N Q X B k Y 8 Z M x k m t g D 9 V 8 6 p B z S n a W j g h P D B L 5 x t U O G g l B J Z 2 T 0 / P M 5 G V + 2 R P W y Y 4 w i H f j e 6 x a 0 1 G m q R b H j 7 s l K S 2 h y j d 7 d u 3 G R k 9 M a J 4 9 E j J q W R t b 9 9 s m m v H j h 3 W h m t s b J S h o W H 9 X c q I B T y h o o l 3 + v W N T i P X c k P s d 8 u Q U H V r j s r I y K Q V f C n N B F 7 f O i 5 9 T + 6 Z u 5 e X 5 U E 7 5 r s H t T I Q 8 c Y V A k 6 B 0 f F J a V J Z 2 9 Q 6 L b d 6 c r U P T o h X 1 M S 7 9 i Q p T 4 d K n 4 t j c U 7 g + L i j J i F m X j w 2 r S a h u y 8 I V q P b O D H a g / 6 t w X F t W w w k Z K c K d e T 2 9 T n F t C p k j k / 0 y Y 0 b N 4 N a v k b N r B o Z G 1 e t r O 3 K Z C K p 5 t 6 0 O Q 7 W r V s n T 5 8 + 0 c q l V / Y d e k X W t N Q H Z w u R U R n + 5 l 4 q h + S j I 0 O y q 6 F T 9 u z c k i 1 D 7 y o f G x u X 3 b t 3 W V 4 U u O c f P n w o q b p 6 2 b h h v a 3 j b d y 7 d 4 + 9 N 9 p d q 1 e v z p 7 P k 4 l n 4 B 1 6 U u W / z 6 U O J d T 3 y + q O G 9 c f U R N F a 3 m t d U m l y N R Y q 4 L Z S F 9 H Q n a s D Y W 9 s z + h B H D 9 S y k l D N o H 4 X x J T a K 2 p i l b X 5 G c d m R S w b l 1 q 0 M O H T q g 5 3 d a 6 E X M Q + Q n U T M t m T x t 5 7 F v n S M n Z O P e I J t v U k D I w 6 r l c H o 8 H n C m a y Y 9 J s 3 9 X 8 n R o 4 e z t T 6 g L B D O p 0 + f a u U z a m 0 a L 7 z s + / H H H 8 3 F j V u 7 E N C i P c N x 8 z j S z 8 b 9 F A I V 2 q 1 b t / T 4 a d m n Z P H 4 9 J N T c v L t t 6 y L o K P j t p p 5 b a b V c K 3 3 9 v Y p 4 Q b k v f f e N Q 9 g P q m o F M w k V V K d u 7 W 8 n B S x 3 5 1 d P o R a 3 X 5 A n v W 5 M J p o u w n k k y m 6 / f K m t H z f 6 d z T U R Q K t 8 k H w r J t 2 z Z 7 8 Y W 8 c 3 P F 2 s Y p c y N H r R r M x v y + p H z g 0 E D + k G + 0 C c / 5 / o 5 h u 7 9 C o E K A V H S 6 R s H v c H H j M N i / P z c S Y i 6 Y m M j I g w e d R p p n z 3 r l h x + u y L v v v h P s D Y H m u X b 9 u u x Q M k / g Y V G 0 t D T P I B X 3 x z s e G E v L 1 Q c 9 t m 8 5 o E i 9 s / R Q o 6 Z L n z b g v X u c A v e k 8 U u P / O 2 x C T U j d I k w U v P R O K e t M h u Z A C E y 3 p H B K 3 e v / c X R j X m o N x W t + W c j 0 w Y 1 B Y 9 v 7 J N Y 3 2 U j E + B Z c Q Z Q J o W A c E 4 V i G M i v 6 F x x Y y y m i v o t K W v i m i K C x c u y j v v v B 3 s y Q X E X 1 H v n B M Q q b 4 + Z b 8 b H R 3 L e a + Q C T T W J q Q + V b i y W I p Y N o S K N + 6 3 h i 6 F X k o z R Y H w v 7 d j T D a 1 O A K 9 t 2 N E N m Q u y A 4 l V D m g X U K D G u H D l f 6 J a q f 5 E T 8 H 5 B z T q l x g 5 p 3 t X C k T L W G n N G 0 7 z L Y H 2 k a J g j I i 3 o 7 O 5 L V r 1 w S 5 d F y H r / y h a Z R c z Z U P z M 9 y U V 9 f Z 5 E g H 3 z w v p V Z M d A P R p A u 7 6 6 2 N m V 9 W D g y + A 3 5 d A q P D A 9 b R c Z Z D m x c b d 7 R 5 Q A q 7 W z N u 1 R T 3 c r d k k 4 X j h r P R z T / l c 1 p b R 8 F G w r M j S 1 b 2 o O t 0 q A R P Z z a p r W 4 i w K 4 r e 2 W p Q Y c 8 M 3 T X W a 6 b d 6 0 y f J 4 f k y 8 z z / / w m r 5 E 2 + 9 a d 6 1 L C K C i Y P g k p p m x c o S 0 K Y r F 8 Q o 1 q h E l S I T e P q 0 W x 4 / c q 7 0 Z 8 / 6 z A N J / y D m 5 9 j o u F U Q T c 3 N d l 8 E 9 C I E + z e t y p G J p Z r c 3 S 7 h l E g 1 y 3 i m z s g w m 3 b y 2 y l t R H + w c 8 w i x K N 4 8 O C h N O u L K g t 6 q s 0 N / V m T 7 J i S c 0 v q o U x P u v 6 R + t r i D f V 8 U G t Z Y G v N t C Q 1 z R f S Y 0 M i I 4 / N 6 Y A D A g f A F 1 + e M d c 4 U R A M 3 4 g j k B G 0 N Y Z 2 Z U N D g 5 H q h 8 u X T a h f F M T 3 X b 1 6 P d g q j u b m J l m 5 y n X s r l z Z a p q I D m D c 8 I N D g 5 Z v Z F J i 4 q D Q D a l N 1 M j q R r y S M 2 V k K a W a A n l L K 9 V v t 8 Z r l E i g G J l 2 r Z 2 Q t 1 8 a V w G z z R w 8 f / 5 c z 1 O e Q K / f s F 4 6 b n f Y d Q G R 0 U / u X Z e f 7 5 u W D 9 V 8 f G v b u L y j 1 8 G 5 U A o M C X l P y f 3 u j n F 5 f + e 4 v K 7 t t o b a C u y 8 E l j V U K P t p 2 4 j z 5 m v z t o 9 v v n G 6 z Z e 6 f s L 3 5 t r 2 r d F i o H h H H v 3 7 j W N T D D r i w B S r 1 + / z i q / U s B 0 j 2 o x y E w k B W h v b z c N 6 8 F h t L u m 9 D k 2 t S q h o r K x B F P 8 b / 6 T v 1 u y o U c N b Q f V p n Z 9 E h D G p 3 z 4 v P X N U 7 J 7 b a 6 J w r 4 z Z 7 6 S x 1 1 d 2 h 5 6 y W r l c o B w Y M u n 6 l L W l s I M 8 d 4 w y g 6 g e d Y 1 T V o U Q i G g w d 5 R I k U t I E z Q 9 t Z J c 4 z U D H Z I 7 0 h C Y o n S n k M 0 7 u R U 5 C S K 6 e k p I + f g w I A R a t P G D d L V 9 U S u X L k m w y M j c u D A f h P a x 4 + 7 N O + q t l N W z o g O 9 0 B D E D Z E n 5 K e 2 T T F X I G z 4 c r V q 9 b n V Q x U U h C d Y F s A Y e j w x S N J H s R G 2 w F P P J Y Q b 2 1 j n X Q P L d 0 o i t j v v 7 l Y X p V d Z R B a N F W 3 R w u x P B d 5 r Q r q O z t m R h k Q p 0 b H I w S p F L d u 3 d Y 2 V I N k 9 B 5 K t b 3 S E z E l V V w 6 B 7 U m z V M + x S I f u O e P P / 5 U 3 n / / 3 a w X E e X 5 / c N a G d U K H s 8 k E Q r R A Y w 8 d f d g 3 J a d d 2 9 I + / p m u d N x R 4 6 + f N Q I f + X K F T W l V t k A x i g o O 9 o t 1 6 5 d k z d U g 3 l B z g c a j W g I y P g i o F O X c i f E K V r u P P P j r s c y q R Y H J C I U L A p M V k x A w D 3 7 c g F U q q T x 8 b Q 8 7 B + T g b H y 2 3 b V R O V S V i X E m / Z k v X p R A h U i E 8 g n E / k P O z t N K 8 2 F T A A N d f f O v Z K 1 L a D j c 8 + 6 C W u 3 n d g + b m Y e F e u b W 4 v X p G N 6 b o a D R + 8 N j f d K e 1 r e 2 p 6 2 + L k o m Q B 1 d Z t q R L T i / l 2 b 7 N 6 e K F F 8 5 + z u 3 b v V T L 1 j 4 6 u i 4 B q Y Y r i y L 1 + + a u W S X 4 4 A p 0 I s X i v P + v o t W n 6 u 4 D x b t 7 Y b Q f M B m T Z u 3 D i D T O D i p U v B m t g z d H a 6 4 R z W l t J n Y A n J N r f M T 1 / g Q g C f z J L 7 l 2 p Y o 5 r J 1 V K 8 e J / y 4 f P y n Q O Y D j S O q a m T y f L d v v n o V m E 9 d u x l N Z U K R x M U A h E W D K O H E A 2 p m f f s A V l X M S w 9 M G n K A S 5 2 f 0 b M N 2 L d G B Y B H j 9 + L N 9 + + 5 3 s 2 7 + 3 q F m L M B 4 / f s x M u q + / P m v 3 4 E F Z n / r s c + n r e y b / z 1 e d c r Z j y m L 7 B i N j p C p B R 8 f d L N E 9 0 D B E u E c 1 T x R p 1 T 7 + n U J K K o H z 5 8 8 7 p w u k M m K 5 8 l r b m I p I z N L 5 F / + b / 1 T b U N z j U k r 1 O / V l z 9 6 B 6 / G + a g b a F J c u / S C 3 b 9 9 W k 2 a F j X m q R F g L o a f 3 m d a k 6 + e s 4 W b D H R W 6 z e 2 b g 6 3 Z w e O c v Z u S z R a R T s W j J t / t W 2 a m T a h Z / I q a f g 2 R 8 K N i o J 2 D s N J W 4 b c M 5 e h 9 1 q s F H J O 9 + w / I Y O 0 O F X r X L u z s j 5 t W x K S u B E S U f / H F l 9 Y X Z m 5 y J X y n a k Y G W N b V F T Y 5 c Y z 4 i W q M P J p 6 9 N 4 Y c j 8 4 M G g V w X Q g E 3 V 6 P 7 3 Y x l G 5 W Q I p 9 o d z l 4 p X o 4 u A h j W 7 Z G C o d k Z E B H 0 u 3 k F H Q C n x b Y z T w d Q b G x 0 x 8 4 J h A y 9 K o i i + P v u N v H b 8 1 Q U h F N r h 7 N l z a o a d D H L K w 7 k H K W t b M W 6 K z m a W l J M X w E r h H T 4 s M 5 m 0 m o x 3 Z S p R L 4 + n d k i q P t R 0 c 4 m C x 2 y 7 e / e e u e a 5 t 9 n K 8 d N P P 7 M 2 J f D P w n 2 R + C 0 R F T h P 2 C a y Y i Q z J Y + H y + u k r x Y W p u p 9 A Y y O 1 5 k T w h O J B P i L t v c y Q 4 3 5 r m o m 8 v B k Y Z P P J 5 k Q 0 n i N G 5 6 9 E E A o i C y o F M f b x + X H 7 o S Z f 3 e f x e X p k L v H u T 4 7 z g H M Y h w V z c 0 t c u T o Y T m 4 Z 5 u s a s r 1 X H 7 3 s H y z 1 w P T c 8 + e 3 T Y 5 T S n g 7 q d T t 6 n Z d a J H w f 2 N j A x b W r N m j b n U m Y a M K c 4 S s r T I B N T k + + f / M q u v F j m l W r b K e D q Z J Z R H l F R o p 2 3 J m 1 K X e W S 1 H y C U Z b 4 F v 3 9 g Q F L a B i i 7 I 7 h C I E C Q i i E M l W J t w 6 R 8 d r v O R v w y m Q z t t s Y S 7 b V K A D F p 4 9 Q m 4 h Z V 7 y P r G X 1 M l H t G Z X j N L H 1 v U f B e 8 N w R b 1 i s L J n 0 h f Y g b d 6 o a 9 9 X E p j w x A p e v X b d r J C h w U F z 6 i Q w S 9 O j k o 5 B 9 l x Z W q x k T b y l k j J T z Q W 1 U x R 4 u L Z t b Z c 9 u 3 f J q 8 d e k e 6 e 7 q w 3 a D 7 R r T V h N A Z u v g G Z W l p b g q 3 K Q K x o c 1 0 o 1 J e 7 k j Z 3 4 H y C c i b s K H 9 I / o N + p h 5 L 2 V w Z v B 4 I d 1 W v z 9 i y Y k N S c E 7 Q O c + Q j U J o b G y S 1 a t W m S M i i u j 7 R 1 M d O n j A 2 l B I y z N t 3 9 K 3 O D E 2 M k O O F j M t m U i J R E O b F r q 2 k 4 J 2 k 0 d 0 n S B X X v K g m g h E g Q 9 o Q 3 X z p s 3 y S E 0 + P H v z B f p R s P / z v V T z C e 7 9 R T y Q L 2 / K 7 Y c 5 c z e V 9 Q D O F 9 B 6 T D q T 7 0 V l 7 o t v 1 Q R k U h u m D + j s 1 / b N 4 L j 8 8 L h w B / f j R 4 + s / c O E m I W w c e M G u X n j Z r B V H G g s z E g 6 q W v 0 p u r r 6 i y 8 q l H G Z 8 j T Y q U l 0 4 a a i k O o 4 h E R j G T d 2 5 a x x u j o y I j a 1 K R h K 9 y X 1 e 4 / f + G i k X E + g E M E M 2 M + 2 2 T 5 Y K 6 6 F z F T i Q 1 k s k 6 P i a m Y X H 4 8 d 4 K W g h 8 q T 7 B x M f T c / 0 G e D c f k i m q r 4 T Q T W w Y 7 F O P p T H b W I 2 b i Z Z Q x b c D o q O A 9 e / f I u X P f B l s h 8 i t X 3 g k V 0 f 5 9 + 8 2 x M z W l F k 1 6 J D h i 8 b E k C J W o a 1 E h z g 1 8 B d H 1 4 1 v c y + y 4 c 8 d q p X X r 2 r J e v X v 3 7 s n k R M b m L 5 g P M H f d k y d h P N l C g D C f / M D V S s G 0 Y 1 H Q n k K Y 5 x s M y W e U c Z T A U T D h z K s 7 G 7 W y G 7 E h J s w M x V C X U 7 f q b P n j Q J t 8 c y 9 h 2 u z s v V o 5 e z 9 l c 2 q c v R d q V U j C T L o M T i w F X 8 m x o O 0 8 M p a W W v 1 t Y 7 x 0 z G K 1 o G + U G 1 z c F K t r 1 7 Z T 6 C K P E g k Q y 9 Y Y B J S 2 a y F G w b F 4 p 9 5 8 8 w 0 z B f E Y v S h 4 a Z C b / p P 5 N C W j w F N l U v E C q E V L 5 b d x + g q b X S + K V 9 b 1 y s e n v p L 0 W G 5 5 8 A R H N 6 X l U W e n t K R y N R h d G 2 i q e N 1 K S c f U M N P 2 F t t + D B j 7 P 7 5 R Z 3 1 d H Y 8 G b D T A Z 5 9 9 4 X Z G k C 8 P v B 9 S / Y o V + s 7 H p F / N 5 / g 4 W i p X r h Y j L Q m n R D Q q w i O 6 T v Q 4 w P O W 7 y n C W 7 Z S z T 5 q u A P 7 9 9 s 0 W Z i O L w J M s R M n 3 t C G c N x m W Z 0 v U z I K i D q X Q X O 5 o o U b P T d 6 v W u w x r 6 U M d 9 o b m q U D 9 4 5 L r W 9 p 5 U J Y 7 J K i d y s b S x m y + V d M R L 6 9 Z d q b A 6 K S s E g x h 8 f j t h 8 f b / 6 1 Z 8 G u T P h t Z O X H P 6 u W 9 M s w 5 m k t n e T W X l a z L T o T o m m D Q f M A + Q J l F 8 b Y b e T R 4 / 7 Z A G i 0 N O P y g e Q 6 t C h g 3 L x 0 g 8 z z l M p c E j Q i C a G 7 M K F 7 6 X r y Z N s q A 4 E Y y g I p u Z c x x F B K B s 8 V w E I w j 1 z J 2 X L K O o i T S f a U h c 7 n c N g v o G n 7 Z 2 3 3 p D 6 v j N y e M O I m u F j 5 g W k r K m E G H 3 7 2 t a 0 d Q I T e l U J U i u 3 W a c t X z Y p 9 O b 8 + 3 T a i a V b p / 9 s 8 / q V 8 r y / X 1 q n 1 T o J 5 G q x 0 q K 3 o Q Y H Q + 2 U T w J m / V k V D B L k m O h 0 v x 4 m m N m a S + w Y x v g Q 5 j J X c K 1 7 9 + 7 b R I 1 v v / 2 W N a g n M h M 2 C v b R o 8 f y + 9 9 / Z J 3 J H P f Z q d M W V o O 7 v 1 z w n E R N l + u U 8 I 1 3 v h b C d G L R + c 4 h d H N i p p l L U T 4 K Z k a a T 1 D R H D l y W E 2 z z 6 0 8 r l 2 7 L j d v 3 r J 5 I q L v g V X G i 5 U L T E F i B 7 / U C i M 8 y 2 x w p t / 4 2 I h 0 j T R m K 9 b F x O I S S g s D O c w n k 1 8 / q S 8 E o a U B X 2 j q X u D D / a N g 5 h 0 E v 1 C 0 c y l w 3 T 7 V P E x y 3 6 Q m z v H j r 1 o N S O w b D W A C Z f U o E y r C a b Z v 3 y 7 v v H v S X O B f f v m V a a 3 o c x S D e 1 5 X U U B E T F Q 8 i 5 C D h B l r o T V a W e D N n E o P y e 2 u c e n o j q l 5 N y k D o 9 O q p e j X G Z K O O 3 d l 2 5 q 4 v L J R T U j J 7 R C v Z D 6 I S s C Q + v f f f 8 / M Y m I m K Z v 6 F f X W 3 R A F U f j 5 3 9 s q B U j I O / e g I z m K 6 L N 5 T c W f z r E 2 G Z a V 1 j l c M 7 W 4 0 R O x P 3 5 3 Z X Y J W C D U r d 5 v c + w h U N H o C J b D z 5 9 I 6 + g l K z j s 4 9 d f f 8 3 2 R Y E J h u C 1 F u g g H V f B p P 3 z 1 s k T W n s W D s a M A i F m 6 i v O B S E x b w q B e z 1 9 + g s T q C g Y d n 7 j x g 3 b z 0 D E U g M Z I c + / + 3 d / L + v a 1 s n Y + J i Z f n j 8 S A m t Z X E v O 7 d 6 X D I T a R u P N T A 4 o j V w 3 M 7 f 3 d 1 j h B 8 e H t V 2 x 0 p 3 U i 0 z F S e Z W H 1 M U k 1 u u A k N 5 A 8 q N L 3 m C i w F A p M P H s z 9 q g m f 2 / n 6 X u k Z d a N A + 9 q g T F 3 H I 8 g g y n w g K 7 4 i I l 3 q j M m T 5 5 O y t W V Y m h I j M p g s X P l W A 4 t K K G n Y r 4 K c O 4 D Q k y o 9 3 C u / P O q m u Y q a E l E g W D g k E k W G A 9 A 5 y + T 0 p Q J Q O X 9 X V 5 e F M R 0 9 e s Q 0 U i l w n x C K g X r 5 I 2 A 5 F 1 M O M 5 U W 2 o u a u 9 A o W Y T g t 7 / 7 g / z q l 7 8 o a f b 5 5 + a 8 X N f D l 0 m h c v n y T p 2 M T 4 b n Z I x W m Z b l C w F r o O 9 5 n 2 z b u i 3 I c T h 3 v 1 b 6 Z 5 m d N x 8 E P e 9 p S 8 v V r l p 5 T y s E / z 0 v j 5 B Q j l S d z 6 f k a i c B v h l 5 d d O Q 9 M U i k 9 J U G e Z o W q y k Z W L C Q c r H a i V K M a H x 6 O 1 9 V r I v B 1 O N 3 v R i p h 8 v h W m 2 i B P D 7 T 4 b m Q A E Y I A c 5 l 0 + u F f a c E y j 1 d j Y Y K Y j z h R e e h Q 8 L 9 d G E / l n L J Q 8 W H d a y y W 0 J 0 v u J T / t W 5 9 7 r U t d 1 W l X 8 D y p 2 t z K o 2 + k p m I y A d z p V 5 R M S M X M o f 9 h B c u C N M y Y L c u L 2 f i t W I x j w v 3 V T J U / 7 T w h 1 e q + T e T J l E 8 q O n I L E S 2 K 0 b F c h 0 Q + 2 H f g 4 H 6 b U 4 E h 2 d F a H h O P h v W B A / s q j t l j L B H e x W L 3 h 2 A z y v e D D 9 + X I W 3 n / P H j T 4 x Y X g t D M B w n C 4 H G v O 8 5 9 Q z F r U N V K / M F A y Y s U e D R u S i 4 i 7 l E q O f j 5 t P Z + 9 W Y / 9 2 g C 9 q N D W N 9 b n s R s G i E S k / w L V q n n b x g R g W 0 O E 1 C t J Q R C Y 6 W w j y j k 5 Y G P h 4 5 + q q Y F e j k y b f K n r Q l i s 5 H j 8 2 k K 0 V m Q L T 6 1 m 1 b 5 W 2 9 D g T 8 4 o s z c u r T z + T c N 9 / a l y k W A n S C 5 4 M O V a L T o 5 8 x f V H w r m g 3 0 W 7 8 W C s M y j H a R 1 j O + y s H j w d n m v N R O Q G E M 0 W v m M 7 M r S t j P o C u 1 E X 1 k z f 3 i m E W W b V a v p j j I B 9 c h 8 b + p 6 c + N w / d g Q M H 5 H U l 2 V y C X z n X Y y U U J l 2 5 Q N h w N T P W i C f G U V L o K 4 r z A c q t 0 N x / 5 H w f f H 5 0 L q C 8 0 e q Y z 1 Q O D L f / 5 p t z 5 m X 9 8 M M P b P o v z F A P n B G E K 8 0 H x i N W b C G Z 8 R 9 T A G r s q V R j u o e y V s 2 0 K B 2 7 t Y 2 r 9 A W 5 2 L 1 4 L F I a A Q i p K U U 2 g H u Z n v V y w I t + 8 4 3 X Z G V r q 3 U e 8 n 2 i 2 b R L M W C m 8 s t y y R w F 3 1 b C Y 8 n 9 z P X 6 5 Y B J O A u B I u 1 W E 7 A S 4 E l l g O B H H 3 0 i F 8 5 / b / 1 7 y W T C N C z T l / F V j f y o e Y Z x 4 N m j k 3 k + 8 N X d 0 J S k 3 K K y E Q 3 C d Q I m c r 0 7 K b W T o z k y V 6 2 0 K K F H k 9 M N 2 f Y M h U 4 B R Q v p e P t w N i q h G B g P U 4 m G 4 f y + 4 f 4 i o L 3 A N 4 / m c h 6 e u a V l 4 V 2 6 r 2 n 7 8 + D 6 j A w P M r F n b o V 1 6 V H 5 T g o q D 6 Y B o C u B j 0 + / 8 e b r s n / / f m s f E q B 8 5 f J V K 4 8 o e I 0 / V H C N c h D V Q B A q W h m F a y G I J H n 0 + N k M u a t G m j + j u g J M 1 z R m S R Q l E i A m 7 O y Z L 6 1 W 5 I U W Q 1 p f Z N T E m A 2 8 + L k O 6 I s C o q 9 b N / N L i O U A 4 X 5 R Q p c D y q 1 2 o l t W 9 J 3 V r d z y B e c 7 X U V E g C 5 d B k + 7 u 2 2 O c T 8 O j L Y R F g B d A H z 1 E a 8 m W i k q y D z H q 8 e P 2 e d + o i D k 6 V m R b x S / C P j 0 T z 5 4 s o f 9 M y 0 F 8 n t H Z 5 + s Z i G g d 5 n P s Y V P e J H z i e T R 1 l R j 3 x V i c k p c 0 9 7 l D C G i X k E 6 R E s R L h 8 I y S o 1 9 1 4 U R C f Q 9 z U X E F G / 0 F + R o M z + + N H H F r n 9 1 o n X p H n F z O s 9 G 6 6 R e 8 / i M j Y 6 p u 2 h R 0 Y i o v S J T f z h h 8 v y 9 d f f y B / / + I l 9 M X 5 b i a 9 z Y D 5 3 P X E R + X T C F v u k 6 H z g y u P k z A p Y 1 2 / 3 F K 5 U J 6 Y g Y K 7 c V S P F P r l w r b B k L y A y t e G M s L 6 Q f E H x t X Y a s 9 T m T H O F d w 5 P H d u Q i / A S p h 2 m g U x H b L k 4 q 6 b L K 6 + 8 P M P e r w S 4 v m / e v C 2 v v v r K n N p Q P T 0 9 q g m e a 2 W x M 8 i Z f 3 z z z b e y S 8 + P W x 6 N 8 v C 5 G 9 S H G f Q k 8 s l S y r s 9 9 q P W q J m C n / S k f N F C p c x q X t n 5 u x P y u H 9 a 6 l b M n G B l v n H y p T G p r Q m 7 H p C f j 3 9 M 6 F L X d Z u O 3 c m J t I 2 N m 9 J 0 Y E + L P g O C X j 3 M v 2 6 e B Y k V b U q O m a a e B 1 / x A 7 x M J j h E e I 9 p e l P t d y I e 3 j 5 5 w k w Q w o P y Q Q E j C G g z z B X m m u j o u G P E Z D K U F y F T X 9 9 z 6 8 u C l H M h k 2 / L L G Q A J 5 E D j G K m M 9 u b Z 8 z h 9 7 A / n k M m h 2 k Z n G 6 x T 4 U W A n 1 K s 7 V R r z 1 N S l + m s S p k A r T N k J q o 7 K x a g b s 4 2 I i A x + 9 7 W n q w 4 k K g 6 p E S y B U F E k 0 e r N N P B B n A m j W r L S i W / h w f G c B L 5 n M o j K r 1 g E h 0 L F I 7 f / / 9 J T l 1 6 n M z e b g e D W o 8 U k z J P F d g 0 u A m f v X V Y + a l q x T 0 f 6 E h I X Z C 2 y I L h e H h I d P m + e F O f J s 3 H 3 G t u R t b 2 w q G R p U D h r G / y H T N c w F R F 9 M R t x 6 i 0 9 6 i V o 7 b c h n B g n k c + 0 b x p s 6 U w Y V M V d d Q s d p V O S S K Y m K 0 X 8 6 c O S u / + 9 1 H d g y C P B t o P P / u 9 x / Z 1 x u I B t + x Y 7 t p E Y Z T o 8 k I B Y J 8 0 Q Z 1 J U C z n L / w v U W e z 0 X 4 e A 6 G 0 + M Z O 3 H i T f v U z E L h U e d j + 6 g B z 0 r Z c e 9 c / + j G c d m + i k / I B A c q p q Z j k q 4 w e g J Z 7 t H 2 F 5 3 E T A r D 1 G L V R U z u 9 S X s m Z w M T U u T D c t n 2 7 h k i b 9 4 B k d H y o 9 0 n y 8 o o S i U 6 q V C D g m / v b p x S t 5 + + 4 T 8 7 G f v m 4 2 M i Z Z / b B R 8 R v K s N q A / / O A 9 M w G d 9 m q 2 Q F d v Y n n g n c O L R e O 7 E m c G H Z n 0 W x W K a C 8 H t L v o C E X Q u b + 5 E r s c J F O 1 9 p x o + N / + 9 v e W z p 0 7 L + e + + V p i A z f l j Y 2 9 0 p w K e 0 k J S y o X z F f B H B F 8 / H u 2 b w E v H N S C i Y z x c q K h f 3 J E J N y Y X A T H R N U 1 l J f z Q k R h n A 9 e t F u 3 O u S T T z 6 T 2 7 d u W 0 0 7 M D A w g y C Y U R D k J d V I 2 P t e U N E i n D v a j 0 W 7 i n m 2 b 9 / u s G B Y v F i A 4 / L P m 4 / B g a H c T 2 p W C D x o / H 4 u 7 a 5 K U a v m 5 I 8 / 3 r Q P J R C N 8 S d / 8 j P Z s 2 e X H D 5 0 y D 4 Q / f E n p 6 S m + 6 y k E l P 2 + n k D A 2 O u 3 I p h R L U Q r v A f H i f z O l G r C b 2 w v i t E B l O T 9 + b k R 5 e R v 3 Z A Z H U q e 1 z 1 E P v 0 4 v W q X j G T 3 K 3 C X t j D B 4 6 v 7 5 X r 1 6 5 Y e 4 V R s 9 T u R E Q Q O x e d u p g P A z D I r 1 D D m R q a s U 1 H X z 4 i z U 1 N 5 g 7 G 9 P M T K T 5 4 8 E D u 3 n s g a S U a X d s 7 d + w w I j K j E v f F + K m 6 V J 2 N q U K j E R t 2 8 q 0 T O c G f 5 Q A i f / T R x / K L X / y 8 4 H 3 O J y h D P g e z p X 2 L k Y f 2 Z r 4 2 p P L g e 7 z M a d f e v l V O 3 a 6 X X W 0 T s r U 1 E t u j Y I T w z e 6 E m n f x R S R R L r y M T E 9 N y r r G j O x e w 8 y 7 b v j G p z c T 5 u X D u + c 8 f c 7 b N 6 X p 4 P 4 1 + m 4 X z h G U j / j f / t 1 / V r U v G N Y k k j L B y M p g h q N C 6 L x 7 X U 6 + f t g E g j g x T C U E h I k S P S H u K t F S K t z F Q o 8 Q / I a G F X L 5 h 8 v C V y Q w D a N f 4 + A 8 f N G B P N o 0 L m i 2 y + a j 2 L h h o 0 W f 0 5 G J Q 4 S 5 u T H b v v v 2 g m z Z u q U i p w Q j e Y c G B 6 R d n 4 H n W U j Q l r x 8 6 Y o w v 1 1 + J 6 w H e T h 0 7 i q p 0 u N j s q K x R e 5 1 p 2 X 7 W r 0 3 f R 2 0 O 7 5 9 W C u 3 e p h b r 8 Y q + 3 J R 6 C u L 8 w 9 X + Q 5 o 0 7 q 9 N Q 2 7 b P t O D 1 q L U D a t p L O J 7 Q l Z 1 V q v 7 2 z h r Q O P 6 o Y e x e l P C j V S I V L V t h 3 K E Q b W I S C 1 P U C D M B P p t s D d 6 z t 8 q X 2 9 1 s P c 4 3 g + a E Z 7 a s f O H T n n R L j R Q r T R G A P F F 8 j R i H j I V q x w Q 9 4 J r c H L y L F M U r 9 + w z o l X W V T P k P U v v 6 B e Z n a L A q e M w r r W D 1 7 T j a 3 b z I y l Q K m J 4 G 6 m M u P r 3 4 i g / e / l Y + u J 8 2 s w 9 k w O I f x S 8 D P g b 6 Q s I G G J j N K K j x + u u 6 + m R z I F P 9 1 6 Z P V C B N j h W V x g Z K W X q H s B U r T L E s j P e k E A r O N A Y Q A p 0 B 3 d 6 + 5 1 M + c + d r 6 l A A k Y v s P f / i j f U f 3 7 3 / 7 O 1 v H x c 2 w 8 i N H j 9 j Y p b o 5 u o Y 9 G H n b 0 / P M P h B t L 6 p M o P 2 O v X J U 2 1 E v P r M p 1 3 3 y 9 K m c 0 2 d j f B W E 8 P l X r 1 y V n V p p M P S e i u N 2 b 8 J k q R i o J J g 6 g G 8 1 v f v W y 7 p d v n M C o I 0 2 t V T f M w F 3 P F l u P I 3 r 0 r W T / J y N u e / G H f d 8 i L w 8 O V z A V F W n B M / r C y T 3 4 X P R 1 d N n W u b O 3 b u 2 z a f 1 p 1 S l Y z N j B v J l Q f Y z c x D C T u P 7 t d e O y 6 G D B 2 X 7 t q 2 y b 9 8 + 2 b x p k / V d Y R a i K e Y K a n / 6 t 9 r a 1 k g 8 U V m U O M c m k 7 X W K T y b 8 2 M 2 U F 7 3 1 d R d p 6 Y q X 5 3 w x Q e x + E g 1 G t W b l Q z f K H W X O H 6 I V E k n 2 + T 7 H 5 / I 6 H D u 5 C r F s L Z x U l 7 f k r Z 5 E j f n t b u q A c g D W L h B h d M y m m Z y S W a 1 h e A m Y F Z W H K N / J T P f X 1 G Y B V U d v h H I w K z o e z 5 k 0 y z T 4 + 8 w L U 2 N j d Z B e / D g A T l 0 + K D 8 4 f d / l M 8 / P 6 1 C F H x + R R v 9 T D o / M j q S E 7 B J r F r + V x 0 q A b F t + / f v t c l H K p 0 6 m T Y U w o 4 T p J w + t V K A L F u 3 b j X z F 7 O N S T g x / f C A Q i a 2 P f K / z Z s P i I 7 2 v / L N R z L 8 6 J K s b i 7 u M F n f N C l v 7 x i 3 u f a O b M w E / T 5 q N V S v W R L C + I I U O e J g 7 t 3 s i e t S Z F 9 b x p E o u 9 s R a x w f f w F Z X K h U V Q 1 V 1 1 z 6 4 8 8 e a z a 4 g E w c E e F Q c + 7 Y g b 6 m X / 7 q F / L u u 2 / P a E / E V d i I R O c 3 C D G m I 2 2 i u Q D N R q e s m 3 0 o Y + v l t o f 4 7 e 9 / 9 w c 1 N 2 v N H O M b S F 5 L 0 e 6 D C M T 2 u W c r D D x Y H j z L l 1 + e s f 4 w P k y G o 4 X 7 u X j x B 5 v n v R I w Y 9 L P f / 6 h z T d 4 W N t T J 3 Y 4 E 4 6 P b a 9 c M S X 7 1 2 d M C 0 G i g x s y N j 9 i P q 5 2 V Z t R 6 B v H F i O L / v u 8 w 3 1 W J 6 P E I j L C H 8 M / x y r 9 P 1 H d 0 b t V d U p E 5 K M k r g Y T i 6 R S d S p 0 3 W b W 8 L n K K F w t z d f 3 X O 3 a N e R s a k J T 6 u v q T R g J Q 3 p F 2 z B z A S 8 N z 9 8 b b 7 x m I 1 N x b m x S M x K S z w Z v J p 5 4 6 w 2 L k M D l / / y 5 c 0 5 A 8 N O n v 7 T h 8 F 9 / f c 7 a V 9 6 p g m n Y 2 9 t n 5 t h N 1 b K 0 B x n Q x x T U 9 J + d P H n C P I 9 8 J 2 l 0 Z F T u d N y x G E e i v i s B G o o R x 3 g z u Q 7 k 5 z N B z K F 3 b H P a P g 5 Q a C h 9 F H z S p p q w e g c i 2 U t 2 y T u 4 X E e z H S C x Y J 8 n X V L S B W V x o V J 1 n R J l g h G f z 9 V c w s s G Y b 7 9 7 r y 1 i / J B T U + / A + h V Q q k x l N U C C G m t a o e 5 d s o S m I s W Y P g 6 i a / r H T 1 6 2 I Z 6 F w L 3 A p E g H J p k 3 7 4 9 F v q E 8 G K O E c n x 4 4 8 3 5 M q V a 2 a a / u m f / o m R H Q c K Q / M h 2 P k L F / T 4 a f k 3 / 8 f / Z Q M o C Q b u 7 x + Q 7 7 4 9 b y F V e B t d u y w p m / U + b t y 8 W d Z M T c X A b 4 8 c P i z n z 3 9 f s U l a D a + e h y e R k Y R V y 7 M 9 9 i 8 z 6 f Z B s G x n b n C Q m 5 w m X w 4 X L s X / 4 7 / 7 z 6 v W D x V L r t b a l w c v 3 g / l 0 d E 1 J q / t W 2 v C j H n k Y 9 S i Y A p g B J U 2 V J 3 W q N 8 / r J G m 2 H P r k + E r 5 E N D g z Z A r l J A j s t X r k j 7 5 n b z K G J S o S F w c B Q S Y D Q o h H j U + c i u z X A I 2 j X + f n n e i 5 c u 6 7 1 u t S B d z k e b y I i q 5 G I 4 C n n J R N K 0 4 L 6 9 e 6 y 9 S H 8 a J C I i H D M 3 + v x M h N m p 5 v C e v X x 3 a e 6 W O 8 + D F / W s a u F n q h 3 p P O c 6 p S I 7 G G V 9 q 6 e K J l 9 A k m x f E / 1 P J k N u S f l 2 P s c C c v t d m r B l X c 2 E t G 1 Y u C 9 R 5 m N J O i V A X e N q 6 6 l H 6 F x h 5 v 6 a b U w o H 4 H A J z L H M w S A x q z X n M J s a p z b 9 3 E x y z D V f C A r U R S Y f k y 3 7 D U g Y B 1 z C d M Q A r z 7 3 j v W x w M J o u C e + I w p 0 5 l h w v l z Q C r O z T N C G N p a A C L 5 0 c j 8 l n W W H l Q w D C S s J c y q o l K d C c 5 r U 5 6 9 / 5 7 s 2 r X D u i a I 1 q c b 4 s H 9 B 9 L d 3 S 0 9 m q L l f + Y O M 1 Y F G w s M e / f + H x f 1 K d j 2 y T T R j P w p q c F Z k y e H C 5 m q 6 p T g m p X g h 8 e O L E Q w 3 L 9 / 3 9 Y 9 E M r o t F V d g 3 E b S 1 W b S p q n j / 1 J P 7 i q D H C 8 f x F o E 7 7 5 G h V i T M c 1 q q 2 6 u p 7 I Z 5 + d t r j A j z / + V D 7 6 w 8 c W y b F L t R I E i f 7 G g z x M R T q P 6 c 9 C m 8 3 V l U / b 8 M s z X 8 v T J 9 1 G 8 v k a X 4 U Z S V u M G a F w W F D m 9 S v q 7 D 6 / / O o b K x e A u z p d 5 F u 6 C 4 L g n b A 0 s r i s b F 5 0 a f / Y j p C K r o 5 q I v b Z D z e 5 g 4 L Y M d + q M l Y r m a n 6 r P D y 4 M B W s 8 i 9 n R W 1 0 7 K 6 Y U q e q C C v W 5 / r J e T L 4 t S u H g O j M R l 6 9 k j P E L P + q l F t X r U 0 1 t n U v q X Y j J n W 0 9 2 j Z k 5 S y d F k 7 R Z C k 5 Q J w R E q y K r 9 i A l k + D t f m q B f D B P N I h M K k K g o 9 G H R M H Q 8 0 x V Q 0 W 8 V t A 0 p C 4 i F m U g I 1 l w x P j o c v I f C o D 0 y r F Z A t N v h 2 w e 1 8 n w B 5 o w o B E e K 0 K z D 6 j A H z q S z Q K Z 0 3 W 8 z a j c a x z e h Z v v k x L i 0 r W m Q v X s X Z g 7 E Q o h 9 X o J Q r + + d O S r 2 x U B 8 m A s Z q Q Q 2 J F 4 L D L v e f q l / k E O I Y E M i 7 C g E A I e G o 2 R W T A O B Z W q y Q q K L 0 G T 0 P E k 9 D y 8 P Q c U R E p 3 7 g f O R T z + U 7 z x 9 E f D 8 u P b p Q + O Z Y q X Y X g D c D / e K N 9 A + N B Z z l n u l G B r s M 0 E t h u 6 e X p s S 2 z 8 z 1 / 3 8 d s q c R t W A E S m P U E Y m i B Q Q y p E J Y u G g I k D W D Y G f N I f V u G z Z 1 C o v v b Q + O O P C o 6 o m 3 1 x B I 3 h y u s Z M D V 5 m R r d Z n 4 6 5 h v G k v u n x I B 8 C m d n l U 4 D J A n K D g H g y Q S D 6 m / h o W P 5 E K k 6 j T l X 8 g b R i 4 P 6 s I l A i T K r x z 3 1 U A u 6 u R n 8 L m T K q O R G 0 + c Z n n 5 + W l a 3 M y R A + M x + l n k 8 y R b 9 z l Q + n n Y o k S i w n L 7 B 4 8 v L 8 d j V R 2 i m x h B A r E G 9 G H s Q q Z 0 J F + k 3 y i 5 b C R m A 8 g Y o 9 t j s u P q 9 F w r m 4 t t W 0 E N Z l V w R I R d u H k K z 5 B K Y t 0 0 f n e / p u d B e P q J g L I C f m e P 7 X N Q y Q g X 8 B K T x p L A X 9 T z l 5 m q w c g 4 R m I 9 X V 6 z 3 7 F 1 u F t C w 0 1 H w B L Y W i Q n h J 9 F 8 w N m g 2 O L 6 V F n l 9 p e 7 F B t u l Y N f X Y z m v I 8 S E C c F c w D k Q L G a D K u f a s 4 H 7 w v O Y b 9 r e f b Y w X 5 h n y A g W R r Q j 2 Z W j b u u S x L Z b z y V Q m M j 3 K c z n + L p U F d 3 7 C i 0 1 C q l 0 o s O M h j r r z O t 9 + v R p i 3 B m c s T 8 Y 3 3 i e B d a H 8 1 n 2 6 0 t B t B S 1 I p o N f N U x X B H z + 4 F s u B c a s V g O x / U h A T q j q f H 1 Y R T c v A y A 7 D m a k t c u 5 P W d q K f y 4 J 7 x 1 y A L 2 0 A 9 h U 7 f 2 n E z D n C O U u 1 h 0 r h c V e X / H j j p k W W X L l 6 z e I o 8 8 E Y q Y W E 7 y h 2 H + A O S e G I k b u d S 5 5 g m d V a u X l 4 K p 3 E V S e V D D 3 y e P j g g f y P / 8 N / L / / r v / p X 0 t F x W w 7 s P y C n T n 0 q D x 8 + s P 2 d D x / K f / f f / j e 2 D v 6 3 f / 2 v 5 c / / 7 B / K 0 y d P g p y l C 9 p d 1 J C l Q J v H a Y K Z B + p r k 7 S S g j Y R o V L U 7 I z 0 h T j e n K O d g 8 A D z C g i J 1 J 1 K e t v I g D Y d 6 a a Z 0 q P n 9 C G N g 4 X i F g M 3 A n n x 6 3 N t b g O T g q I W c y E 5 P 4 t k o B 1 l y W n v / h S N i i B 9 u z e Z Z E g B w / s D / a E u N V d v V q e j w w Q P h T X O 5 x B k L x 1 / Z N d D 7 c 9 m V h O a f k 6 p 1 W 1 U t k m 3 7 l z 5 8 w 8 e e v k 2 / J f / 4 t / Y X n / y / / 0 P 8 t f / s W f y 7 / 9 t / + 3 E u y U 9 A V x b n / z j / + x n H z 7 b V s v D C 6 9 d D B b G 4 y 9 d K 6 a a a b r C K U T f P c V P Z w V t M O s Q H U 9 l a o 1 0 g C E m 7 4 i C M e X F s 3 5 Y V 6 5 8 J q s Q z T M T x M M 3 S b I 1 7 S O C U m Q 9 J + / N l o N o v p I B 0 h Z k 3 A f Q c j o f e J C d s T i n 5 J P j 4 f o x E S 6 o S 9 u E C Z D + 0 u B q c L u 9 l W J U P a c + m y 6 n F D t k q j R C s U / e 8 H k y c V x r s 1 k 2 w G Z W D c H V R V R t l N i w / o N 8 u m n n 9 h L 8 v h n / / z v 5 I M P + J Q J I 1 5 f l Z W r y v s a x l I D B e 8 R r u U C s w + y Q C r T H l o O v C v T X s E x H u R A m n h N 3 L 6 4 U e i Y f L C f 4 y E d C R c 9 F R j X g g h + / B c k g x w I D f d j 9 6 H / 6 B T Q T f s d 5 M W J Y p p O f 5 P W 3 7 L O / I Z 4 M a k c I D A a t Z T A o S 3 O z 8 N H 0 8 q F l b 3 + c S T h w 9 y s u y + 0 e I L o H 1 t G y Y R p Z x U P R C L 5 Y x U x b D A e s U q p b A 2 1 u X 2 z / P V f / 0 f y X / 2 X / 0 W Q E 4 I X d P n y 5 a y G W m 7 g J V j t r b U 6 N T s 1 P E K L s P K i S I D n J B 9 B N o 2 i Q m v 5 u r 4 Q g J R c h + t i I q L 5 I A s a D 7 K x z 8 i l / / y L 5 E 5 5 t 4 6 Q e m w q Z d 0 C t b o O e Z w A q p D q O U t w y T p v v 7 n / Y i O d K 4 E j h 0 v 6 J 1 h 3 x P D B r 2 y b 1 g 2 e w d a z 2 y 7 G z 9 6 Z 5 U 9 K X a q 6 U R I g d v r K b S c t B f D a 7 u I T x c 8 d v F Q 6 e I t e t u q g f q f z m J e G B k J Y e S m s Q x 7 A P o S Q z k R m f 0 X Y e Q a 0 B o I + u w 6 a G z A r g R H A 1 k J Q g l Q A 7 H P 3 4 z x m i R K 3 4 s + H F i z W s d s 1 U C O X u 6 q o m b R s 9 Y + V p y e J d e I G x G D p I y M I e q X v j m 2 i I 6 y T l 4 5 c X a c N O m E d u 5 r U t G 1 b 2 y g v v 7 I n u E p 1 U J Z T Y j 7 h a s W l Q y Z u J T Y d v D x e r I J 2 j h N S V w o I H y Q D t J c 8 e T j c m X M L V V p 6 L 3 o 9 5 8 G b W W Z c l f 2 M 4 v X b B f t 0 c q D a r I R q + u p e b V X J 5 G T B k S l L r B L J v K 2 2 7 t 6 X f 2 + m n Q L N 5 b X W 2 r W t V i b V T F X v 2 O X h w Q K d v n L o j R h J d I m g Y U Y F 2 W o q O b M K U 5 B t I 5 Z u + 3 Y H z w L x F g q U l H X a x j A v 3 T W J C C F 5 e l G c U X 5 E V o u j w E H w l c / R 2 B f V q w h H h m I p J I s j S S Q f Y g V 5 1 i 0 R I Z J f 3 7 i J e E y 9 S B V T d U t v i Y K J 8 3 E I U N t H 5 4 2 w x r 6 + I L d B i e W j c H z g f M C R S c 2 b 6 Z h 1 T v r r E J M Y j 7 n r I k g c 8 6 K k h r N M s 1 x 1 Z A k S T Y 4 U L g X b U a 0 U I V F O X p R M t o 9 2 Y v X F O / b F 1 e J t q O O 7 X B v q / / w 3 / 7 s t / 3 / 8 N P C b 3 / x a t X G N t a E w F 0 / f S d n 3 o 6 o N I 4 Q S A H L o h i M J 2 y R r L z l v p m t P O b P c x r p p e 4 k + u O y 6 t a F c h z l t J 9 p Q M Z m Q X / 7 q z e B K 1 Y M S q q M E o Q p / O + h F M a 2 1 7 s L V 7 Z W B K a i S J S o y X j o v y n n 1 w g M p t H R 6 3 L x u 8 9 2 G c t o p k 9 W a H p Y / F V P B Y 2 N K 2 3 5 E 4 C f 1 G W x 3 W c C D 6 T V x / 0 C f n O l I 2 t T L 1 Q b l a i R S k u R o F i N Q L o l s G R D M k U i X j M j V d f + x N Y s 2 V z K R I N T a 1 Q 3 y + p u H g 6 t V D 1 V 3 S g D m T V g q 4 L M u p e 7 G n A 4 I d a R A t F 7 V F 8 j X 4 B e u p J A 3 z E z j T p D 4 / I w 5 J 3 Q n + 4 n A J 7 9 i 2 M l F L n S m F p V M 2 X 9 2 P 2 4 Z J g i m S 4 j m T b 4 C p p 9 L I f n 8 V M x H X 9 6 b f T v V T F V 3 S i x F R I d 2 u F f r w n r M B M m + c A f b F 0 R 3 4 7 R g V 7 h 3 / m D X 1 M T w E j Q h H b t W A 2 v t O 5 E h Z p C 5 v S E 1 9 1 g + a F e g p S D n a H V n 2 D L 4 5 / L l m k 1 G F k g S J L a z p G H b 5 w d L z Q 8 1 W Z B v 2 2 5 / t a P M f a p + q y 1 A a b 1 Q X U S H d v A y x s f C L z v Q z 8 R L C z 1 7 L r L b 9 Q s F 5 t c 8 w w m K i + n j 9 J h 1 m J b x R J C S K U l o S t U m X P w e b n U E z / 2 8 J G g 7 S U 3 C j q 8 2 c g j k U 0 A A S 1 q Y 9 h x + 2 6 9 H j 9 G E l v b E i R K J 9 4 R 2 0 j / B F a u P w J Y p l v 6 / A x u w a G u E 8 L j w H Y s 0 U C 2 U 0 0 7 S g x y Z H O b b k c Q 9 j K c n 9 J p K G i W S e a p U s L g v M z + D R K g g 5 G C o B f M m E K J E B T A b s X j O m B K K U K q q w p 5 B U 5 Q k R g q 2 f f L 5 E W J F j v E V j T s m N P N 8 n q 3 r b z Z u Z O 7 7 q B x X L 1 W 5 V E O 4 d l S p V 1 9 9 I G w W c q Q v D 1 B E C K 3 V 6 g H Y E y i r L P I 2 X w g I E W Y c w o I z x A f f c h G i O X C Z M 9 L V O y L 8 P R q x 9 D i C X z 2 x 8 k F k / W K V O N f l l p Q a W Y J E S R S 6 w S N 5 l g + 5 3 L o j l z 8 2 s h 2 Q y 7 e f j h 0 / 6 C 6 6 C F g 0 Q o V Y r F d c G H j R C C I F / s 6 i S 1 5 s l E L z S S a A 5 o A Y a C G i M 1 g i Z L w o o i B Q W F w z / 7 p s O 8 3 q i e W G i 3 j Y v S 9 S U X P / + i e b u I 0 s c W y p S W / O b T s S Z f d 5 I m X J 4 9 a N b J Z y X e t E v U Q 9 o 9 W G R a E U S w s N u 8 Q i v e R i q I k n r C a n l s c Z g M a i 1 q f d h J B S L g v 5 w i i T a T R i 8 A I Q K k j l w V q 4 N R O 2 3 9 S X 8 0 T 6 4 i 0 0 p 0 Y 1 w P 1 z L 4 4 4 E Z K w z j I g g v P U e c L 4 d b c v T O H x 3 o 1 u L n R t a 7 r J W y Z k 1 5 6 t W f l d j L R 4 V F Z k 3 e d W 6 E s H L l 6 M + 3 P F w 1 c Q E U 7 a M 6 x r u S 0 o M P E w 9 S A y b b h S s X e F Q H u P d h + l S q V A j V / t u c i B I x E E C s l k p P D r f r 8 / x g h D i q z b P p Z e I 3 m i h c s s K T X t 3 j P f M 3 V V B q p C X R R L 1 c T S I R U C 7 T x 5 2 n 4 i a Y 3 P / H v z P V F L c b i r u O n M 5 l b n Q S o f 1 J u e q H 7 Z Z o l i 5 A m I k V 3 m k s S W k W O y b S Q S Z C E v S x y W b p 2 l I 5 U j U y w 2 Z R V J K L / V T 4 u q o U C N N r Q N S 4 d P h l h N U r X S l A 3 Q w 3 V u H y j T 2 n 6 M g X 6 Y g v o C F w r M B I S W j J p 6 c w V a t t C M U Q s J i K F / s s m T y G n + g B D Z Z U A u I 0 e Q F 6 z 7 l L 8 / u w + z z 5 t + m g 4 d 3 h 3 c w e J h 0 Q k F s l z i B S w R W A R 6 D f N E p O y T o t R 8 N P j Z Z r D e X O b T K x f m i N B l I U 9 d p W B W o R e n Z f n w Z L J / L L N J y Z B N n l y a I E Z k v 2 k j f x w E Y j s g k C N T S K B s U l K h o X b t X l x z D 5 R 0 S u j / 6 i R t S 2 V F R w t 3 q S D a j o / e b 7 a A I v f K m s 3 1 o C + W 5 Y s + h V 1 n H o q i k j i / F w U E 4 a b t H y T x S 0 1 G C C M J b S e / H i 4 9 Y X w y E g V k c t u e Q N F 1 R y S W a 9 Y w K S d 9 d O H r W Y y 0 J D S U e + k U f y B D E U F d b O j 7 n w F u 1 8 Z J Z T L u f g M Q 0 M q t E 7 m A Q 4 E Q H / d U l Y H z E w U x p m b m Z K E b q A C z D z i c H 3 j i 5 D o X Q j K 4 p V 8 P C e G T P y 6 H M H k m n c v D m + e W F h S r Z c 7 6 y 8 c O B H e y u F B C U e L F U n U Q X s k J j / 1 d I q S y 6 Z 0 L A N V O x A Q R C i T X 7 + P y b B 4 H N Q v B X B + D v i T m j m B m I 0 6 B t l w a J T I T W T K h U U z 7 B O u Q I 9 i 2 p W 5 7 L W U p u x 4 c y / 6 8 N I N g w d I 6 4 I P 8 Z I K P Q 7 T o n U R l d 3 H S k t B Q g A 5 L h 4 j Y z F U a 5 x F E J x R D D e R R o c e T x k h e m 7 h f 8 3 3 C B E F o K o W K m P 2 j T M z l r U L H + Y j k o E 1 U K f j t Q i F K p i i p s g 4 I k i c I + z X f k c w d Y 8 f 6 4 y w P k r B 0 y W k z X U 7 6 f Z E U 9 D 3 9 / B e l p q y r L p Y M o f J f e l a M 9 S U s J k r N 2 c c e H A j Z N O M p d L v C 2 4 d A o 2 P O q 4 h J g + v e A m D V t K m N M 3 V Y c G A l W K D h M l E y 8 Z 4 c c R x p P E H C d b f f a y p P F k + 2 K I k g S 2 g W 6 n b U 7 A v M P U u 6 T Z h W c 8 v c P v u 6 E F h S w z f s O 0 7 2 7 p 0 A L C 6 V Q s w 2 s 2 w x U I Q 4 K M q F i p y M M Y u S a j r C n 9 B 8 q W T C Z j 9 l s K G L L H d R G y a g w e 9 m w 0 K 8 y h l k i m w 7 I p H c t i O P L q N k I t / 2 O d J k y R U 5 x q U 8 M u n S h t Y E x N p / Y G e u z C 5 y M n 9 A s b R o y C e V v q j F B F p q L n d g Q a 2 K 8 t 3 f M U m q R s J b F A W b P g K e C H T G S D G P 4 B g z Q Z a B r K d v n s o x l z y Y b Z o 8 G c g P 1 h 1 h w v U c M r G M p J A 8 4 X q O 8 8 K T K a K h p q c m 5 M j L + 3 J k d r G T v v F C 2 T 5 V H 1 m T h n e v L 8 e v 2 n q w v V x A C U I E E x p d 9 4 J Y D F b q + W y K w M 6 n + y E W 5 7 W 4 Q z U L S 4 G r U R 3 E p p g r f a 7 l 5 w k U k I j n M Y H P X c 8 n x X R A A t s O 1 o 0 k 2 f x A 2 / g U I Q v E s e H t 2 W 2 m l 3 Z e P T c M P i N / + R / + U u / N S m 3 J p L l Y 5 A s K 7 0 L P I h C C b M 6 c h W J x A E E Q e t z o T O o / y u B F h E O T i m d w l A N b + X m F Q G 0 P o S z 6 P M 6 0 + v 6 3 D i w 5 B q H 0 4 6 T y 5 8 Q o h p A 4 0 R T u M 3 K g Y Q I t k 0 1 Z o m n y + y x P f x / N y + Z D I n e 8 I 1 R k v y c X 6 0 a s q G Z y S y q J u v p F m K l p F i w 5 Q o G E S o q + h m A L u H X + 2 p p / w 1 W C r 3 / m A o S Y 6 A o b r K h t I h u c G E N r u W h w h I a l 0 z T R u S q K A + + Y a T 4 t h 5 H R M R k f J 4 3 b H O Y s M Q m n C C 8 3 b e a 8 k K U 0 X 2 H 4 0 p 4 2 Z 0 h r n V Y A E A G C 6 T 3 n O B 6 M I O G S Z 4 r m e a L Y P s t 3 z + 2 O D Y h j y 7 w E g W w Z r F u i 3 y k j / + D P f m Z 3 u d S w p J w S U X B 5 S O U I l P 1 j c J v h 9 k K C + 2 A u v L k i p z j t j y N Z Q o X c z 4 3 O 2 Z F 3 Y g c J a y J W 0 O Z Z V 0 E q j m k j I Z / E q U u R X F i U h U Z Z W y t h f V m e n M G l y w R k c U U M g T Y 0 T c j R j W O O I C R I 4 Q l j y Z H L i B H J 9 0 S J m o R F y W S V S 7 A M k t N K J E c m b / 4 1 N 6 2 Q l t a m s G C X U F I L q / i / x Q R a y i E Q Z l s E 6 w q 3 a W / c t h c K F V f s e c A j B z H o + K W T 1 p + O J e 0 h I 5 d q L Y a F s A 6 R r I 2 E F i v w b A g g 4 P 3 w + 0 L H F M L c P J X T q p k m Z f u q t L t O Q C R H A k 2 a B 4 H 8 d p Z I Q Z 4 n n d t W U v k p r 8 n L J k + 2 g D y 6 j L a r f D v K k 0 m m J + Q f / s U v 7 P m X 4 r 8 l a f J 5 M K M r y N F U E Q H K r t n L D t b n G X P z 7 4 V A q D C 3 0 B g M A W G m p E I c 9 Q R D Q 9 k H 2 l T 7 F D L T I C h 9 U + z D f K R 9 F J R O S W Q 9 f S X g S I O 2 c c v a m k n T T F 7 4 U 4 m A E A F R s i m H O K y H G s l t B / u z K S S M 5 R u R g v w 8 r Z S b M v L y s U N W 8 S x V L G l C I Q Q m B y Y v E b H h h Q d b O W u W P 7 8 o I N M V g V r L l n o i / 6 8 U O A 4 N h e m G 5 v L g y d A I C D u D D y k N I i l i c b 4 h R U z h H J 5 d T b V Q y E N S s E z F J + T 1 L a O W j y m K + d W U V K H m m E J R C 5 4 M t p 6 7 n 9 9 G + 4 6 c K Q d B Q g 3 k J q 0 M t 5 1 H z 3 0 4 z i c + Y n f o y N 7 g 5 p c m S r e h l k D K m n 4 m L 4 h N I D j B t k d 2 b Z 5 J 9 c K E m s M J g k e 3 Z 0 X A M Q P x 1 i G o p u k 0 u e i J C d U i 0 5 b n S F Y B 9 G A r T Q g U S X z c 7 N j m M U v K L E c O X X 5 + q 1 Y e 9 6 u + 1 u 3 s 8 a w b e V w i L 0 o m t 4 9 l u B 7 u 1 6 U R y y V H u I B c Q Y q u T 6 t 2 + k e / / v f C w l m i a U l r K I P e Z M I + e G Q S Y M j S i j 8 R A t m m r e j f M P v F E J x q z q f T W y + 3 n e P h r u e 0 B 9 o B w p i j Q T W W b 3 f 5 v i j g O R s s C i I n B t B u J 7 g n v T f u D / N u 9 5 q 0 v N 4 + J g 2 1 k 3 o d B D 9 M a b S S E c m T w m 2 z N M J k 1 6 M k i x w b I Z P t h 0 i W F 5 L J k c s R y Z J W J B Z N r u l X / / 4 H V g 5 L H U v W K R E F A u N q e h U C J 2 3 2 J x A J E 4 o g 0 + D W 9 C / 5 Y f a c 4 P q Q n D Y g m d k V 7 C s H l C O m T C W / c V O B I a T a Z g q u a x o h 2 O + g p p / e l 5 9 / w n / u p h D U s t M U 7 L e T u D P x J K y 9 u X V M T m w b k w 3 N a l Y p s U J C u P T Z z W R O n t c 4 3 m M X J k + S g F R K Q v c 7 i B I m b w I 6 E 4 8 8 R 6 a Q S K F m o t 1 U v y I l 6 9 e 3 B V K 5 t P 8 t f Q 0 V w G k p E I h V I B j B V n b b g z W 3 p X + N W C T L q A w 1 Y T Q 5 E 0 p S m / P S 6 a T F D H M f g n Y u b q v B g 5 9 5 U B F Q s + a P n S o E y D q W g U j u N z g d + B Q o 6 9 y + J 7 Z 7 6 p g 5 O L g H m z y m w D B 3 j m L K Z R u C w g Y n C e 7 C 1 l T Y W 1 M Z b S / p v Z v g u 4 T j I 7 o 9 Y W 2 m w s m b f p D G L d 1 6 N l E u + X n Z f J Y h m U I S h d q J e u K v f / N n d s / L A c u G U C B p 0 b P A C Y V b 5 J H K h C a E Z Q X J / r L f b Z S N z K Q j M z U Q f T u J u J p g S j J z H m i C c B a x o O d F 6 C G b 1 b y a A c m 4 I B q E r 6 7 7 / i V q a K 8 h S B w 7 r u 2 i W n 3 G 3 G E g 7 p 8 f H w X o 9 2 E f / V i Q z T q K y Q 8 S L n I + y m a z 4 a K Z r E x I 4 T E A Q d / c w t c R P R E i K S D R v d 6 g 3 W Q p 0 E y B e e c S x A h J F R e 3 n S U O y Z P H r 0 M a v p 5 h 5 A n J 5 L W T k U k 1 0 / R U R v 7 y r / 5 B c L f L A 8 u K U E h R a N o E Y m E L J 5 p e U K I C F E W Y o 2 s c 4 w 8 L d x Q E u z P R N k g B c F d e 6 C E Y s y U h Z B l z H i B M 4 Q f A n B B N K c H G T c P 4 0 b 1 1 K T d l m H / C Q k D j R Z + V d l T U 8 W F j p q g A 7 P n c w 7 m / L k W B t l W D 1 O 7 N J 9 N O E Y 1 0 q 6 f G K g X f X v L J k c v / l q U j W 1 o b a 4 5 A / l i 3 z x E p d 9 0 I l E M m p 5 U g E + 2 m A 4 f 3 S m N j Q 3 C 3 y w O 8 D d 5 S 4 b Q E E Y / T K K f m Z S s Q k 6 y 0 O F E L d 7 E v u 9 P g t 1 x O Z M s f y 2 Y B 0 A Z h N q 4 i u 3 N A y R k t t A x t C I Z q M f q X C D + i A 9 d 9 l d 1 p O A h B f k q 3 S 1 P J A c E u d B z 3 h X n n n 9 f 9 L X 2 / C P e T Q d f G C 9 s z u t R 8 1 q 9 1 u Y 9 0 u 4 R W 0 W W g W f w x y Z j X M q R c g m S J 4 p N p H 7 e O G 9 y 1 D 6 l w N J k 5 6 9 K k r u / d v 1 P e O H E s l M V l k p a X h g o A q b j / U P 4 D s c l K U E A q D 8 v P 7 s z C 5 8 z I 9 S f O 3 a F C p B d V + F 2 z J b t H W 3 P g 1 1 E N h E Y D V u P b W n H 4 c 6 I 9 3 M y w I a y d 5 E I B s 8 e V B g f q n e l 1 + 0 f C v i i 0 E 5 q T a 2 S U I I + e + 3 0 Q K b r U + 4 V k u h x N u 3 z T V p Y X p I B k n p B G O L 7 g H p D L k c 3 N B + G 1 E s u p i b T U 1 a f k 5 L u v B / e 6 v G C v p l h a y k g m X R e a F y L 3 N x A l W y D K B Y i V m 5 M F u T 4 5 B F t 5 O z C p y k d M h c v d Q 7 F k b S B d W j 8 T Q p 6 3 3 y c P h t 0 j y A D v 3 T j R O L r M P 2 4 m g i P 8 w Y r 6 5 K Q c 3 j C W Q y R P n P P 3 E 0 a 4 b L s p W I a k c c d l t 2 0 Z 7 P d J 8 x 2 p n B Z z S w g U T Y 5 I L q X 1 v S b k N / / k L 7 I y u N z S s t R Q H s l a b t 8 J S S g n g b Q E C 1 Z Y j W x q 0 j + k M D c H f o / b G 9 k K f p c p c 4 5 L 2 j Y I 1 G z A 9 Y 0 j A o e G u 6 / C Q C g 5 p + t / 4 g s c x Y 8 N 4 e 8 9 W P X Q t 3 + g b V z P C Q k g R 0 A Q T c + G R Y b G 0 U 5 s + 3 y 3 d K T y 6 + 5 4 7 s v 6 k o K U X Y d A p p U g V n Q Z S W Y C B m R K x O V v / + k / M s 2 + X F E 6 U m I Z o D b p 3 c V O a J z M B N I T L P x K d t P D M m b k 5 s D v z U n 6 p 4 T c G x B A I 0 j Z c N M 9 4 y F E Q M P 7 c s m F H L n v 4 2 a h u + I F J 5 E J f m c 3 G m z m I a m / i 5 L I E c F p q o u d a E H y c s n k i Z R N e p / R d Q h i e R H i u G 2 v m S C O r g f a i M Q X G V n S L v 7 1 3 / 7 F T B l c Z m l Z a y i D P k Q u q Y p o K 1 t 1 K 9 l N D 8 v Q P 6 T c P Q X B E S 7 y w B 8 / M 1 G + C D 8 x e T N R 5 D d a N U M q B D v b v 6 U C i J e Q 9 W x g b f A T F t m g / G x m s I M U g c + K 7 p q a D k n k T b 7 + 0 c K a K Y c 8 w b Z p o o B A 2 T z b n k k s a x / Z e u B 4 C B J t J s r p 1 / / k z 0 1 L L 3 c o o X g j y z y p I I a k A i o y / L d F R I T 8 a k A c 9 y / M N v j 9 P u X u z Y L 2 S 4 n d d l s I Y 3 h A q Y M V m s 3 x E I g g U A s 1 s i 8 Y R k f a 4 j I v c B a 7 V 5 Z u E / j N M D s 3 h / s 3 E 0 z J 6 k 0 x R h F / / 6 A m I E O g V b I p I A c m G s m v 6 5 L f Z f O V J K 4 S C L x 2 V i m 4 P K s g / L a t O 8 3 0 V 7 / + M 6 m v r 9 f 7 y n u v y z A t W 6 f E D B Q i F Y n / t g i 2 P b K b Y b 5 f c 1 s B s p n 6 J 4 d B r i 2 V 3 d I / O Y d o C V J r h w c U T / z G t Z 9 w U l B L 5 5 Y + b Q q L S L C T g + C H m o y z A c L c K C I 5 O Q f o b y e Z 8 8 8 R 6 v m I y J k O t K P T L K Z d C m i g q I b K L j V F i e f J m C W k E m h m S k s i X i N / 9 Z v / Q J q a G n L k b v k m k f 8 X H K 6 s 0 J f i 7 C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 N a m e = " K i h t   1 "   G u i d = " 2 b a a 2 2 1 2 - 7 7 4 7 - 4 7 7 9 - 9 1 7 0 - 8 4 c 7 0 c d 2 2 e 6 a "   R e v = " 5 "   R e v G u i d = " 8 6 6 2 f 7 8 0 - 6 7 c 5 - 4 9 7 4 - a 6 f 6 - 2 b 2 c 4 f 7 f 1 e 0 9 " 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t r u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 / & g t ; & l t ; / G e o C o l u m n & g t ; & l t ; / G e o C o l u m n s & g t ; & l t ; A d m i n D i s t r i c t   N a m e = " M a a k o n d "   V i s i b l e = " t r u e "   D a t a T y p e = " S t r i n g "   M o d e l Q u e r y N a m e = " ' T a b e l 1 ' [ M a a k o n d ] " & g t ; & l t ; T a b l e   M o d e l N a m e = " T a b e l 1 "   N a m e I n S o u r c e = " T a b e l 1 "   V i s i b l e = " t r u e "   L a s t R e f r e s h = " 0 0 0 1 - 0 1 - 0 1 T 0 0 : 0 0 : 0 0 "   / & g t ; & l t ; / A d m i n D i s t r i c t & g t ; & l t ; / G e o E n t i t y & g t ; & l t ; M e a s u r e s & g t ; & l t ; M e a s u r e 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 N a m e = " V � l i s s e i n a _ l i i k "   V i s i b l e = " t r u e "   D a t a T y p e = " S t r i n g "   M o d e l Q u e r y N a m e = " ' T a b e l 1 ' [ V � l i s s e i n a _ l i i k ] " & g t ; & l t ; T a b l e   M o d e l N a m e = " T a b e l 1 "   N a m e I n S o u r c e = " T a b e l 1 " 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2 7 7 . 6 6 6 6 6 6 6 6 6 6 6 6 6 3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2 b a a 2 2 1 2 - 7 7 4 7 - 4 7 7 9 - 9 1 7 0 - 8 4 c 7 0 c d 2 2 e 6 a & l t ; / L a y e r I d & g t ; & l t ; R a w H e a t M a p M i n & g t ; 0 & l t ; / R a w H e a t M a p M i n & g t ; & l t ; R a w H e a t M a p M a x & g t ; 0 & l t ; / R a w H e a t M a p M a x & g t ; & l t ; M i n i m u m & g t ; N a N & l t ; / M i n i m u m & g t ; & l t ; M a x i m u m & g t ; N a N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8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1 d 2 3 L b y B H 9 F Z S q / C Z T G N y x J W l L d p y s L d n l k l S q v G J F r A S L I h 1 e 5 E 3 + Y / / A v + C n p C o P + q D 8 Q k 4 P Z j A A h 9 S A u J D W 7 r 5 Y J i h 2 t 3 D Q P X 3 n / / 7 9 3 8 M f f 7 0 f W Q / p d J Z N x k d 7 b G D v W e n 4 e j L M x j d H e 4 v 5 L y + j v R + P D 1 / h 5 V k y P 5 u M X y f X t 6 m F D 4 1 n P / w 6 y 4 7 2 b u f z z z 8 c H H z 5 8 m X w x R 1 M p j c H j m 2 z g 7 + / P 7 v A b 9 4 n L 7 P x b J 6 M r 9 O 9 4 l N D 8 6 f 2 j g / f z v I P F L 9 8 n 1 1 P J 7 P J L / P B M J k n g 4 d s t k h G 2 b + S O U Q f 3 K Q T d 3 h A 8 u O T 1 t 3 R 3 o / / W K T T f x 5 d J t P 5 4 o V j 3 y f J 3 W Q 8 f O G 8 x g t 5 c Z S N x + u u n I z H K X 5 1 j l + w / R h U r 5 L R I r V u r 4 / 2 5 t N F i g t / S y f n 6 W w y W p A A s 6 X X 1 m h + t O f H A 9 c J H b Z n j X B z n W D g B l 6 A G 4 y 3 T o b D a T q b g c x f J 9 P 7 Z D 5 P h + L S M Z f O 8 u N 9 y / N c 5 l v n y R 0 A S v f l f y w S + / B A + 9 y h I P D X L B 0 N I c 9 s P g V s B b n D A 3 F B v i H o C n L V N y 1 g + 8 M 4 G 4 k / 1 j o o y J 0 9 f n 3 8 O k 5 f X m X T h S X u q k a a C 6 5 d f Z P O 5 p m 6 e r A k 7 0 H l h h 4 f V l / j D z r g E O D n 2 y r G P y X T T y s w H i l 4 3 y / w D N 6 / e O 2 + O P E I V X o n m c y S H P w L e u O V / 3 m 6 m N G b n 2 d z / O s A q c a g x 7 H r C N C 9 Q R A 5 U W h E / e L x G x f A + r z I c J / S 1 I I E + x Z z P e Z Y u f y P X / E Q X C b 8 7 6 q P / 0 r C C o X i K R F k 6 z 4 H / K a v f Q C 4 2 B q T 3 T 0 A p 9 M M z 1 7 G V b o K / m k G 2 w e 8 u a I 3 h 9 x z n M A r I A 9 t 2 z c r O m d t E c h 2 w A K r k L E B y I K U d s e L p 6 U j W E l Q j c l 3 D 2 v U W J M B q w s g u f n 2 B q H N A u i 1 w X 7 n W E T d w R p p d / x Z w y p P 3 8 q R / G b 0 A G t s P y Q j c U Z / X N x + o i v J K H 3 I 7 n J D / W E y E T a a a y t z G u I a D V z X c 2 J 1 L N u x a 4 R V M L e Y s 2 8 F z L W Z x U X c t 0 h 0 i w S v b 5 M V L Q 3 a E r W 6 O p s 7 D O v O Y i 6 r z q a n s 7 g 7 c M m T a + J z c X A 9 e f z C 5 2 K 2 u w G 6 d o f o 2 v p t V 8 / K H x t d r w 2 6 D v C U H r U d u f C v D S a 5 0 D e v Q 3 S 9 3 x u 6 K / 3 o d 7 l z n I 5 y 7 / l 2 f k 8 + s r L T Z 5 P J k p W + n E z 4 7 8 C H x T s t X C r X i W X o 5 A 1 i z w / M L h X n b Z H 3 D L c q 9 B x Y a Q i 4 b 7 1 7 / J a O H r + S 9 B u a 6 h J F D W + d a l 2 l f t p 7 5 o J r 3 L p 3 s 5 L h f T b + C z z j a X Y 9 P + J I n 3 h T f h C L 0 6 S x l s a w u j Y r Q l 9 / E L D I D o I Q h 2 6 u q 5 w z Y n j E z g x c t G j 2 X Q J B a p + o a + P V z d 8 4 F p z r Q v l m N p + M M 4 g q P 7 D F u P a n J P k Z u Z s 5 B T D V s I a 0 N f a z W S n o z f U x b O E M M x d x r P C F A 8 + h V w b D + / g b R E D c y l U y J J / Y 9 Z l r F X I 3 C H W W S K r 7 L u 5 / 1 7 4 x C a w x 6 V 4 X 8 3 T V S h M s / q L c B 2 6 S y m B h Q z 1 G / i q O A n n a I p U R M 3 p l A H 1 F x o G F P J X h d J 7 K Y K G G T e c P A I J A j c k z e w D 8 N g 9 A 5 C u t j x 0 f r x o 8 A H 5 f D 4 C v Y f P n A 6 A l M x u H y v H A s 1 2 m U i B B H F J C p M E D g L C Z s o J B 1 8 l M p i t n 9 w / A F r N e n U X Q T Q 9 6 H k D D T V A h V h z g l Q F y G W L h j O 8 q O 6 L n v Z 5 5 c u Q s j 6 H y f 0 U N B Z 5 b J R E m q j L C o R M F i h T e c j I t 0 t R N g 2 c c 5 6 j M y D Q 1 l a O C 0 O z D X Q j u F o J n K u w E s h D V t C K l C G q m u + e a 1 D Z y 1 9 W g 6 i o b f U r G Q 4 K u b U j l u o H r U A z M P X B / 4 P s s 9 j 2 n A N A U U U l R I M d O 4 q o K f x k s 5 T / X R m n H f U R X V Y T e D h N e z G y N U D x A R I T z U S I U 4 u j 0 W R D 5 h c d s Q k i K s i u E K v x 3 i d A T w d B F c k e 1 X p W A E h f K d Y L L L L v p w F g 6 T l Q U C V D 8 Y V 6 N K g F n T Z Y y h H p G 1 u l i O h 8 n + x Y J u W n i i f 4 I S 0 8 y l k j V h c i Q b S J J N U v 8 v Q Y 4 5 + n 8 j v K K e T b D a Z F e t G 2 y n U V p z w v M g Q 1 n z n M Z j q j N x 6 3 c 2 T I 9 D Y E e v N h Y Y / K 9 w v x m A I x x Y g w V 1 g x F n W Y l I Q p i H P J 0 Z O 7 K H M G 8 G S 6 S 6 d D i E n D A w R 0 B j B M w r x X i q + h q o H S N P E m t M d k q 8 q Y q w u k E S U z q c g L q Z U t + l i 3 u s o f C l r f Q d t d 2 Z R r D H 9 i x 7 5 g L + Y K 5 L C V 4 V i F l m 4 J C Q V V D p M 9 y w o 7 x F 0 9 0 H s 5 8 p A D o l Y / 6 / k t x n Q r 9 1 f z 1 6 S R X / b w Z K 2 p a D I b m e 3 b h k f E O D h / x j y G W 5 c x V I 1 a E m j D K G Q 4 q / o / f S l I 3 S F 5 r l L W H o G v d J 7 k 1 J n 3 p v n T x A W c l q C 1 d J 5 j z x + A 8 y w j 3 + z G 1 2 z X N U C N Z 4 f u h r P Y j K I o 8 0 n M D w M S a e t f G V C l E a j p k N g P I U s z a 4 d F x l Z B 2 n x X B u q 6 a / M T a z j o u q s a o L 0 D P k 8 8 j D l K 5 f f Z 0 c p v x q 8 o J L y 6 R 8 R Z a T i Y d y O a t O s 0 V m I X U f y u P 7 t D 3 z P B + J N Z Q W Q A b o + o I u 0 0 C 7 4 u f G / r h k p h 2 z 3 O q g l p d f P k N X Q 8 u i a s x 6 g t c c 7 G p q N M B x 6 p 9 L o r F 6 W R O f b T C H / f c F i 5 a y G T S E Z U m q L E 5 6 f j u 8 e v 0 g U v A f T T P p R y z 7 9 i t C o w a U Q 2 Q r m 0 0 i a w x 6 Q v 1 l S o t L y q N l l e U v S 6 d 1 b n N 9 p o b 7 T i O v J J S x 4 5 n P p U l / 8 J w e 2 S 5 Y x / 9 0 V x Y S k f C W m 2 o 3 i u o a l C U 6 X a l 6 B B b 4 9 M X 5 G Z F / 5 C 7 Z P e 8 c a e q 6 W 9 H 9 0 g 9 8 8 5 4 b s q b B 2 F u q N p 5 A h h y M + S S t 0 W x F 0 N d w f r w + A 1 C N v C 8 F C n t t n e t z i S o x m S r 2 A L w p S z Z Z f J z M s M E C y x 1 O b 4 6 T b o A 1 n M C S n K K 6 B r A 2 u Y z m j g T r M i Y o k l L i r c P y w 3 R N 9 T h n J Z 2 y 8 u k 6 q o t V 5 X 1 5 z M J q / H 5 / q F t X j B C f U E p r e + 5 t l l p O R q U A e 0 K W T 1 2 f b 7 I V m s P I i 1 y k 3 b S c w e T G u X N z l w T A 8 S + c R w z 6 p b N 4 y F T / e H d h C S p H f 2 s r d p s / s a x Z F 1 X T / u o C z 1 R d e A P H G y n 8 o + k x X r C o D Y t w C N p A a 1 T 7 p H v 4 e y T G K 4 d G + R q h + p 7 Z 2 q n 1 w S e r 9 o 9 A a 0 4 / f O g d X 3 A Q w 7 S y o Z K R u 2 r V 4 2 G Q z H a h 4 B J n p u B 7 1 C m y p C 6 q L Q / M s Y D H u S k C 8 E b u E Z L J L X z r W v / C B 2 V u k n f 6 i F a w f z p j s o 3 t 9 k 8 + Z T M V R 3 C b + 4 B o w x B B 6 g s Q 4 R 2 Z J 5 d K A T g I a 7 P q x A x Y + 2 q E P K P E j R 7 h x y d / N v z m 1 Z 2 U M m L 5 X g 2 H w 1 X V z 5 m d 5 g 0 k x m r 5 i k r 1 2 V F t Y m 6 b F x b p D L O J 8 n w 1 W h y f Q e T o X W 8 c w l 5 i 4 3 d 6 e y 3 B m 6 / T T b 2 N o q M V T f q K o 9 e p 6 U h 8 I Y 2 O R y E g e 3 Z Q Z G c C A a x E 9 n M U 5 b Z 5 E R d Y U Z x J y 5 U z v g 7 d a A 2 s L g X W T Y q E s c t K n 6 Y D F O H a 4 j J Z b O t 5 a z 5 R D Y 6 V d 1 W J l a Q 0 p S v 8 8 M U g m p M v t f D 9 B 1 V 9 f N 1 C 6 / n m D t S h 6 r b Y s V G j H x L 6 V C N / K I l b q 2 z / G 5 x m 4 y t i 8 f / c C n 4 K e j C 6 F K D c r v 6 / k r C G j 4 9 P A T b 8 6 i a d r G e J c m Q V w p o p U r j 3 D H 1 s A a O L O X z H t b Y X C j g v C 1 K G F M H q 9 2 2 g 1 W S 0 4 D t 9 2 h l 2 6 s S 8 D w Y c K q U c Z s a 8 R a B s B 3 G s r h L 1 f u A w m J D h J R b X j 5 r 1 o 0 R 1 w P h H v R 3 e 0 a 8 G / 1 t M V H k B b R F Q + S o 0 I O O 4 r 8 J U 6 F w G C L q U n / 1 0 a E / k P 7 W 6 c I R m 5 F G / J w m s 4 3 h g c b J D g S / E n Z S 5 Q g v T J r 8 + G 2 U W i 5 y y U h r s r h 9 + w 0 m E z l B z W 5 3 r d A k r s Z k q 1 5 Z n T 5 p 8 Q i M e F k o 7 9 N o D K + D O E n B C 6 X G 0 K k J X 7 R T g b e F J B a 6 p V E F I p k b 9 U p L Q t o t 7 6 N Z e i s V o G q A u 3 Q a N w b J t f 0 Q Q y Q q B R V j w Z z v 1 Z / K 5 4 L s a j x B M f 9 O g 9 y m X a 7 y c z C w X A t b G F k n j q V v T G 2 u t J P M Y G S p 6 5 Q P L G B b R k c t r j l J T R n / K P 2 t R S 4 e e F Z 7 K d Z 0 T b V p m o o C V Z 8 N X B d x t B n w S t N U H z 1 T u j P b 9 Q G 7 1 Z a p J f O b l 4 o q w V A d Z + p j k q i p J N Y 8 u + w h C F K Y h w i l z V U j z p t 3 R J I n 5 b b 3 p C R B T c m 7 B p r E 1 Z h s 1 Z O q A G 0 o F l F + C y 2 8 p a k V r E t o 7 D H b N i 0 O l d W i 2 K 7 R E a n N l / j 5 4 o W W S 0 R X k N V A 6 R p 5 2 n y q M e k e + a q n h U L u T a n h u S F 2 4 S D G t C D m 6 q S n F Q x Y 6 A e e H 9 X u x e C C 7 M r T U s x 3 7 2 n J w l 0 l E 3 W a 3 P / M 1 0 M + F A s j z 6 k I d O K N q X R Q a X G b 3 P C x o n x g s K l r h T k D b D y S 2 h g M g t B B H d h 0 1 J 4 S 7 7 w 1 m d Y i I O i 1 z r E 9 O U M r O v 8 D N u 1 z U + Q 0 x a g Q r I s a v 7 d r u 9 2 4 w B q j v j X w 6 f R U Q 4 X E b D a S x l G x y Q Z 5 Y 5 e G 5 5 W 7 Z C r r I Q M l N j b s p L h X Z l 8 X 3 f 5 6 p J a s p H C I R B V 2 a Z H r Z f m y q r W L t g Y Z 8 j T 2 h 2 B q s R p Q D g 7 4 2 B P o U H x r C H o E d + 4 R B R E y k N b l 4 z c s n E P 3 D P + 5 o W I q c p q 6 V O j V R Y 7 f 3 / V 6 S Q J r j L r X y 7 x p S g 4 C V O y v v F g y v 2 J S S C H M q / I n H v Z f t A Y 5 A s g q s E X 2 E I G t 2 e m 9 e v w K 5 m I O q O W Y Q E F L u + / P d z i g 6 v k s 2 V 1 g J h B v a H K j Q Y T Z w 5 g V m / D d Q e R i O 4 a v F o j V s r m 7 M 7 f L U K 9 t a + 1 l S 8 k T L Y u n a T 5 / p 3 T t f e 7 8 F H n 6 5 m 0 T L s O O r i L o 8 F h E + B m s 6 X v a 8 E g L V 5 H 2 x b Q d S Q c P h 3 5 s + F 0 V O a H l + 3 5 c J l X X h P K Y f a 0 J 5 Z J q f L o 3 o V U V W 3 J l G y u W G 8 U 2 B R h F E S 2 0 H Z x i a h G y S b G 4 I L s K L h T z u l j 2 5 8 i s z O z o 6 n W G d h F 5 i L V o V G G 2 q p B 4 T m R O 1 R F f C 3 0 p 9 L h i m U x z x c o J a Q 9 8 P 4 q l 1 8 u 7 V 6 w n r O N F s i A 7 q F w T c U F Z y 9 M J v g q o N N L W A l I 0 c K v e I 0 y i 0 7 S M w V p K 7 j m w v u 2 j 7 r X A S B v 9 u 6 H f q U h p 0 J a o 1 V U z k 8 m E q B q b v p C V D u b G X u e H x T T f P k 7 l 6 q a d 2 u R v R t S b L X J v I V + C a 8 C V c + Y j b Z h J Z W 1 m U g U l 7 W b 3 4 2 p u r z F 7 p b X d I L 2 6 8 o u a W N i m f B L Q T i + J s o 3 9 b U b 1 1 b c b Q 4 K 8 d b B l x 6 j 2 D V A g r D 0 D P W R Z d S Z 9 a f V S j L G 0 d y 9 P I 1 x h Q Q j l 8 J T 9 l l c q W T 1 s R y u 8 3 a Z q j q w Q J s + l t 4 t 5 O V T D z b m D U 2 J N e o 4 + J j Q t c O l o d w j E 3 t R 8 5 5 Q 0 j M u 0 6 h r v e t / L R h J r 7 P p C e 6 W 6 6 8 7 V F Q a T p 4 V 7 1 X S n A P p C W W k I G U F M j c A l Z 8 0 3 w L Q N X S Q p 7 e 7 2 4 2 N t Y 0 t I N X i R z U K d j K r a P k a f 1 J B M i P I I w 2 h 1 0 T J k C m C o 4 e c h 2 V U E U + J e V z 3 7 C 2 H q 2 F T R 1 g i r q p x g 3 l K J K 2 3 3 8 7 h e j C 2 M q p 2 z z j c E 5 O 2 c t K C n w 3 b O F d 3 R v + 9 2 T h H X q I M S t / W G b 4 k u n 5 T n a U e h j q f K J 9 j P w / w a b b s 5 7 z z Q 8 e i 7 e L i A j U I d S U q z r z 0 E O h B V Y 9 P 9 I V k 1 r 0 s B T + P c U O x g Q 3 9 o y 9 w Q k A r Q 4 O f G h V 9 j M q 1 c k F 1 Z V s V 8 9 4 Z 1 K V u X e 6 f a 9 x S K C 8 q u i k X 4 h W V t G p 1 E A 4 e F k W o g Q D e E 2 u S w d r B J r u F n C E m 4 j v K v J 2 z 3 J Y U r 4 o P u v 8 Y O 5 m Q L O p e n j T o 5 M p s P t e D E p I 7 b Y g C C 1 b C k + Y m J o Z Y O D 0 w 9 T / f n e e n Y 1 f O y R S E F H e 3 S L 6 L z E n s q j b k F c c j x U k o 3 5 6 U e J z z b 8 z L X 3 Z V W W V 5 U V l i / c o p O I R 5 l 8 q 8 l b N M H 5 B b 7 R t E H 5 I d U h z G k B s + Q H F i U + o D Q g f n 4 2 2 y G Y Y d K 2 4 6 2 E m D N V 7 q X y G k 2 s 0 K w 7 i H K 7 9 b a Y h n 6 g J 5 R D + Y V v h N v V F p r 1 m o 9 S 6 l g E 0 T Y 1 m J E + i S j b / u w 5 u j y S h 6 w s + 6 A N r S g C h 6 1 G i b X q W q 4 d 5 0 X J J k 1 J t 0 7 w U / U c T Z I D J 9 Q 3 + 1 P 9 M 9 l c n 8 / S 5 J S x x 9 D 1 1 7 z D t y o i G 1 h w 8 O I m W 3 4 y R j f B 4 l 9 P O N Z O s Z e O y E O V 3 6 I k j 8 N Y b u n 4 U k O G m g 9 P B n b c 9 V W 5 h C 1 w F d c U O Z f F s Y K L 7 y 5 F c C 4 l K c q Q b 4 f 0 D Z i g 7 2 X 7 G E A q H j b T Y 1 v x Q a d H s 7 y 7 R T 5 q r E v T y 3 i m 2 f H 7 R e 4 o E 8 3 R G t n S I 3 W s n G e h g t L q J k C 4 I 9 Y K j z e z Q o X y b r u u d 1 f V r E r v W s a / S K d 7 / i l 0 S Y / K L 7 F / c k l S l L z O l M 7 z Z z + T n T u Q h y S o s D e 8 I i E u s V e Z M e F R + w M s I T S C 1 w 1 3 W 1 S N y 7 I r v J N i v l u V O 7 g 7 e z 4 8 O B V N r 4 5 S + Z n k / H r 5 P o 2 P f 4 / m 4 R g T p m L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923D0CB0-2A96-4B43-9083-C21B2ED1F77A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9f416984-9e62-4aab-b56b-ffd291e12147"/>
    <ds:schemaRef ds:uri="http://schemas.openxmlformats.org/package/2006/metadata/core-properties"/>
    <ds:schemaRef ds:uri="47e4a136-4e43-4d4f-be0e-59ae4382439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D0B019D-C35C-4FFF-ACA4-D160527EA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10AF4C-AF23-4797-88E2-8B2B2F6DDE49}">
  <ds:schemaRefs>
    <ds:schemaRef ds:uri="http://www.w3.org/2001/XMLSchema"/>
    <ds:schemaRef ds:uri="http://microsoft.data.visualization.Client.Excel.PState/1.0"/>
  </ds:schemaRefs>
</ds:datastoreItem>
</file>

<file path=customXml/itemProps4.xml><?xml version="1.0" encoding="utf-8"?>
<ds:datastoreItem xmlns:ds="http://schemas.openxmlformats.org/officeDocument/2006/customXml" ds:itemID="{EAAA5BEF-D933-4BBF-BCFE-7DCE5A4083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e4a136-4e43-4d4f-be0e-59ae4382439d"/>
    <ds:schemaRef ds:uri="9f416984-9e62-4aab-b56b-ffd291e121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C0521EE6-A3E7-4649-A029-C64D2EF32E3D}">
  <ds:schemaRefs>
    <ds:schemaRef ds:uri="http://www.w3.org/2001/XMLSchema"/>
    <ds:schemaRef ds:uri="http://microsoft.data.visualization.engine.tours/1.0"/>
  </ds:schemaRefs>
</ds:datastoreItem>
</file>

<file path=customXml/itemProps6.xml><?xml version="1.0" encoding="utf-8"?>
<ds:datastoreItem xmlns:ds="http://schemas.openxmlformats.org/officeDocument/2006/customXml" ds:itemID="{6213DDF9-B40D-4B3A-87D5-A6B7DF833A7F}">
  <ds:schemaRefs>
    <ds:schemaRef ds:uri="http://www.w3.org/2001/XMLSchema"/>
    <ds:schemaRef ds:uri="http://microsoft.data.visualization.Client.Excel/1.0"/>
  </ds:schemaRefs>
</ds:datastoreItem>
</file>

<file path=customXml/itemProps7.xml><?xml version="1.0" encoding="utf-8"?>
<ds:datastoreItem xmlns:ds="http://schemas.openxmlformats.org/officeDocument/2006/customXml" ds:itemID="{D03226E4-7C45-4640-AFF5-3FE4221E88DF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68DAA0B4-CBB7-455A-9EE3-5CE9229DFE61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Digiehituse_andmestik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Ergo Pikas</dc:creator>
  <cp:keywords/>
  <dc:description/>
  <cp:lastModifiedBy>Innar Liiv</cp:lastModifiedBy>
  <cp:revision/>
  <dcterms:created xsi:type="dcterms:W3CDTF">2022-09-27T06:41:35Z</dcterms:created>
  <dcterms:modified xsi:type="dcterms:W3CDTF">2023-03-13T07:45:05Z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0x01010022476CEBB68CDF4BB0C705B0BCD2D363</vt:lpwstr>
  </property>
  <property fmtid="{D5CDD505-2E9C-101B-9397-08002B2CF9AE}" pid="3" name="MediaServiceImageTags">
    <vt:lpwstr/>
  </property>
</Properties>
</file>