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ROS\pwrs_ws\src\"/>
    </mc:Choice>
  </mc:AlternateContent>
  <bookViews>
    <workbookView xWindow="0" yWindow="0" windowWidth="20340" windowHeight="10935"/>
  </bookViews>
  <sheets>
    <sheet name="Geometry" sheetId="1" r:id="rId1"/>
    <sheet name="Systemati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H3" i="2"/>
  <c r="G3" i="2"/>
  <c r="F5" i="2"/>
  <c r="E5" i="2"/>
  <c r="F2" i="2"/>
  <c r="E2" i="2"/>
  <c r="G2" i="2" s="1"/>
  <c r="H2" i="2" l="1"/>
  <c r="F25" i="1"/>
  <c r="G25" i="1" s="1"/>
  <c r="G26" i="1"/>
  <c r="F26" i="1"/>
  <c r="E26" i="1"/>
  <c r="G30" i="1"/>
  <c r="G31" i="1"/>
  <c r="G38" i="1"/>
  <c r="G29" i="1"/>
  <c r="E30" i="1"/>
  <c r="E31" i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E29" i="1"/>
  <c r="C30" i="1"/>
  <c r="C31" i="1"/>
  <c r="C32" i="1"/>
  <c r="C33" i="1"/>
  <c r="C34" i="1"/>
  <c r="C35" i="1"/>
  <c r="C36" i="1"/>
  <c r="C37" i="1"/>
  <c r="C38" i="1"/>
  <c r="C29" i="1"/>
  <c r="G39" i="1" l="1"/>
  <c r="H31" i="1" s="1"/>
  <c r="B17" i="1"/>
  <c r="C17" i="1" s="1"/>
  <c r="B16" i="1"/>
  <c r="B15" i="1"/>
  <c r="C15" i="1" s="1"/>
  <c r="B14" i="1"/>
  <c r="B13" i="1"/>
  <c r="C13" i="1" s="1"/>
  <c r="E8" i="1"/>
  <c r="E9" i="1"/>
  <c r="E10" i="1"/>
  <c r="E11" i="1"/>
  <c r="C14" i="1"/>
  <c r="C16" i="1"/>
  <c r="E7" i="1"/>
  <c r="C12" i="1"/>
  <c r="C8" i="1"/>
  <c r="C9" i="1"/>
  <c r="C10" i="1"/>
  <c r="C11" i="1"/>
  <c r="C7" i="1"/>
  <c r="H32" i="1" l="1"/>
  <c r="H33" i="1"/>
  <c r="H37" i="1"/>
  <c r="H36" i="1"/>
  <c r="H34" i="1"/>
  <c r="H29" i="1"/>
  <c r="H30" i="1"/>
  <c r="H38" i="1"/>
  <c r="H35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<sst xmlns="http://schemas.openxmlformats.org/spreadsheetml/2006/main" count="43" uniqueCount="34">
  <si>
    <t>Slope</t>
  </si>
  <si>
    <t>Input (%)</t>
  </si>
  <si>
    <t>Distance(in)</t>
  </si>
  <si>
    <t>Velocity (m/s)</t>
  </si>
  <si>
    <t>clicks</t>
  </si>
  <si>
    <t>secs</t>
  </si>
  <si>
    <t>speed</t>
  </si>
  <si>
    <t>clicks projected</t>
  </si>
  <si>
    <t>actual (m)</t>
  </si>
  <si>
    <t>actual (in)</t>
  </si>
  <si>
    <t>projected (m)</t>
  </si>
  <si>
    <t>clicks/m</t>
  </si>
  <si>
    <t>Wheel Geometry</t>
  </si>
  <si>
    <t>32 clicks per revolution</t>
  </si>
  <si>
    <t>Circ (m)</t>
  </si>
  <si>
    <t>Circ (in)</t>
  </si>
  <si>
    <t>Direction</t>
  </si>
  <si>
    <r>
      <t>X</t>
    </r>
    <r>
      <rPr>
        <vertAlign val="subscript"/>
        <sz val="11"/>
        <color theme="1"/>
        <rFont val="Calibri"/>
        <family val="2"/>
        <scheme val="minor"/>
      </rPr>
      <t>error</t>
    </r>
  </si>
  <si>
    <r>
      <t>Y</t>
    </r>
    <r>
      <rPr>
        <vertAlign val="subscript"/>
        <sz val="11"/>
        <color theme="1"/>
        <rFont val="Calibri"/>
        <family val="2"/>
        <scheme val="minor"/>
      </rPr>
      <t>error</t>
    </r>
  </si>
  <si>
    <r>
      <t>Y</t>
    </r>
    <r>
      <rPr>
        <vertAlign val="subscript"/>
        <sz val="11"/>
        <color theme="1"/>
        <rFont val="Calibri"/>
        <family val="2"/>
        <scheme val="minor"/>
      </rPr>
      <t>CW</t>
    </r>
  </si>
  <si>
    <r>
      <t>X</t>
    </r>
    <r>
      <rPr>
        <vertAlign val="subscript"/>
        <sz val="11"/>
        <color theme="1"/>
        <rFont val="Calibri"/>
        <family val="2"/>
        <scheme val="minor"/>
      </rPr>
      <t>CW</t>
    </r>
  </si>
  <si>
    <t>a</t>
  </si>
  <si>
    <t>b</t>
  </si>
  <si>
    <t>CW</t>
  </si>
  <si>
    <t>CCW</t>
  </si>
  <si>
    <r>
      <t>X</t>
    </r>
    <r>
      <rPr>
        <vertAlign val="subscript"/>
        <sz val="11"/>
        <color theme="1"/>
        <rFont val="Calibri"/>
        <family val="2"/>
        <scheme val="minor"/>
      </rPr>
      <t>CCW</t>
    </r>
  </si>
  <si>
    <r>
      <t>Y</t>
    </r>
    <r>
      <rPr>
        <vertAlign val="subscript"/>
        <sz val="11"/>
        <color theme="1"/>
        <rFont val="Calibri"/>
        <family val="2"/>
        <scheme val="minor"/>
      </rPr>
      <t>CCW</t>
    </r>
  </si>
  <si>
    <t>Constants</t>
  </si>
  <si>
    <t>r</t>
  </si>
  <si>
    <t>Tread Correction Factor</t>
  </si>
  <si>
    <t>Steering Calibration</t>
  </si>
  <si>
    <t>Steering Angle</t>
  </si>
  <si>
    <t>Distance Traveled</t>
  </si>
  <si>
    <t>Distance from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</si>
</sst>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PWM Velocity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93766404199474"/>
                  <c:y val="1.1967410323709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Geometry!$A$7:$A$18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  <c:pt idx="11">
                  <c:v>-0.6</c:v>
                </c:pt>
              </c:numCache>
            </c:numRef>
          </c:xVal>
          <c:yVal>
            <c:numRef>
              <c:f>Geometry!$C$7:$C$18</c:f>
              <c:numCache>
                <c:formatCode>0.00</c:formatCode>
                <c:ptCount val="12"/>
                <c:pt idx="0">
                  <c:v>0.70675500000000002</c:v>
                </c:pt>
                <c:pt idx="1">
                  <c:v>0.56419749999999991</c:v>
                </c:pt>
                <c:pt idx="2">
                  <c:v>0.41433749999999997</c:v>
                </c:pt>
                <c:pt idx="3">
                  <c:v>0.26701750000000002</c:v>
                </c:pt>
                <c:pt idx="4">
                  <c:v>0.1222375</c:v>
                </c:pt>
                <c:pt idx="5">
                  <c:v>0</c:v>
                </c:pt>
                <c:pt idx="6">
                  <c:v>-0.10001249999999999</c:v>
                </c:pt>
                <c:pt idx="7">
                  <c:v>-0.2492375</c:v>
                </c:pt>
                <c:pt idx="8">
                  <c:v>-0.39465249999999996</c:v>
                </c:pt>
                <c:pt idx="9">
                  <c:v>-0.54038499999999989</c:v>
                </c:pt>
                <c:pt idx="10">
                  <c:v>-0.68357749999999995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21136"/>
        <c:axId val="-124327664"/>
      </c:scatterChart>
      <c:valAx>
        <c:axId val="-12432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27664"/>
        <c:crosses val="autoZero"/>
        <c:crossBetween val="midCat"/>
      </c:valAx>
      <c:valAx>
        <c:axId val="-124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Systematic!$A$2</c:f>
              <c:strCache>
                <c:ptCount val="1"/>
                <c:pt idx="0">
                  <c:v>CW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Systematic!$B$2:$B$6</c:f>
              <c:numCache>
                <c:formatCode>General</c:formatCode>
                <c:ptCount val="5"/>
                <c:pt idx="0">
                  <c:v>0.36</c:v>
                </c:pt>
                <c:pt idx="1">
                  <c:v>0.24</c:v>
                </c:pt>
                <c:pt idx="2">
                  <c:v>0.4</c:v>
                </c:pt>
                <c:pt idx="3">
                  <c:v>0.44</c:v>
                </c:pt>
                <c:pt idx="4">
                  <c:v>0.4</c:v>
                </c:pt>
              </c:numCache>
            </c:numRef>
          </c:xVal>
          <c:yVal>
            <c:numRef>
              <c:f>Systematic!$C$2:$C$6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Systematic!$A$7</c:f>
              <c:strCache>
                <c:ptCount val="1"/>
                <c:pt idx="0">
                  <c:v>CCW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Systematic!$B$7:$B$11</c:f>
              <c:numCache>
                <c:formatCode>General</c:formatCode>
                <c:ptCount val="5"/>
                <c:pt idx="0">
                  <c:v>-0.3</c:v>
                </c:pt>
                <c:pt idx="1">
                  <c:v>-0.31</c:v>
                </c:pt>
                <c:pt idx="2">
                  <c:v>-0.28000000000000003</c:v>
                </c:pt>
                <c:pt idx="3">
                  <c:v>-0.3</c:v>
                </c:pt>
                <c:pt idx="4">
                  <c:v>-0.35</c:v>
                </c:pt>
              </c:numCache>
            </c:numRef>
          </c:xVal>
          <c:yVal>
            <c:numRef>
              <c:f>Systematic!$C$7:$C$11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981136"/>
        <c:axId val="-109981680"/>
      </c:scatterChart>
      <c:valAx>
        <c:axId val="-1099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-25000"/>
                  <a:t>Xerror</a:t>
                </a:r>
              </a:p>
            </c:rich>
          </c:tx>
          <c:layout>
            <c:manualLayout>
              <c:xMode val="edge"/>
              <c:yMode val="edge"/>
              <c:x val="0.40920844269466317"/>
              <c:y val="0.8412266695829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81680"/>
        <c:crosses val="autoZero"/>
        <c:crossBetween val="midCat"/>
      </c:valAx>
      <c:valAx>
        <c:axId val="-109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-25000">
                    <a:effectLst/>
                  </a:rPr>
                  <a:t>Yerror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3779319772528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90487</xdr:rowOff>
    </xdr:from>
    <xdr:to>
      <xdr:col>12</xdr:col>
      <xdr:colOff>495300</xdr:colOff>
      <xdr:row>17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138112</xdr:rowOff>
    </xdr:from>
    <xdr:to>
      <xdr:col>11</xdr:col>
      <xdr:colOff>0</xdr:colOff>
      <xdr:row>23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32" workbookViewId="0">
      <selection activeCell="A44" sqref="A44"/>
    </sheetView>
  </sheetViews>
  <sheetFormatPr defaultRowHeight="15" x14ac:dyDescent="0.25"/>
  <cols>
    <col min="1" max="1" width="12.28515625" bestFit="1" customWidth="1"/>
    <col min="2" max="2" width="11.5703125" customWidth="1"/>
    <col min="3" max="3" width="13.7109375" bestFit="1" customWidth="1"/>
    <col min="6" max="6" width="12.5703125" customWidth="1"/>
  </cols>
  <sheetData>
    <row r="1" spans="1:5" x14ac:dyDescent="0.25">
      <c r="A1" t="s">
        <v>1</v>
      </c>
      <c r="B1" t="s">
        <v>2</v>
      </c>
      <c r="C1" t="s">
        <v>3</v>
      </c>
      <c r="E1" t="s">
        <v>0</v>
      </c>
    </row>
    <row r="2" spans="1:5" x14ac:dyDescent="0.25">
      <c r="A2">
        <v>1</v>
      </c>
      <c r="B2" s="1"/>
      <c r="C2" s="1"/>
    </row>
    <row r="3" spans="1:5" x14ac:dyDescent="0.25">
      <c r="A3">
        <v>0.9</v>
      </c>
      <c r="B3" s="1"/>
      <c r="C3" s="1"/>
    </row>
    <row r="4" spans="1:5" x14ac:dyDescent="0.25">
      <c r="A4">
        <v>0.8</v>
      </c>
      <c r="B4" s="1"/>
      <c r="C4" s="1"/>
    </row>
    <row r="5" spans="1:5" x14ac:dyDescent="0.25">
      <c r="A5">
        <v>0.7</v>
      </c>
      <c r="B5" s="1"/>
      <c r="C5" s="1"/>
    </row>
    <row r="6" spans="1:5" x14ac:dyDescent="0.25">
      <c r="A6">
        <v>0.6</v>
      </c>
      <c r="B6" s="1"/>
      <c r="C6" s="1"/>
    </row>
    <row r="7" spans="1:5" x14ac:dyDescent="0.25">
      <c r="A7">
        <v>0.5</v>
      </c>
      <c r="B7" s="1">
        <v>278.25</v>
      </c>
      <c r="C7" s="1">
        <f>(B7*0.0254)/10</f>
        <v>0.70675500000000002</v>
      </c>
      <c r="E7">
        <f t="shared" ref="E7:E16" si="0">(C7-C8)/(A7-A8)</f>
        <v>1.4255750000000014</v>
      </c>
    </row>
    <row r="8" spans="1:5" x14ac:dyDescent="0.25">
      <c r="A8">
        <v>0.4</v>
      </c>
      <c r="B8" s="1">
        <v>222.125</v>
      </c>
      <c r="C8" s="1">
        <f t="shared" ref="C8:C17" si="1">(B8*0.0254)/10</f>
        <v>0.56419749999999991</v>
      </c>
      <c r="E8">
        <f t="shared" si="0"/>
        <v>1.4985999999999988</v>
      </c>
    </row>
    <row r="9" spans="1:5" x14ac:dyDescent="0.25">
      <c r="A9">
        <v>0.3</v>
      </c>
      <c r="B9" s="1">
        <v>163.125</v>
      </c>
      <c r="C9" s="1">
        <f t="shared" si="1"/>
        <v>0.41433749999999997</v>
      </c>
      <c r="E9">
        <f t="shared" si="0"/>
        <v>1.4731999999999998</v>
      </c>
    </row>
    <row r="10" spans="1:5" x14ac:dyDescent="0.25">
      <c r="A10">
        <v>0.2</v>
      </c>
      <c r="B10" s="1">
        <v>105.125</v>
      </c>
      <c r="C10" s="1">
        <f t="shared" si="1"/>
        <v>0.26701750000000002</v>
      </c>
      <c r="E10">
        <f t="shared" si="0"/>
        <v>1.4478000000000002</v>
      </c>
    </row>
    <row r="11" spans="1:5" x14ac:dyDescent="0.25">
      <c r="A11">
        <v>0.1</v>
      </c>
      <c r="B11" s="1">
        <v>48.125</v>
      </c>
      <c r="C11" s="1">
        <f t="shared" si="1"/>
        <v>0.1222375</v>
      </c>
      <c r="E11">
        <f t="shared" si="0"/>
        <v>1.222375</v>
      </c>
    </row>
    <row r="12" spans="1:5" x14ac:dyDescent="0.25">
      <c r="A12">
        <v>0</v>
      </c>
      <c r="B12" s="1">
        <v>0</v>
      </c>
      <c r="C12" s="1">
        <f t="shared" si="1"/>
        <v>0</v>
      </c>
      <c r="E12">
        <f t="shared" si="0"/>
        <v>1.0001249999999999</v>
      </c>
    </row>
    <row r="13" spans="1:5" x14ac:dyDescent="0.25">
      <c r="A13">
        <v>-0.1</v>
      </c>
      <c r="B13" s="1">
        <f>(B11-8.75)*-1</f>
        <v>-39.375</v>
      </c>
      <c r="C13" s="1">
        <f t="shared" si="1"/>
        <v>-0.10001249999999999</v>
      </c>
      <c r="E13">
        <f t="shared" si="0"/>
        <v>1.4922499999999999</v>
      </c>
    </row>
    <row r="14" spans="1:5" x14ac:dyDescent="0.25">
      <c r="A14">
        <v>-0.2</v>
      </c>
      <c r="B14" s="1">
        <f>(B10-7)*-1</f>
        <v>-98.125</v>
      </c>
      <c r="C14" s="1">
        <f t="shared" si="1"/>
        <v>-0.2492375</v>
      </c>
      <c r="E14">
        <f t="shared" si="0"/>
        <v>1.4541499999999998</v>
      </c>
    </row>
    <row r="15" spans="1:5" x14ac:dyDescent="0.25">
      <c r="A15">
        <v>-0.3</v>
      </c>
      <c r="B15" s="1">
        <f>(B9-7.75)*-1</f>
        <v>-155.375</v>
      </c>
      <c r="C15" s="1">
        <f t="shared" si="1"/>
        <v>-0.39465249999999996</v>
      </c>
      <c r="E15">
        <f t="shared" si="0"/>
        <v>1.4573249999999989</v>
      </c>
    </row>
    <row r="16" spans="1:5" x14ac:dyDescent="0.25">
      <c r="A16">
        <v>-0.4</v>
      </c>
      <c r="B16" s="1">
        <f>(B8-9.375)*-1</f>
        <v>-212.75</v>
      </c>
      <c r="C16" s="1">
        <f t="shared" si="1"/>
        <v>-0.54038499999999989</v>
      </c>
      <c r="E16">
        <f t="shared" si="0"/>
        <v>1.4319250000000008</v>
      </c>
    </row>
    <row r="17" spans="1:8" x14ac:dyDescent="0.25">
      <c r="A17">
        <v>-0.5</v>
      </c>
      <c r="B17" s="1">
        <f>(B7-9.125)*-1</f>
        <v>-269.125</v>
      </c>
      <c r="C17" s="1">
        <f t="shared" si="1"/>
        <v>-0.68357749999999995</v>
      </c>
    </row>
    <row r="18" spans="1:8" x14ac:dyDescent="0.25">
      <c r="A18">
        <v>-0.6</v>
      </c>
      <c r="B18" s="1"/>
      <c r="C18" s="1"/>
    </row>
    <row r="19" spans="1:8" x14ac:dyDescent="0.25">
      <c r="A19">
        <v>-0.7</v>
      </c>
      <c r="B19" s="1"/>
      <c r="C19" s="1"/>
    </row>
    <row r="20" spans="1:8" x14ac:dyDescent="0.25">
      <c r="A20">
        <v>-0.8</v>
      </c>
      <c r="B20" s="1"/>
      <c r="C20" s="1"/>
    </row>
    <row r="21" spans="1:8" x14ac:dyDescent="0.25">
      <c r="A21">
        <v>-0.9</v>
      </c>
      <c r="B21" s="1"/>
      <c r="C21" s="1"/>
    </row>
    <row r="22" spans="1:8" x14ac:dyDescent="0.25">
      <c r="A22">
        <v>-1</v>
      </c>
      <c r="B22" s="1"/>
      <c r="C22" s="1"/>
    </row>
    <row r="24" spans="1:8" x14ac:dyDescent="0.25">
      <c r="E24" t="s">
        <v>15</v>
      </c>
      <c r="F24" t="s">
        <v>14</v>
      </c>
      <c r="G24" t="s">
        <v>11</v>
      </c>
    </row>
    <row r="25" spans="1:8" x14ac:dyDescent="0.25">
      <c r="A25" t="s">
        <v>12</v>
      </c>
      <c r="C25" t="s">
        <v>13</v>
      </c>
      <c r="E25">
        <v>25</v>
      </c>
      <c r="F25">
        <f>(E25/39.3700787)</f>
        <v>0.63500000064770001</v>
      </c>
      <c r="G25">
        <f>32/F25</f>
        <v>50.393700736</v>
      </c>
    </row>
    <row r="26" spans="1:8" x14ac:dyDescent="0.25">
      <c r="E26">
        <f>PI()*7.5</f>
        <v>23.561944901923447</v>
      </c>
      <c r="F26">
        <f>(E26/39.3700787)</f>
        <v>0.59847340111929836</v>
      </c>
      <c r="G26">
        <f>32/F26</f>
        <v>53.469377152187235</v>
      </c>
    </row>
    <row r="28" spans="1:8" x14ac:dyDescent="0.25">
      <c r="A28" t="s">
        <v>6</v>
      </c>
      <c r="B28" t="s">
        <v>5</v>
      </c>
      <c r="C28" t="s">
        <v>10</v>
      </c>
      <c r="D28" t="s">
        <v>9</v>
      </c>
      <c r="E28" t="s">
        <v>8</v>
      </c>
      <c r="F28" t="s">
        <v>4</v>
      </c>
      <c r="G28" t="s">
        <v>11</v>
      </c>
      <c r="H28" t="s">
        <v>7</v>
      </c>
    </row>
    <row r="29" spans="1:8" x14ac:dyDescent="0.25">
      <c r="A29">
        <v>0.3</v>
      </c>
      <c r="B29">
        <v>5</v>
      </c>
      <c r="C29">
        <f>A29*1.3683*B29</f>
        <v>2.0524500000000003</v>
      </c>
      <c r="D29">
        <v>80</v>
      </c>
      <c r="E29">
        <f>D29/39.3700787</f>
        <v>2.0320000020726399</v>
      </c>
      <c r="F29">
        <v>57</v>
      </c>
      <c r="G29">
        <f>F29/E29</f>
        <v>28.051181073750001</v>
      </c>
      <c r="H29">
        <f>C29*G39</f>
        <v>76.53611578607125</v>
      </c>
    </row>
    <row r="30" spans="1:8" x14ac:dyDescent="0.25">
      <c r="A30">
        <v>0.3</v>
      </c>
      <c r="B30">
        <v>5</v>
      </c>
      <c r="C30">
        <f t="shared" ref="C30:C38" si="2">A30*1.3683*B30</f>
        <v>2.0524500000000003</v>
      </c>
      <c r="D30">
        <v>80.75</v>
      </c>
      <c r="E30">
        <f t="shared" ref="E30:E38" si="3">D30/39.3700787</f>
        <v>2.051050002092071</v>
      </c>
      <c r="F30">
        <v>65</v>
      </c>
      <c r="G30">
        <f t="shared" ref="G30:G38" si="4">F30/E30</f>
        <v>31.691085021671828</v>
      </c>
      <c r="H30">
        <f>C30*G39</f>
        <v>76.53611578607125</v>
      </c>
    </row>
    <row r="31" spans="1:8" x14ac:dyDescent="0.25">
      <c r="A31">
        <v>0.3</v>
      </c>
      <c r="B31">
        <v>5</v>
      </c>
      <c r="C31">
        <f t="shared" si="2"/>
        <v>2.0524500000000003</v>
      </c>
      <c r="D31">
        <v>82</v>
      </c>
      <c r="E31">
        <f t="shared" si="3"/>
        <v>2.0828000021244559</v>
      </c>
      <c r="F31">
        <v>90</v>
      </c>
      <c r="G31">
        <f t="shared" si="4"/>
        <v>43.211061987804882</v>
      </c>
      <c r="H31">
        <f>C31*G39</f>
        <v>76.53611578607125</v>
      </c>
    </row>
    <row r="32" spans="1:8" x14ac:dyDescent="0.25">
      <c r="A32">
        <v>0.3</v>
      </c>
      <c r="B32">
        <v>5</v>
      </c>
      <c r="C32">
        <f t="shared" si="2"/>
        <v>2.0524500000000003</v>
      </c>
      <c r="D32">
        <v>81</v>
      </c>
      <c r="E32">
        <f t="shared" si="3"/>
        <v>2.0574000020985479</v>
      </c>
      <c r="F32">
        <v>82</v>
      </c>
      <c r="G32">
        <f t="shared" si="4"/>
        <v>39.856129054320988</v>
      </c>
      <c r="H32">
        <f>C32*G39</f>
        <v>76.53611578607125</v>
      </c>
    </row>
    <row r="33" spans="1:8" x14ac:dyDescent="0.25">
      <c r="A33">
        <v>0.3</v>
      </c>
      <c r="B33">
        <v>5</v>
      </c>
      <c r="C33">
        <f t="shared" si="2"/>
        <v>2.0524500000000003</v>
      </c>
      <c r="D33">
        <v>81.5</v>
      </c>
      <c r="E33">
        <f t="shared" si="3"/>
        <v>2.0701000021115021</v>
      </c>
      <c r="F33">
        <v>85</v>
      </c>
      <c r="G33">
        <f t="shared" si="4"/>
        <v>41.060818276073618</v>
      </c>
      <c r="H33">
        <f>C33*G39</f>
        <v>76.53611578607125</v>
      </c>
    </row>
    <row r="34" spans="1:8" x14ac:dyDescent="0.25">
      <c r="A34">
        <v>0.5</v>
      </c>
      <c r="B34">
        <v>5</v>
      </c>
      <c r="C34">
        <f t="shared" si="2"/>
        <v>3.42075</v>
      </c>
      <c r="D34">
        <v>137</v>
      </c>
      <c r="E34">
        <f t="shared" si="3"/>
        <v>3.4798000035493959</v>
      </c>
      <c r="F34">
        <v>129</v>
      </c>
      <c r="G34">
        <f t="shared" si="4"/>
        <v>37.071096002189783</v>
      </c>
      <c r="H34">
        <f>C34*G39</f>
        <v>127.5601929767854</v>
      </c>
    </row>
    <row r="35" spans="1:8" x14ac:dyDescent="0.25">
      <c r="A35">
        <v>0.5</v>
      </c>
      <c r="B35">
        <v>5</v>
      </c>
      <c r="C35">
        <f t="shared" si="2"/>
        <v>3.42075</v>
      </c>
      <c r="D35">
        <v>147</v>
      </c>
      <c r="E35">
        <f t="shared" si="3"/>
        <v>3.7338000038084758</v>
      </c>
      <c r="F35">
        <v>139</v>
      </c>
      <c r="G35">
        <f t="shared" si="4"/>
        <v>37.227489382993198</v>
      </c>
      <c r="H35">
        <f>C35*G39</f>
        <v>127.5601929767854</v>
      </c>
    </row>
    <row r="36" spans="1:8" x14ac:dyDescent="0.25">
      <c r="A36">
        <v>0.5</v>
      </c>
      <c r="B36">
        <v>5</v>
      </c>
      <c r="C36">
        <f t="shared" si="2"/>
        <v>3.42075</v>
      </c>
      <c r="D36">
        <v>133.75</v>
      </c>
      <c r="E36">
        <f t="shared" si="3"/>
        <v>3.3972500034651949</v>
      </c>
      <c r="F36">
        <v>117</v>
      </c>
      <c r="G36">
        <f t="shared" si="4"/>
        <v>34.43962024598131</v>
      </c>
      <c r="H36">
        <f>C36*G39</f>
        <v>127.5601929767854</v>
      </c>
    </row>
    <row r="37" spans="1:8" x14ac:dyDescent="0.25">
      <c r="A37">
        <v>0.5</v>
      </c>
      <c r="B37">
        <v>5</v>
      </c>
      <c r="C37">
        <f t="shared" si="2"/>
        <v>3.42075</v>
      </c>
      <c r="D37">
        <v>135.5</v>
      </c>
      <c r="E37">
        <f t="shared" si="3"/>
        <v>3.4417000035105341</v>
      </c>
      <c r="F37">
        <v>128</v>
      </c>
      <c r="G37">
        <f t="shared" si="4"/>
        <v>37.190923052398524</v>
      </c>
      <c r="H37">
        <f>C37*G39</f>
        <v>127.5601929767854</v>
      </c>
    </row>
    <row r="38" spans="1:8" x14ac:dyDescent="0.25">
      <c r="A38">
        <v>0.8</v>
      </c>
      <c r="B38">
        <v>5</v>
      </c>
      <c r="C38">
        <f t="shared" si="2"/>
        <v>5.4732000000000003</v>
      </c>
      <c r="D38">
        <v>211</v>
      </c>
      <c r="E38">
        <f t="shared" si="3"/>
        <v>5.359400005466588</v>
      </c>
      <c r="F38">
        <v>231</v>
      </c>
      <c r="G38">
        <f t="shared" si="4"/>
        <v>43.101839714218009</v>
      </c>
      <c r="H38">
        <f>C38*G39</f>
        <v>204.09630876285664</v>
      </c>
    </row>
    <row r="39" spans="1:8" x14ac:dyDescent="0.25">
      <c r="G39">
        <f>AVERAGE(G29:G38)</f>
        <v>37.290124381140217</v>
      </c>
    </row>
    <row r="42" spans="1:8" x14ac:dyDescent="0.25">
      <c r="A42" t="s">
        <v>30</v>
      </c>
    </row>
    <row r="43" spans="1:8" ht="30" x14ac:dyDescent="0.25">
      <c r="A43" s="3" t="s">
        <v>31</v>
      </c>
      <c r="B43" s="3" t="s">
        <v>32</v>
      </c>
      <c r="C43" s="3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" sqref="J2"/>
    </sheetView>
  </sheetViews>
  <sheetFormatPr defaultRowHeight="15" x14ac:dyDescent="0.25"/>
  <sheetData>
    <row r="1" spans="1:10" ht="18" x14ac:dyDescent="0.35">
      <c r="A1" t="s">
        <v>16</v>
      </c>
      <c r="B1" t="s">
        <v>17</v>
      </c>
      <c r="C1" t="s">
        <v>18</v>
      </c>
      <c r="E1" t="s">
        <v>20</v>
      </c>
      <c r="F1" t="s">
        <v>19</v>
      </c>
      <c r="G1" s="2" t="s">
        <v>21</v>
      </c>
      <c r="H1" s="2" t="s">
        <v>22</v>
      </c>
      <c r="J1" t="s">
        <v>29</v>
      </c>
    </row>
    <row r="2" spans="1:10" x14ac:dyDescent="0.25">
      <c r="A2" t="s">
        <v>23</v>
      </c>
      <c r="B2">
        <v>0.36</v>
      </c>
      <c r="C2">
        <v>0.3</v>
      </c>
      <c r="E2">
        <f>SUMIF(A2:A11, "=CW", B2:B11)</f>
        <v>1.8399999999999999</v>
      </c>
      <c r="F2">
        <f>SUMIF(A2:A11, "=CW", C2:C11)</f>
        <v>1.5</v>
      </c>
      <c r="G2">
        <f>-1*PI()*(E2-E5)/(E2-E5+4*PI()*B15)</f>
        <v>-2.2901475850786213</v>
      </c>
      <c r="H2">
        <f>(-1+SQRT(1+POWER((E2+E5)/(2*(2+PI())*B15), 2))/((E2+E5)/(4*(2+PI())*B15)))</f>
        <v>6.1412386121983769</v>
      </c>
      <c r="J2">
        <f>PI()/(PI()-AVERAGE(G2:G3))</f>
        <v>1.0651155912047316</v>
      </c>
    </row>
    <row r="3" spans="1:10" x14ac:dyDescent="0.25">
      <c r="A3" t="s">
        <v>23</v>
      </c>
      <c r="B3">
        <v>0.24</v>
      </c>
      <c r="C3">
        <v>0.3</v>
      </c>
      <c r="G3">
        <f>(F2+F5)/(2*(2+PI())*B15)</f>
        <v>2.6742686413323558</v>
      </c>
      <c r="H3">
        <f>(F2-F5)/(2*(2+PI())*B15)</f>
        <v>0.24311533103021415</v>
      </c>
    </row>
    <row r="4" spans="1:10" ht="18" x14ac:dyDescent="0.35">
      <c r="A4" t="s">
        <v>23</v>
      </c>
      <c r="B4">
        <v>0.4</v>
      </c>
      <c r="C4">
        <v>0.3</v>
      </c>
      <c r="E4" t="s">
        <v>25</v>
      </c>
      <c r="F4" t="s">
        <v>26</v>
      </c>
    </row>
    <row r="5" spans="1:10" x14ac:dyDescent="0.25">
      <c r="A5" t="s">
        <v>23</v>
      </c>
      <c r="B5">
        <v>0.44</v>
      </c>
      <c r="C5">
        <v>0.3</v>
      </c>
      <c r="E5">
        <f>SUMIF(A2:A11, "=CCW", B2:B11)</f>
        <v>-1.54</v>
      </c>
      <c r="F5">
        <f>SUMIF(A2:A11, "=CCW", C2:C11)</f>
        <v>1.25</v>
      </c>
    </row>
    <row r="6" spans="1:10" x14ac:dyDescent="0.25">
      <c r="A6" t="s">
        <v>23</v>
      </c>
      <c r="B6">
        <v>0.4</v>
      </c>
      <c r="C6">
        <v>0.3</v>
      </c>
    </row>
    <row r="7" spans="1:10" x14ac:dyDescent="0.25">
      <c r="A7" t="s">
        <v>24</v>
      </c>
      <c r="B7">
        <v>-0.3</v>
      </c>
      <c r="C7">
        <v>0.25</v>
      </c>
    </row>
    <row r="8" spans="1:10" x14ac:dyDescent="0.25">
      <c r="A8" t="s">
        <v>24</v>
      </c>
      <c r="B8">
        <v>-0.31</v>
      </c>
      <c r="C8">
        <v>0.25</v>
      </c>
    </row>
    <row r="9" spans="1:10" x14ac:dyDescent="0.25">
      <c r="A9" t="s">
        <v>24</v>
      </c>
      <c r="B9">
        <v>-0.28000000000000003</v>
      </c>
      <c r="C9">
        <v>0.25</v>
      </c>
    </row>
    <row r="10" spans="1:10" x14ac:dyDescent="0.25">
      <c r="A10" t="s">
        <v>24</v>
      </c>
      <c r="B10">
        <v>-0.3</v>
      </c>
      <c r="C10">
        <v>0.25</v>
      </c>
    </row>
    <row r="11" spans="1:10" x14ac:dyDescent="0.25">
      <c r="A11" t="s">
        <v>24</v>
      </c>
      <c r="B11">
        <v>-0.35</v>
      </c>
      <c r="C11">
        <v>0.25</v>
      </c>
    </row>
    <row r="14" spans="1:10" x14ac:dyDescent="0.25">
      <c r="A14" t="s">
        <v>27</v>
      </c>
    </row>
    <row r="15" spans="1:10" x14ac:dyDescent="0.25">
      <c r="A15" s="2" t="s">
        <v>28</v>
      </c>
      <c r="B15"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Geometry</vt:lpstr>
      <vt:lpstr>Systematic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Schaefer</dc:creator>
  <cp:lastModifiedBy>Stuart Schaefer</cp:lastModifiedBy>
  <dcterms:created xsi:type="dcterms:W3CDTF">2016-10-10T02:13:48Z</dcterms:created>
  <dcterms:modified xsi:type="dcterms:W3CDTF">2016-10-27T21:32:11Z</dcterms:modified>
</cp:coreProperties>
</file>