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910"/>
  </bookViews>
  <sheets>
    <sheet name="版本历史" sheetId="1" r:id="rId1"/>
    <sheet name="MER2-041-436U3X" sheetId="20" r:id="rId2"/>
    <sheet name="MER2-160-227U3X" sheetId="21" r:id="rId3"/>
    <sheet name="ME2L-161-61U3X" sheetId="26" r:id="rId4"/>
    <sheet name="MER2-230-168U3X" sheetId="23" r:id="rId5"/>
    <sheet name="MER2-231-41U3X" sheetId="11" r:id="rId6"/>
    <sheet name="MER2-301-125U3X" sheetId="8" r:id="rId7"/>
    <sheet name="MER2-302-56U3X" sheetId="15" r:id="rId8"/>
    <sheet name="MER2-502-79U3X" sheetId="2" r:id="rId9"/>
    <sheet name="MER2-503-36U3X" sheetId="6" r:id="rId10"/>
    <sheet name="MER2-630-60U3X(W90)" sheetId="13" r:id="rId11"/>
    <sheet name="MER2-1220-32U3X(W90)" sheetId="9" r:id="rId12"/>
    <sheet name="MER2-2000-19U3X(W90)" sheetId="4" r:id="rId13"/>
    <sheet name="ME2P-1230-23U3X" sheetId="17" r:id="rId14"/>
    <sheet name="ME2P-2621-15U3X" sheetId="25" r:id="rId15"/>
    <sheet name="Dummy_for_Comparison1" sheetId="27" r:id="rId16"/>
    <sheet name="Dummy_for_Comparison2" sheetId="28" r:id="rId17"/>
    <sheet name="Dummy_for_Comparison3" sheetId="29" r:id="rId18"/>
    <sheet name="Dummy_for_Comparison4" sheetId="30" r:id="rId19"/>
    <sheet name="Dummy_for_Comparison5" sheetId="31" r:id="rId20"/>
    <sheet name="Dummy_for_Comparison6" sheetId="32" r:id="rId21"/>
    <sheet name="Dummy_for_Comparison7" sheetId="33" r:id="rId22"/>
    <sheet name="Dummy_for_Comparison8" sheetId="34" r:id="rId23"/>
    <sheet name="Dummy_for_Comparison9" sheetId="35" r:id="rId24"/>
    <sheet name="Dummy_for_Comparison10" sheetId="36" r:id="rId25"/>
    <sheet name="Dummy_for_Comparison11" sheetId="37" r:id="rId26"/>
    <sheet name="Dummy_for_Comparison12" sheetId="38" r:id="rId27"/>
    <sheet name="Dummy_for_Comparison13" sheetId="39" r:id="rId28"/>
    <sheet name="Dummy_for_Comparison14" sheetId="40" r:id="rId29"/>
    <sheet name="Dummy_for_Comparison15" sheetId="41" r:id="rId30"/>
  </sheets>
  <calcPr calcId="152511"/>
</workbook>
</file>

<file path=xl/calcChain.xml><?xml version="1.0" encoding="utf-8"?>
<calcChain xmlns="http://schemas.openxmlformats.org/spreadsheetml/2006/main">
  <c r="C44" i="41" l="1"/>
  <c r="B39" i="41"/>
  <c r="B40" i="41" s="1"/>
  <c r="B36" i="41"/>
  <c r="B35" i="41"/>
  <c r="B21" i="41"/>
  <c r="B15" i="41"/>
  <c r="B17" i="41" s="1"/>
  <c r="H14" i="41"/>
  <c r="G14" i="41"/>
  <c r="I12" i="41"/>
  <c r="H12" i="41"/>
  <c r="J12" i="41" s="1"/>
  <c r="G12" i="41"/>
  <c r="I11" i="41"/>
  <c r="H11" i="41"/>
  <c r="J11" i="41" s="1"/>
  <c r="G11" i="41"/>
  <c r="I10" i="41"/>
  <c r="H10" i="41"/>
  <c r="J10" i="41" s="1"/>
  <c r="G10" i="41"/>
  <c r="H7" i="41"/>
  <c r="G7" i="41"/>
  <c r="C7" i="41"/>
  <c r="C6" i="41"/>
  <c r="I5" i="41"/>
  <c r="H5" i="41"/>
  <c r="J5" i="41" s="1"/>
  <c r="G5" i="41"/>
  <c r="C5" i="41"/>
  <c r="J4" i="41"/>
  <c r="I4" i="41"/>
  <c r="H4" i="41"/>
  <c r="G4" i="41"/>
  <c r="C4" i="41"/>
  <c r="J3" i="41"/>
  <c r="H3" i="41"/>
  <c r="G3" i="41"/>
  <c r="I3" i="41" s="1"/>
  <c r="C3" i="41"/>
  <c r="C2" i="41"/>
  <c r="C19" i="40"/>
  <c r="B16" i="40"/>
  <c r="B15" i="40"/>
  <c r="H14" i="40"/>
  <c r="G14" i="40"/>
  <c r="B14" i="40"/>
  <c r="B19" i="40" s="1"/>
  <c r="B21" i="40" s="1"/>
  <c r="B13" i="40"/>
  <c r="H12" i="40"/>
  <c r="G12" i="40"/>
  <c r="B12" i="40"/>
  <c r="H11" i="40"/>
  <c r="G11" i="40"/>
  <c r="H10" i="40"/>
  <c r="G10" i="40"/>
  <c r="H7" i="40"/>
  <c r="G7" i="40"/>
  <c r="C7" i="40"/>
  <c r="C6" i="40"/>
  <c r="G5" i="40"/>
  <c r="C5" i="40"/>
  <c r="G4" i="40"/>
  <c r="C4" i="40"/>
  <c r="H3" i="40"/>
  <c r="G3" i="40"/>
  <c r="C3" i="40"/>
  <c r="C2" i="40"/>
  <c r="H19" i="39"/>
  <c r="H18" i="39"/>
  <c r="H15" i="39"/>
  <c r="H20" i="39" s="1"/>
  <c r="B13" i="39"/>
  <c r="B12" i="39"/>
  <c r="B11" i="39"/>
  <c r="H8" i="39"/>
  <c r="H3" i="39"/>
  <c r="H6" i="39" s="1"/>
  <c r="H17" i="39" s="1"/>
  <c r="H20" i="38"/>
  <c r="H19" i="38"/>
  <c r="H18" i="38"/>
  <c r="H15" i="38"/>
  <c r="B13" i="38"/>
  <c r="B12" i="38"/>
  <c r="B11" i="38"/>
  <c r="H8" i="38"/>
  <c r="H17" i="38" s="1"/>
  <c r="H19" i="37"/>
  <c r="H18" i="37"/>
  <c r="H15" i="37"/>
  <c r="H20" i="37" s="1"/>
  <c r="B13" i="37"/>
  <c r="B12" i="37"/>
  <c r="B11" i="37"/>
  <c r="H8" i="37"/>
  <c r="H3" i="37"/>
  <c r="H6" i="37" s="1"/>
  <c r="H17" i="37" s="1"/>
  <c r="B13" i="36"/>
  <c r="B12" i="36"/>
  <c r="B10" i="36"/>
  <c r="B11" i="36" s="1"/>
  <c r="B16" i="36" s="1"/>
  <c r="B18" i="36" s="1"/>
  <c r="B9" i="36"/>
  <c r="C19" i="35"/>
  <c r="B15" i="35"/>
  <c r="B16" i="35" s="1"/>
  <c r="B13" i="35"/>
  <c r="B14" i="35" s="1"/>
  <c r="C7" i="35"/>
  <c r="C6" i="35"/>
  <c r="C5" i="35"/>
  <c r="C4" i="35"/>
  <c r="C3" i="35"/>
  <c r="C2" i="35"/>
  <c r="C20" i="34"/>
  <c r="B14" i="34"/>
  <c r="B15" i="34" s="1"/>
  <c r="B12" i="34"/>
  <c r="B13" i="34" s="1"/>
  <c r="I7" i="34"/>
  <c r="H7" i="34"/>
  <c r="I5" i="34"/>
  <c r="H5" i="34"/>
  <c r="I4" i="34"/>
  <c r="H4" i="34"/>
  <c r="I3" i="34"/>
  <c r="H3" i="34"/>
  <c r="C3" i="34"/>
  <c r="C2" i="34"/>
  <c r="C20" i="33"/>
  <c r="B14" i="33"/>
  <c r="B15" i="33" s="1"/>
  <c r="B12" i="33"/>
  <c r="B13" i="33" s="1"/>
  <c r="I7" i="33"/>
  <c r="H7" i="33"/>
  <c r="I5" i="33"/>
  <c r="H5" i="33"/>
  <c r="I4" i="33"/>
  <c r="H4" i="33"/>
  <c r="I3" i="33"/>
  <c r="H3" i="33"/>
  <c r="C3" i="33"/>
  <c r="C2" i="33"/>
  <c r="B12" i="32"/>
  <c r="B13" i="32" s="1"/>
  <c r="B10" i="32"/>
  <c r="B11" i="32" s="1"/>
  <c r="B16" i="32" s="1"/>
  <c r="B18" i="32" s="1"/>
  <c r="B9" i="32"/>
  <c r="B12" i="31"/>
  <c r="B13" i="31" s="1"/>
  <c r="B10" i="31"/>
  <c r="B11" i="31" s="1"/>
  <c r="B32" i="30"/>
  <c r="B31" i="30"/>
  <c r="B9" i="30"/>
  <c r="B10" i="30" s="1"/>
  <c r="B12" i="29"/>
  <c r="B13" i="29" s="1"/>
  <c r="B10" i="29"/>
  <c r="B11" i="29" s="1"/>
  <c r="B12" i="28"/>
  <c r="B13" i="28" s="1"/>
  <c r="B10" i="28"/>
  <c r="B11" i="28" s="1"/>
  <c r="B20" i="41" l="1"/>
  <c r="B16" i="41"/>
  <c r="B33" i="41" s="1"/>
  <c r="B41" i="41"/>
  <c r="B42" i="41"/>
  <c r="H22" i="39"/>
  <c r="B15" i="39" s="1"/>
  <c r="H21" i="39"/>
  <c r="H22" i="38"/>
  <c r="B15" i="38" s="1"/>
  <c r="H21" i="38"/>
  <c r="H21" i="37"/>
  <c r="B15" i="37" s="1"/>
  <c r="B12" i="35"/>
  <c r="B19" i="35" s="1"/>
  <c r="B21" i="35" s="1"/>
  <c r="B11" i="34"/>
  <c r="B18" i="34" s="1"/>
  <c r="B20" i="34" s="1"/>
  <c r="B11" i="33"/>
  <c r="B18" i="33" s="1"/>
  <c r="B20" i="33" s="1"/>
  <c r="B9" i="31"/>
  <c r="B16" i="31" s="1"/>
  <c r="B18" i="31" s="1"/>
  <c r="B30" i="30"/>
  <c r="B33" i="30" s="1"/>
  <c r="B11" i="30" s="1"/>
  <c r="B9" i="29"/>
  <c r="B16" i="29" s="1"/>
  <c r="B18" i="29" s="1"/>
  <c r="B9" i="28"/>
  <c r="B16" i="28" s="1"/>
  <c r="B18" i="28" s="1"/>
  <c r="B16" i="17"/>
  <c r="B18" i="41" l="1"/>
  <c r="B19" i="41" s="1"/>
  <c r="B22" i="41"/>
  <c r="B28" i="41"/>
  <c r="B23" i="41"/>
  <c r="B14" i="39"/>
  <c r="B17" i="39"/>
  <c r="B14" i="38"/>
  <c r="B17" i="38"/>
  <c r="B14" i="37"/>
  <c r="B17" i="37"/>
  <c r="B12" i="30"/>
  <c r="B8" i="30"/>
  <c r="B15" i="30" s="1"/>
  <c r="B17" i="30" s="1"/>
  <c r="C2" i="17"/>
  <c r="C3" i="17"/>
  <c r="C7" i="17"/>
  <c r="C6" i="17"/>
  <c r="B25" i="41" l="1"/>
  <c r="B26" i="41"/>
  <c r="B29" i="41" s="1"/>
  <c r="B24" i="41"/>
  <c r="B27" i="41" s="1"/>
  <c r="B31" i="41" s="1"/>
  <c r="C20" i="8"/>
  <c r="B44" i="41" l="1"/>
  <c r="B46" i="41" s="1"/>
  <c r="B30" i="41"/>
  <c r="C3" i="8"/>
  <c r="B9" i="26" l="1"/>
  <c r="B10" i="26" s="1"/>
  <c r="B31" i="26"/>
  <c r="B32" i="26"/>
  <c r="B30" i="26" l="1"/>
  <c r="B33" i="26" s="1"/>
  <c r="B11" i="26" s="1"/>
  <c r="J5" i="25"/>
  <c r="J4" i="25"/>
  <c r="C44" i="25"/>
  <c r="B39" i="25"/>
  <c r="B40" i="25" s="1"/>
  <c r="B35" i="25"/>
  <c r="B36" i="25" s="1"/>
  <c r="B21" i="25"/>
  <c r="B15" i="25"/>
  <c r="B17" i="25" s="1"/>
  <c r="H14" i="25"/>
  <c r="G14" i="25"/>
  <c r="H12" i="25"/>
  <c r="J12" i="25" s="1"/>
  <c r="G12" i="25"/>
  <c r="I12" i="25" s="1"/>
  <c r="H11" i="25"/>
  <c r="J11" i="25" s="1"/>
  <c r="G11" i="25"/>
  <c r="I11" i="25" s="1"/>
  <c r="H10" i="25"/>
  <c r="J10" i="25" s="1"/>
  <c r="G10" i="25"/>
  <c r="I10" i="25" s="1"/>
  <c r="H7" i="25"/>
  <c r="G7" i="25"/>
  <c r="C7" i="25"/>
  <c r="C6" i="25"/>
  <c r="H5" i="25"/>
  <c r="G5" i="25"/>
  <c r="I5" i="25" s="1"/>
  <c r="C5" i="25"/>
  <c r="H4" i="25"/>
  <c r="G4" i="25"/>
  <c r="I4" i="25" s="1"/>
  <c r="C4" i="25"/>
  <c r="H3" i="25"/>
  <c r="J3" i="25" s="1"/>
  <c r="G3" i="25"/>
  <c r="I3" i="25" s="1"/>
  <c r="C3" i="25"/>
  <c r="C2" i="25"/>
  <c r="B12" i="23"/>
  <c r="B9" i="23" s="1"/>
  <c r="B10" i="23"/>
  <c r="B11" i="23" s="1"/>
  <c r="B12" i="21"/>
  <c r="B9" i="21" s="1"/>
  <c r="B10" i="21"/>
  <c r="B11" i="21" s="1"/>
  <c r="B12" i="20"/>
  <c r="B9" i="20" s="1"/>
  <c r="B10" i="20"/>
  <c r="B11" i="20" s="1"/>
  <c r="B16" i="25" l="1"/>
  <c r="B33" i="25" s="1"/>
  <c r="B8" i="26"/>
  <c r="B12" i="26"/>
  <c r="B13" i="20"/>
  <c r="B42" i="25"/>
  <c r="B41" i="25"/>
  <c r="B18" i="25"/>
  <c r="B28" i="25"/>
  <c r="B20" i="25"/>
  <c r="B16" i="20"/>
  <c r="B18" i="20" s="1"/>
  <c r="B16" i="21"/>
  <c r="B18" i="21" s="1"/>
  <c r="B13" i="21"/>
  <c r="B13" i="23"/>
  <c r="B16" i="23" s="1"/>
  <c r="B18" i="23" s="1"/>
  <c r="G3" i="17"/>
  <c r="H3" i="17"/>
  <c r="C4" i="17"/>
  <c r="G4" i="17"/>
  <c r="C5" i="17"/>
  <c r="G5" i="17"/>
  <c r="G7" i="17"/>
  <c r="H7" i="17"/>
  <c r="G10" i="17"/>
  <c r="H10" i="17"/>
  <c r="G11" i="17"/>
  <c r="H11" i="17"/>
  <c r="G12" i="17"/>
  <c r="H12" i="17"/>
  <c r="B13" i="17"/>
  <c r="B14" i="17"/>
  <c r="G14" i="17"/>
  <c r="H14" i="17"/>
  <c r="B15" i="17"/>
  <c r="B12" i="17" s="1"/>
  <c r="C19" i="17"/>
  <c r="C20" i="15"/>
  <c r="B14" i="15"/>
  <c r="B11" i="15" s="1"/>
  <c r="B12" i="15"/>
  <c r="B13" i="15" s="1"/>
  <c r="I7" i="15"/>
  <c r="H7" i="15"/>
  <c r="I5" i="15"/>
  <c r="H5" i="15"/>
  <c r="I4" i="15"/>
  <c r="H4" i="15"/>
  <c r="I3" i="15"/>
  <c r="H3" i="15"/>
  <c r="C3" i="15"/>
  <c r="C2" i="15"/>
  <c r="H19" i="13"/>
  <c r="H15" i="13"/>
  <c r="B12" i="13" s="1"/>
  <c r="B11" i="13"/>
  <c r="H8" i="13"/>
  <c r="H18" i="13" s="1"/>
  <c r="H3" i="13"/>
  <c r="H6" i="13" s="1"/>
  <c r="B12" i="11"/>
  <c r="B9" i="11" s="1"/>
  <c r="B10" i="11"/>
  <c r="B11" i="11" s="1"/>
  <c r="H19" i="9"/>
  <c r="H15" i="9"/>
  <c r="B12" i="9" s="1"/>
  <c r="B11" i="9"/>
  <c r="H8" i="9"/>
  <c r="H17" i="9" s="1"/>
  <c r="B14" i="8"/>
  <c r="B11" i="8" s="1"/>
  <c r="B12" i="8"/>
  <c r="B13" i="8" s="1"/>
  <c r="I7" i="8"/>
  <c r="H7" i="8"/>
  <c r="I5" i="8"/>
  <c r="H5" i="8"/>
  <c r="I4" i="8"/>
  <c r="H4" i="8"/>
  <c r="I3" i="8"/>
  <c r="H3" i="8"/>
  <c r="C2" i="8"/>
  <c r="B12" i="6"/>
  <c r="B9" i="6" s="1"/>
  <c r="B10" i="6"/>
  <c r="B11" i="6" s="1"/>
  <c r="H3" i="4"/>
  <c r="H6" i="4" s="1"/>
  <c r="H8" i="4"/>
  <c r="H18" i="4" s="1"/>
  <c r="B11" i="4"/>
  <c r="H15" i="4"/>
  <c r="H19" i="4"/>
  <c r="B23" i="25" l="1"/>
  <c r="B25" i="25" s="1"/>
  <c r="B15" i="26"/>
  <c r="B17" i="26" s="1"/>
  <c r="H17" i="13"/>
  <c r="B13" i="6"/>
  <c r="B16" i="6"/>
  <c r="B18" i="6" s="1"/>
  <c r="B22" i="25"/>
  <c r="B19" i="25"/>
  <c r="B13" i="13"/>
  <c r="B15" i="15"/>
  <c r="B18" i="15" s="1"/>
  <c r="B20" i="15" s="1"/>
  <c r="B13" i="11"/>
  <c r="B16" i="11" s="1"/>
  <c r="B18" i="11" s="1"/>
  <c r="H20" i="13"/>
  <c r="H20" i="9"/>
  <c r="B19" i="17"/>
  <c r="B21" i="17" s="1"/>
  <c r="H20" i="4"/>
  <c r="H22" i="4" s="1"/>
  <c r="B15" i="4" s="1"/>
  <c r="B13" i="9"/>
  <c r="H21" i="13"/>
  <c r="B15" i="13" s="1"/>
  <c r="B17" i="13" s="1"/>
  <c r="H17" i="4"/>
  <c r="H21" i="4" s="1"/>
  <c r="B15" i="8"/>
  <c r="B18" i="8" s="1"/>
  <c r="B20" i="8" s="1"/>
  <c r="H18" i="9"/>
  <c r="H21" i="9" s="1"/>
  <c r="B12" i="4"/>
  <c r="B13" i="4"/>
  <c r="B15" i="2"/>
  <c r="B24" i="25" l="1"/>
  <c r="B27" i="25" s="1"/>
  <c r="B26" i="25"/>
  <c r="H22" i="9"/>
  <c r="B15" i="9" s="1"/>
  <c r="B17" i="9" s="1"/>
  <c r="B14" i="13"/>
  <c r="B14" i="4"/>
  <c r="B17" i="4"/>
  <c r="B16" i="2"/>
  <c r="C3" i="2"/>
  <c r="C2" i="2"/>
  <c r="B31" i="25" l="1"/>
  <c r="B14" i="9"/>
  <c r="B29" i="25"/>
  <c r="B30" i="25" s="1"/>
  <c r="C7" i="2"/>
  <c r="C5" i="2"/>
  <c r="C6" i="2"/>
  <c r="C4" i="2"/>
  <c r="B44" i="25" l="1"/>
  <c r="B46" i="25" s="1"/>
  <c r="B12" i="2"/>
  <c r="C19" i="2"/>
  <c r="B13" i="2"/>
  <c r="B14" i="2" l="1"/>
  <c r="B19" i="2" s="1"/>
  <c r="B21" i="2" l="1"/>
</calcChain>
</file>

<file path=xl/sharedStrings.xml><?xml version="1.0" encoding="utf-8"?>
<sst xmlns="http://schemas.openxmlformats.org/spreadsheetml/2006/main" count="1003" uniqueCount="241">
  <si>
    <t>Width</t>
  </si>
  <si>
    <t>ExposureTime(us)</t>
  </si>
  <si>
    <t>PixelFormat(8/10)</t>
  </si>
  <si>
    <t>DeviceLinkThroughputLimit(Bps)</t>
  </si>
  <si>
    <t>MaxUSBControllerThroughput(Bps)</t>
  </si>
  <si>
    <t>xtrig_low</t>
  </si>
  <si>
    <t>N</t>
  </si>
  <si>
    <t>T_acq</t>
  </si>
  <si>
    <t>AcquisitionFrameRateMode</t>
  </si>
  <si>
    <t>off</t>
  </si>
  <si>
    <t>AcquisitionFrameRate</t>
  </si>
  <si>
    <t>binning系数</t>
    <phoneticPr fontId="10" type="noConversion"/>
  </si>
  <si>
    <t>最大宽度</t>
    <phoneticPr fontId="10" type="noConversion"/>
  </si>
  <si>
    <t>BinningHorizontal</t>
    <phoneticPr fontId="10" type="noConversion"/>
  </si>
  <si>
    <t>BinningVertical</t>
    <phoneticPr fontId="10" type="noConversion"/>
  </si>
  <si>
    <t>Tf</t>
    <phoneticPr fontId="10" type="noConversion"/>
  </si>
  <si>
    <t>FPS</t>
    <phoneticPr fontId="10" type="noConversion"/>
  </si>
  <si>
    <t>Height</t>
    <phoneticPr fontId="8" type="noConversion"/>
  </si>
  <si>
    <t>ImageSize</t>
    <phoneticPr fontId="8" type="noConversion"/>
  </si>
  <si>
    <t>最大宽度</t>
    <phoneticPr fontId="10" type="noConversion"/>
  </si>
  <si>
    <t>最大高度</t>
    <phoneticPr fontId="10" type="noConversion"/>
  </si>
  <si>
    <t>skipping系数</t>
    <phoneticPr fontId="10" type="noConversion"/>
  </si>
  <si>
    <t>DecimationHorizontal</t>
    <phoneticPr fontId="10" type="noConversion"/>
  </si>
  <si>
    <t xml:space="preserve"> </t>
    <phoneticPr fontId="8" type="noConversion"/>
  </si>
  <si>
    <t>Trow</t>
    <phoneticPr fontId="8" type="noConversion"/>
  </si>
  <si>
    <t>DecimationVertical</t>
    <phoneticPr fontId="10" type="noConversion"/>
  </si>
  <si>
    <t>Revision History</t>
    <phoneticPr fontId="8" type="noConversion"/>
  </si>
  <si>
    <t>Version</t>
    <phoneticPr fontId="8" type="noConversion"/>
  </si>
  <si>
    <t>Date</t>
    <phoneticPr fontId="8" type="noConversion"/>
  </si>
  <si>
    <t>Revision</t>
    <phoneticPr fontId="8" type="noConversion"/>
  </si>
  <si>
    <t>Parameter setting：</t>
    <phoneticPr fontId="10" type="noConversion"/>
  </si>
  <si>
    <t>Calculation result:</t>
    <phoneticPr fontId="10" type="noConversion"/>
  </si>
  <si>
    <t>Input parameter error，please input parameter according to message</t>
    <phoneticPr fontId="10" type="noConversion"/>
  </si>
  <si>
    <t>add mer2-502-79u3x</t>
    <phoneticPr fontId="8" type="noConversion"/>
  </si>
  <si>
    <t>Input range from 64 to 2048,and is an integer multiple of 2</t>
    <phoneticPr fontId="8" type="noConversion"/>
  </si>
  <si>
    <t>Input range from 64 to 1024,and is an integer multiple of 2</t>
    <phoneticPr fontId="8" type="noConversion"/>
  </si>
  <si>
    <t>Input range from 64 to 512,and is an integer multiple of 2</t>
    <phoneticPr fontId="8" type="noConversion"/>
  </si>
  <si>
    <t>Input range from 64 to 2448,and is an integer multiple of 8</t>
    <phoneticPr fontId="10" type="noConversion"/>
  </si>
  <si>
    <t>Input range from 64 to 1224,and is an integer multiple of 8</t>
    <phoneticPr fontId="10" type="noConversion"/>
  </si>
  <si>
    <t>Input range from 64 to 608,and is an integer multiple of 8</t>
    <phoneticPr fontId="10" type="noConversion"/>
  </si>
  <si>
    <t>Input range from 64 to 2448,and is an integer multiple of 16</t>
    <phoneticPr fontId="10" type="noConversion"/>
  </si>
  <si>
    <t>Input range from 64 to 1224,and is an integer multiple of 16</t>
    <phoneticPr fontId="8" type="noConversion"/>
  </si>
  <si>
    <t>Input range from 64 to 608,and is an integer multiple of 16</t>
    <phoneticPr fontId="10" type="noConversion"/>
  </si>
  <si>
    <t>Input range from 64 to 1024,and is an integer multiple of 2</t>
    <phoneticPr fontId="8" type="noConversion"/>
  </si>
  <si>
    <t>Input range from 64 to 512,and is an integer multiple of 2</t>
    <phoneticPr fontId="10" type="noConversion"/>
  </si>
  <si>
    <t>updata mer2-502-79u3x</t>
    <phoneticPr fontId="8" type="noConversion"/>
  </si>
  <si>
    <t>v1.00</t>
    <phoneticPr fontId="8" type="noConversion"/>
  </si>
  <si>
    <t>v1.01</t>
    <phoneticPr fontId="8" type="noConversion"/>
  </si>
  <si>
    <t>v1.02</t>
  </si>
  <si>
    <t>ns</t>
  </si>
  <si>
    <t>tFrame_Final</t>
  </si>
  <si>
    <t>tRow</t>
  </si>
  <si>
    <t>tFrame_tri</t>
  </si>
  <si>
    <t>tFrame_limit</t>
  </si>
  <si>
    <t>tFrame_Rate</t>
  </si>
  <si>
    <t>tFrame_Exp</t>
  </si>
  <si>
    <t>tFrame_ROI</t>
  </si>
  <si>
    <t>FPS</t>
  </si>
  <si>
    <t>Calculation result:</t>
  </si>
  <si>
    <t>Byte</t>
  </si>
  <si>
    <t>transfer_size</t>
  </si>
  <si>
    <t>Tf</t>
  </si>
  <si>
    <t>SHS1_MIN</t>
  </si>
  <si>
    <t>Vbmin</t>
  </si>
  <si>
    <t>Trow</t>
  </si>
  <si>
    <t>tolerance_line</t>
  </si>
  <si>
    <t>ImageSize</t>
  </si>
  <si>
    <t>tXVS2CPP</t>
  </si>
  <si>
    <t>tXVS2RD</t>
  </si>
  <si>
    <t>us</t>
  </si>
  <si>
    <t>tConfig</t>
  </si>
  <si>
    <t>TriggerMode</t>
  </si>
  <si>
    <t>Height</t>
  </si>
  <si>
    <t>PixelFormat(8/12)</t>
  </si>
  <si>
    <t>sensor实际输出的ROI</t>
  </si>
  <si>
    <t>Height_Region</t>
  </si>
  <si>
    <t>Width_Region</t>
  </si>
  <si>
    <t>根据demo设置计算出的等效ROI</t>
  </si>
  <si>
    <t>Parameter setting：</t>
  </si>
  <si>
    <t>v1.03</t>
    <phoneticPr fontId="8" type="noConversion"/>
  </si>
  <si>
    <t>add MER2-2000-19U3X</t>
    <phoneticPr fontId="8" type="noConversion"/>
  </si>
  <si>
    <t>v1.04</t>
    <phoneticPr fontId="8" type="noConversion"/>
  </si>
  <si>
    <t>add MER2-503-36U3X</t>
    <phoneticPr fontId="8" type="noConversion"/>
  </si>
  <si>
    <t>binning系数</t>
  </si>
  <si>
    <t>最大宽度</t>
  </si>
  <si>
    <t>最大高度</t>
  </si>
  <si>
    <t>Input range from 64 to 2048,and is an integer multiple of 8</t>
  </si>
  <si>
    <t>Input range from 64 to 1536,and is an integer multiple of 2</t>
  </si>
  <si>
    <t>BinningHorizontal</t>
  </si>
  <si>
    <t>Input range from 64 to 1024,and is an integer multiple of 8</t>
  </si>
  <si>
    <t>Input range from 64 to 768,and is an integer multiple of 2</t>
  </si>
  <si>
    <t>BinningVertical</t>
  </si>
  <si>
    <t>Input range from 64 to 512,and is an integer multiple of 8</t>
  </si>
  <si>
    <t>Input range from 64 to 384,and is an integer multiple of 2</t>
  </si>
  <si>
    <t>Input parameter error，please input parameter according to message</t>
  </si>
  <si>
    <t>v1.05</t>
    <phoneticPr fontId="8" type="noConversion"/>
  </si>
  <si>
    <t>add MER2-1220-32U3X and MER2-301-125U3X</t>
    <phoneticPr fontId="8" type="noConversion"/>
  </si>
  <si>
    <t>v1.06</t>
    <phoneticPr fontId="8" type="noConversion"/>
  </si>
  <si>
    <t>add MER2-231-41U3X</t>
    <phoneticPr fontId="8" type="noConversion"/>
  </si>
  <si>
    <t>v1.07</t>
    <phoneticPr fontId="8" type="noConversion"/>
  </si>
  <si>
    <t>add MER2-630-60U3X</t>
    <phoneticPr fontId="8" type="noConversion"/>
  </si>
  <si>
    <t>v1.08</t>
    <phoneticPr fontId="8" type="noConversion"/>
  </si>
  <si>
    <t>add MER2-302-56U3X</t>
    <phoneticPr fontId="8" type="noConversion"/>
  </si>
  <si>
    <t>v1.09</t>
    <phoneticPr fontId="8" type="noConversion"/>
  </si>
  <si>
    <t>updata mer2-502-79u3x</t>
    <phoneticPr fontId="8" type="noConversion"/>
  </si>
  <si>
    <t>updata MER2-302-56U3X</t>
    <phoneticPr fontId="8" type="noConversion"/>
  </si>
  <si>
    <t>FPS</t>
    <phoneticPr fontId="10" type="noConversion"/>
  </si>
  <si>
    <t>Calculation result:</t>
    <phoneticPr fontId="10" type="noConversion"/>
  </si>
  <si>
    <t>Tf</t>
    <phoneticPr fontId="10" type="noConversion"/>
  </si>
  <si>
    <t>Trow</t>
    <phoneticPr fontId="8" type="noConversion"/>
  </si>
  <si>
    <t>ImageSize</t>
    <phoneticPr fontId="8" type="noConversion"/>
  </si>
  <si>
    <t>Input parameter error，please input parameter according to message</t>
    <phoneticPr fontId="10" type="noConversion"/>
  </si>
  <si>
    <t>Input range from 64 to 744,and is an integer multiple of 2</t>
    <phoneticPr fontId="10" type="noConversion"/>
  </si>
  <si>
    <t>Input range from 64 to 1024,and is an integer multiple of 16</t>
    <phoneticPr fontId="10" type="noConversion"/>
  </si>
  <si>
    <t>Input range from 64 to 1500,and is an integer multiple of 2</t>
    <phoneticPr fontId="8" type="noConversion"/>
  </si>
  <si>
    <t>Input range from 64 to 2048,and is an integer multiple of 16</t>
    <phoneticPr fontId="8" type="noConversion"/>
  </si>
  <si>
    <t>Input range from 64 to 3000,and is an integer multiple of 2</t>
    <phoneticPr fontId="8" type="noConversion"/>
  </si>
  <si>
    <t>Input range from 64 to 4096,and is an integer multiple of 16</t>
    <phoneticPr fontId="10" type="noConversion"/>
  </si>
  <si>
    <t>最大高度</t>
    <phoneticPr fontId="10" type="noConversion"/>
  </si>
  <si>
    <t>最大宽度</t>
    <phoneticPr fontId="10" type="noConversion"/>
  </si>
  <si>
    <t>skipping系数</t>
    <phoneticPr fontId="10" type="noConversion"/>
  </si>
  <si>
    <t>DecimationVertical</t>
    <phoneticPr fontId="10" type="noConversion"/>
  </si>
  <si>
    <t>DecimationHorizontal</t>
    <phoneticPr fontId="10" type="noConversion"/>
  </si>
  <si>
    <t>Input range from 64 to 1024,and is an integer multiple of 8</t>
    <phoneticPr fontId="10" type="noConversion"/>
  </si>
  <si>
    <t>MaxUSBControllerThroughput(Bps)</t>
    <phoneticPr fontId="8" type="noConversion"/>
  </si>
  <si>
    <t>PixelFormat(8/12)</t>
    <phoneticPr fontId="8" type="noConversion"/>
  </si>
  <si>
    <t>Input range from 64 to 500,and is an integer multiple of 2</t>
    <phoneticPr fontId="8" type="noConversion"/>
  </si>
  <si>
    <t>BinningVertical</t>
    <phoneticPr fontId="10" type="noConversion"/>
  </si>
  <si>
    <t>Input range from 64 to 2048,and is an integer multiple of 8</t>
    <phoneticPr fontId="10" type="noConversion"/>
  </si>
  <si>
    <t>BinningHorizontal</t>
    <phoneticPr fontId="10" type="noConversion"/>
  </si>
  <si>
    <t>Input range from 64 to 4096,and is an integer multiple of 8</t>
    <phoneticPr fontId="10" type="noConversion"/>
  </si>
  <si>
    <t>Height</t>
    <phoneticPr fontId="8" type="noConversion"/>
  </si>
  <si>
    <t>binning系数</t>
    <phoneticPr fontId="10" type="noConversion"/>
  </si>
  <si>
    <t>v1.10</t>
    <phoneticPr fontId="8" type="noConversion"/>
  </si>
  <si>
    <t>add ME2P-1230-23U3X</t>
    <phoneticPr fontId="8" type="noConversion"/>
  </si>
  <si>
    <t>v1.11</t>
  </si>
  <si>
    <t>add MER2-041-436U3X and MER2-160-227U3X</t>
    <phoneticPr fontId="8" type="noConversion"/>
  </si>
  <si>
    <t>v1.12</t>
  </si>
  <si>
    <t>add MER2-230-168U3X</t>
    <phoneticPr fontId="8" type="noConversion"/>
  </si>
  <si>
    <t>v1.13</t>
    <phoneticPr fontId="8" type="noConversion"/>
  </si>
  <si>
    <t>add ME2P-2621-15U3X</t>
    <phoneticPr fontId="8" type="noConversion"/>
  </si>
  <si>
    <t>DecimationHorizontal</t>
  </si>
  <si>
    <t>DecimationVertical</t>
  </si>
  <si>
    <t>skipping系数</t>
  </si>
  <si>
    <t>period_time</t>
  </si>
  <si>
    <t>Exposure_start_delay</t>
  </si>
  <si>
    <t>Exposure_end_delay</t>
  </si>
  <si>
    <t>risky_duration1</t>
  </si>
  <si>
    <t>risky_duration2</t>
  </si>
  <si>
    <t>line_stop</t>
  </si>
  <si>
    <t>line_stop_frame_time</t>
  </si>
  <si>
    <t>risky_exp</t>
  </si>
  <si>
    <t>risky_frame_time</t>
  </si>
  <si>
    <t>bandwidth_max</t>
  </si>
  <si>
    <t>image_size</t>
  </si>
  <si>
    <t>frame_size</t>
  </si>
  <si>
    <t>Parameter setting：</t>
    <phoneticPr fontId="8" type="noConversion"/>
  </si>
  <si>
    <t>Calculation result:</t>
    <phoneticPr fontId="8" type="noConversion"/>
  </si>
  <si>
    <t>Input parameter error，please input parameter according to message</t>
    <phoneticPr fontId="8" type="noConversion"/>
  </si>
  <si>
    <t>带宽限制帧率控制最大行周期(inck)</t>
    <phoneticPr fontId="8" type="noConversion"/>
  </si>
  <si>
    <t>曝光决定的行周期(inck)</t>
    <phoneticPr fontId="8" type="noConversion"/>
  </si>
  <si>
    <t>帧率控制帧周期（ns）</t>
    <phoneticPr fontId="8" type="noConversion"/>
  </si>
  <si>
    <t>带宽限制帧周期（ns）</t>
    <phoneticPr fontId="8" type="noConversion"/>
  </si>
  <si>
    <t>FPS</t>
    <phoneticPr fontId="10" type="noConversion"/>
  </si>
  <si>
    <t>Calculation result:</t>
    <phoneticPr fontId="10" type="noConversion"/>
  </si>
  <si>
    <t>Tf</t>
    <phoneticPr fontId="10" type="noConversion"/>
  </si>
  <si>
    <t>Trow</t>
    <phoneticPr fontId="8" type="noConversion"/>
  </si>
  <si>
    <t>ImageSize</t>
    <phoneticPr fontId="8" type="noConversion"/>
  </si>
  <si>
    <t>MaxUSBControllerThroughput(Bps)</t>
    <phoneticPr fontId="8" type="noConversion"/>
  </si>
  <si>
    <t>PixelFormat(8/10)</t>
    <phoneticPr fontId="8" type="noConversion"/>
  </si>
  <si>
    <t>ExposureTime(us)</t>
    <phoneticPr fontId="8" type="noConversion"/>
  </si>
  <si>
    <t>Height</t>
    <phoneticPr fontId="8" type="noConversion"/>
  </si>
  <si>
    <t>Parameter setting：</t>
    <phoneticPr fontId="10" type="noConversion"/>
  </si>
  <si>
    <t>add me2l-161-61u3x</t>
    <phoneticPr fontId="8" type="noConversion"/>
  </si>
  <si>
    <t>v1.14</t>
    <phoneticPr fontId="8" type="noConversion"/>
  </si>
  <si>
    <t>risky_duration0</t>
    <phoneticPr fontId="8" type="noConversion"/>
  </si>
  <si>
    <t>Exposure_edge_sensor</t>
    <phoneticPr fontId="8" type="noConversion"/>
  </si>
  <si>
    <t>Exposure_edge_fpga</t>
    <phoneticPr fontId="8" type="noConversion"/>
  </si>
  <si>
    <t>v1.15</t>
    <phoneticPr fontId="8" type="noConversion"/>
  </si>
  <si>
    <t>updata ME2P-2621-15U3X</t>
    <phoneticPr fontId="8" type="noConversion"/>
  </si>
  <si>
    <t>v1.16</t>
    <phoneticPr fontId="8" type="noConversion"/>
  </si>
  <si>
    <t>v1.17</t>
    <phoneticPr fontId="8" type="noConversion"/>
  </si>
  <si>
    <t>Input range from 2 to 1536,and is an integer multiple of 2</t>
    <phoneticPr fontId="8" type="noConversion"/>
  </si>
  <si>
    <t>Input range from 2 to 768,and is an integer multiple of 2</t>
    <phoneticPr fontId="8" type="noConversion"/>
  </si>
  <si>
    <t>Input range from 2 to 384,and is an integer multiple of 2</t>
    <phoneticPr fontId="8" type="noConversion"/>
  </si>
  <si>
    <t>Input range from 64 to 2048,and is an integer multiple of 8</t>
    <phoneticPr fontId="8" type="noConversion"/>
  </si>
  <si>
    <t>Input range from 64 to 1024,and is an integer multiple of 8</t>
    <phoneticPr fontId="8" type="noConversion"/>
  </si>
  <si>
    <t>Input range from 64 to 512,and is an integer multiple of 8</t>
    <phoneticPr fontId="8" type="noConversion"/>
  </si>
  <si>
    <t>updata MER2-301-125U3X</t>
    <phoneticPr fontId="8" type="noConversion"/>
  </si>
  <si>
    <t>v1.18</t>
    <phoneticPr fontId="8" type="noConversion"/>
  </si>
  <si>
    <t>v1.19</t>
  </si>
  <si>
    <t>updata MER2-301-125U3X</t>
    <phoneticPr fontId="8" type="noConversion"/>
  </si>
  <si>
    <t>v1.20</t>
    <phoneticPr fontId="8" type="noConversion"/>
  </si>
  <si>
    <t>updata ME2P-1230-23U3X Decimation</t>
    <phoneticPr fontId="8" type="noConversion"/>
  </si>
  <si>
    <t>v1.21</t>
  </si>
  <si>
    <t>updata MER2-630-60U3X,MER2-2000-19U3X,MER2-1220-32U3X</t>
    <phoneticPr fontId="8" type="noConversion"/>
  </si>
  <si>
    <t xml:space="preserve"> </t>
    <phoneticPr fontId="8" type="noConversion"/>
  </si>
  <si>
    <t>Parameter setting：</t>
    <phoneticPr fontId="10" type="noConversion"/>
  </si>
  <si>
    <t>Height</t>
    <phoneticPr fontId="8" type="noConversion"/>
  </si>
  <si>
    <t>ExposureTime(us)</t>
    <phoneticPr fontId="8" type="noConversion"/>
  </si>
  <si>
    <t>PixelFormat(8/10)</t>
    <phoneticPr fontId="8" type="noConversion"/>
  </si>
  <si>
    <t>MaxUSBControllerThroughput(Bps)</t>
    <phoneticPr fontId="8" type="noConversion"/>
  </si>
  <si>
    <t>ImageSize</t>
    <phoneticPr fontId="8" type="noConversion"/>
  </si>
  <si>
    <t>Trow</t>
    <phoneticPr fontId="8" type="noConversion"/>
  </si>
  <si>
    <t>Tf</t>
    <phoneticPr fontId="10" type="noConversion"/>
  </si>
  <si>
    <t>Calculation result:</t>
    <phoneticPr fontId="10" type="noConversion"/>
  </si>
  <si>
    <t>FPS</t>
    <phoneticPr fontId="10" type="noConversion"/>
  </si>
  <si>
    <t>带宽限制帧周期（ns）</t>
    <phoneticPr fontId="8" type="noConversion"/>
  </si>
  <si>
    <t>帧率控制帧周期（ns）</t>
    <phoneticPr fontId="8" type="noConversion"/>
  </si>
  <si>
    <t>曝光决定的行周期(inck)</t>
    <phoneticPr fontId="8" type="noConversion"/>
  </si>
  <si>
    <t>带宽限制帧率控制最大行周期(inck)</t>
    <phoneticPr fontId="8" type="noConversion"/>
  </si>
  <si>
    <t>Input range from 64 to 2048,and is an integer multiple of 8</t>
    <phoneticPr fontId="8" type="noConversion"/>
  </si>
  <si>
    <t>Input range from 2 to 1536,and is an integer multiple of 2</t>
    <phoneticPr fontId="8" type="noConversion"/>
  </si>
  <si>
    <t>binning系数</t>
    <phoneticPr fontId="10" type="noConversion"/>
  </si>
  <si>
    <t>最大宽度</t>
    <phoneticPr fontId="10" type="noConversion"/>
  </si>
  <si>
    <t>最大高度</t>
    <phoneticPr fontId="10" type="noConversion"/>
  </si>
  <si>
    <t>DecimationHorizontal</t>
    <phoneticPr fontId="10" type="noConversion"/>
  </si>
  <si>
    <t>Input parameter error，please input parameter according to message</t>
    <phoneticPr fontId="10" type="noConversion"/>
  </si>
  <si>
    <t>DecimationVertical</t>
    <phoneticPr fontId="10" type="noConversion"/>
  </si>
  <si>
    <t>skipping系数</t>
    <phoneticPr fontId="10" type="noConversion"/>
  </si>
  <si>
    <t>最大宽度</t>
    <phoneticPr fontId="10" type="noConversion"/>
  </si>
  <si>
    <t>最大高度</t>
    <phoneticPr fontId="10" type="noConversion"/>
  </si>
  <si>
    <t>Input range from 64 to 2448,and is an integer multiple of 16</t>
    <phoneticPr fontId="10" type="noConversion"/>
  </si>
  <si>
    <t>Input range from 64 to 2048,and is an integer multiple of 2</t>
    <phoneticPr fontId="8" type="noConversion"/>
  </si>
  <si>
    <t>Input range from 64 to 1224,and is an integer multiple of 16</t>
    <phoneticPr fontId="8" type="noConversion"/>
  </si>
  <si>
    <t>Input range from 64 to 1024,and is an integer multiple of 2</t>
    <phoneticPr fontId="8" type="noConversion"/>
  </si>
  <si>
    <t>Input range from 64 to 608,and is an integer multiple of 16</t>
    <phoneticPr fontId="10" type="noConversion"/>
  </si>
  <si>
    <t>Input range from 64 to 512,and is an integer multiple of 2</t>
    <phoneticPr fontId="10" type="noConversion"/>
  </si>
  <si>
    <t>Input parameter error，please input parameter according to message</t>
    <phoneticPr fontId="10" type="noConversion"/>
  </si>
  <si>
    <t>ImageSize</t>
    <phoneticPr fontId="8" type="noConversion"/>
  </si>
  <si>
    <t>Trow</t>
    <phoneticPr fontId="8" type="noConversion"/>
  </si>
  <si>
    <t>Tf</t>
    <phoneticPr fontId="10" type="noConversion"/>
  </si>
  <si>
    <t>Calculation result:</t>
    <phoneticPr fontId="10" type="noConversion"/>
  </si>
  <si>
    <t>FPS</t>
    <phoneticPr fontId="10" type="noConversion"/>
  </si>
  <si>
    <t>Input range from 64 to 4096,and is an integer multiple of 8</t>
    <phoneticPr fontId="10" type="noConversion"/>
  </si>
  <si>
    <t>Input range from 64 to 3000,and is an integer multiple of 2</t>
    <phoneticPr fontId="8" type="noConversion"/>
  </si>
  <si>
    <t>BinningHorizontal</t>
    <phoneticPr fontId="10" type="noConversion"/>
  </si>
  <si>
    <t>Parameter setting：</t>
    <phoneticPr fontId="8" type="noConversion"/>
  </si>
  <si>
    <t>Input parameter error，please input parameter according to message</t>
    <phoneticPr fontId="8" type="noConversion"/>
  </si>
  <si>
    <t>Exposure_edge_fpga</t>
    <phoneticPr fontId="8" type="noConversion"/>
  </si>
  <si>
    <t>risky_duration0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</si>
</sst>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1"/>
      <color rgb="FFFF0000"/>
      <name val="宋体"/>
      <family val="2"/>
      <charset val="134"/>
      <scheme val="minor"/>
    </font>
    <font>
      <sz val="11"/>
      <color theme="1"/>
      <name val="宋体"/>
      <family val="2"/>
      <charset val="134"/>
    </font>
    <font>
      <sz val="9"/>
      <name val="宋体"/>
      <family val="3"/>
      <charset val="134"/>
      <scheme val="minor"/>
    </font>
    <font>
      <b/>
      <sz val="11"/>
      <color theme="0"/>
      <name val="华文细黑"/>
      <family val="3"/>
      <charset val="134"/>
    </font>
    <font>
      <sz val="9"/>
      <name val="宋体"/>
      <family val="2"/>
      <charset val="134"/>
      <scheme val="minor"/>
    </font>
    <font>
      <b/>
      <sz val="18"/>
      <color theme="0"/>
      <name val="华文细黑"/>
      <family val="3"/>
      <charset val="134"/>
    </font>
    <font>
      <sz val="11"/>
      <color rgb="FFFF0000"/>
      <name val="宋体"/>
      <family val="2"/>
      <scheme val="minor"/>
    </font>
    <font>
      <b/>
      <sz val="11"/>
      <color rgb="FFFFFF00"/>
      <name val="华文细黑"/>
      <family val="3"/>
      <charset val="134"/>
    </font>
    <font>
      <sz val="11"/>
      <name val="ＭＳ Ｐ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theme="9" tint="0.39994506668294322"/>
        <bgColor indexed="64"/>
      </patternFill>
    </fill>
    <fill>
      <patternFill patternType="solid">
        <fgColor theme="3" tint="0.3999450666829432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B05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6">
    <xf numFmtId="0" fontId="0" fillId="0" borderId="0"/>
    <xf numFmtId="0" fontId="5" fillId="0" borderId="0"/>
    <xf numFmtId="0" fontId="5" fillId="0" borderId="0"/>
    <xf numFmtId="0" fontId="4" fillId="0" borderId="0">
      <alignment vertical="center"/>
    </xf>
    <xf numFmtId="0" fontId="3" fillId="0" borderId="0">
      <alignment vertical="center"/>
    </xf>
    <xf numFmtId="0" fontId="14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58">
    <xf numFmtId="0" fontId="0" fillId="0" borderId="0" xfId="0"/>
    <xf numFmtId="0" fontId="0" fillId="2" borderId="4" xfId="0" applyFill="1" applyBorder="1" applyAlignment="1">
      <alignment horizontal="left" vertical="center" wrapText="1"/>
    </xf>
    <xf numFmtId="0" fontId="7" fillId="0" borderId="4" xfId="0" applyFont="1" applyFill="1" applyBorder="1" applyAlignment="1">
      <alignment horizontal="left" vertical="center" wrapText="1"/>
    </xf>
    <xf numFmtId="0" fontId="9" fillId="3" borderId="4" xfId="0" applyFont="1" applyFill="1" applyBorder="1" applyAlignment="1" applyProtection="1">
      <alignment vertical="center"/>
    </xf>
    <xf numFmtId="0" fontId="9" fillId="3" borderId="4" xfId="1" applyFont="1" applyFill="1" applyBorder="1" applyAlignment="1" applyProtection="1">
      <alignment vertical="center"/>
    </xf>
    <xf numFmtId="0" fontId="9" fillId="3" borderId="4" xfId="0" applyFont="1" applyFill="1" applyBorder="1" applyAlignment="1" applyProtection="1">
      <alignment horizontal="left" vertical="center"/>
      <protection locked="0"/>
    </xf>
    <xf numFmtId="0" fontId="9" fillId="3" borderId="4" xfId="0" applyFont="1" applyFill="1" applyBorder="1" applyAlignment="1" applyProtection="1">
      <alignment horizontal="left" vertical="center"/>
    </xf>
    <xf numFmtId="0" fontId="11" fillId="4" borderId="4" xfId="0" applyFont="1" applyFill="1" applyBorder="1" applyAlignment="1" applyProtection="1">
      <alignment vertical="center"/>
    </xf>
    <xf numFmtId="2" fontId="11" fillId="4" borderId="4" xfId="0" applyNumberFormat="1" applyFont="1" applyFill="1" applyBorder="1" applyAlignment="1" applyProtection="1">
      <alignment horizontal="left" vertical="center"/>
    </xf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9" fillId="5" borderId="4" xfId="0" applyFont="1" applyFill="1" applyBorder="1" applyAlignment="1" applyProtection="1">
      <alignment horizontal="left" vertical="center"/>
      <protection locked="0"/>
    </xf>
    <xf numFmtId="0" fontId="12" fillId="0" borderId="0" xfId="0" applyFont="1" applyAlignment="1">
      <alignment vertical="center"/>
    </xf>
    <xf numFmtId="0" fontId="0" fillId="0" borderId="4" xfId="0" applyBorder="1" applyAlignment="1">
      <alignment vertical="center"/>
    </xf>
    <xf numFmtId="0" fontId="9" fillId="3" borderId="4" xfId="2" applyFont="1" applyFill="1" applyBorder="1" applyAlignment="1" applyProtection="1">
      <alignment vertical="center"/>
    </xf>
    <xf numFmtId="0" fontId="9" fillId="5" borderId="4" xfId="2" applyFont="1" applyFill="1" applyBorder="1" applyAlignment="1" applyProtection="1">
      <alignment vertical="center"/>
    </xf>
    <xf numFmtId="0" fontId="9" fillId="3" borderId="4" xfId="0" applyFont="1" applyFill="1" applyBorder="1" applyAlignment="1" applyProtection="1">
      <alignment vertical="center" wrapText="1"/>
    </xf>
    <xf numFmtId="0" fontId="3" fillId="0" borderId="0" xfId="4">
      <alignment vertical="center"/>
    </xf>
    <xf numFmtId="0" fontId="9" fillId="5" borderId="4" xfId="4" applyFont="1" applyFill="1" applyBorder="1" applyAlignment="1" applyProtection="1">
      <alignment horizontal="left" vertical="center"/>
      <protection locked="0"/>
    </xf>
    <xf numFmtId="0" fontId="3" fillId="0" borderId="4" xfId="4" applyBorder="1">
      <alignment vertical="center"/>
    </xf>
    <xf numFmtId="0" fontId="9" fillId="3" borderId="4" xfId="4" applyFont="1" applyFill="1" applyBorder="1" applyAlignment="1" applyProtection="1">
      <alignment horizontal="left" vertical="center"/>
      <protection locked="0"/>
    </xf>
    <xf numFmtId="0" fontId="9" fillId="3" borderId="4" xfId="4" applyFont="1" applyFill="1" applyBorder="1" applyProtection="1">
      <alignment vertical="center"/>
    </xf>
    <xf numFmtId="0" fontId="9" fillId="3" borderId="4" xfId="4" applyFont="1" applyFill="1" applyBorder="1" applyAlignment="1" applyProtection="1">
      <alignment horizontal="left" vertical="center"/>
    </xf>
    <xf numFmtId="0" fontId="3" fillId="0" borderId="4" xfId="4" applyFont="1" applyBorder="1">
      <alignment vertical="center"/>
    </xf>
    <xf numFmtId="0" fontId="11" fillId="4" borderId="4" xfId="4" applyFont="1" applyFill="1" applyBorder="1" applyProtection="1">
      <alignment vertical="center"/>
    </xf>
    <xf numFmtId="2" fontId="11" fillId="4" borderId="4" xfId="4" applyNumberFormat="1" applyFont="1" applyFill="1" applyBorder="1" applyAlignment="1" applyProtection="1">
      <alignment horizontal="left" vertical="center"/>
    </xf>
    <xf numFmtId="0" fontId="13" fillId="3" borderId="4" xfId="0" applyFont="1" applyFill="1" applyBorder="1" applyAlignment="1" applyProtection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2" borderId="4" xfId="0" applyFill="1" applyBorder="1" applyAlignment="1">
      <alignment horizontal="left" vertical="center" wrapText="1"/>
    </xf>
    <xf numFmtId="0" fontId="0" fillId="2" borderId="4" xfId="0" applyFill="1" applyBorder="1" applyAlignment="1">
      <alignment horizontal="left" vertical="center" wrapText="1"/>
    </xf>
    <xf numFmtId="0" fontId="9" fillId="3" borderId="1" xfId="0" applyFont="1" applyFill="1" applyBorder="1" applyAlignment="1" applyProtection="1">
      <alignment horizontal="left" vertical="center"/>
    </xf>
    <xf numFmtId="0" fontId="9" fillId="3" borderId="3" xfId="0" applyFont="1" applyFill="1" applyBorder="1" applyAlignment="1" applyProtection="1">
      <alignment horizontal="left" vertical="center"/>
    </xf>
    <xf numFmtId="0" fontId="9" fillId="4" borderId="1" xfId="0" applyFont="1" applyFill="1" applyBorder="1" applyAlignment="1" applyProtection="1">
      <alignment vertical="center"/>
    </xf>
    <xf numFmtId="0" fontId="0" fillId="0" borderId="2" xfId="0" applyBorder="1" applyAlignment="1" applyProtection="1">
      <alignment vertical="center"/>
    </xf>
    <xf numFmtId="0" fontId="3" fillId="6" borderId="1" xfId="4" applyFill="1" applyBorder="1" applyAlignment="1">
      <alignment horizontal="center" vertical="center"/>
    </xf>
    <xf numFmtId="0" fontId="3" fillId="6" borderId="2" xfId="4" applyFill="1" applyBorder="1" applyAlignment="1">
      <alignment horizontal="center" vertical="center"/>
    </xf>
    <xf numFmtId="0" fontId="3" fillId="6" borderId="3" xfId="4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9" fillId="3" borderId="2" xfId="0" applyFont="1" applyFill="1" applyBorder="1" applyAlignment="1" applyProtection="1">
      <alignment horizontal="left" vertical="center"/>
    </xf>
    <xf numFmtId="0" fontId="9" fillId="4" borderId="2" xfId="0" applyFont="1" applyFill="1" applyBorder="1" applyAlignment="1" applyProtection="1">
      <alignment horizontal="left" vertical="center"/>
    </xf>
    <xf numFmtId="0" fontId="9" fillId="4" borderId="3" xfId="0" applyFont="1" applyFill="1" applyBorder="1" applyAlignment="1" applyProtection="1">
      <alignment horizontal="left" vertical="center"/>
    </xf>
    <xf numFmtId="0" fontId="1" fillId="0" borderId="0" xfId="15">
      <alignment vertical="center"/>
    </xf>
    <xf numFmtId="0" fontId="1" fillId="6" borderId="1" xfId="15" applyFill="1" applyBorder="1" applyAlignment="1">
      <alignment horizontal="center" vertical="center"/>
    </xf>
    <xf numFmtId="0" fontId="1" fillId="6" borderId="2" xfId="15" applyFill="1" applyBorder="1" applyAlignment="1">
      <alignment horizontal="center" vertical="center"/>
    </xf>
    <xf numFmtId="0" fontId="1" fillId="6" borderId="3" xfId="15" applyFill="1" applyBorder="1" applyAlignment="1">
      <alignment horizontal="center" vertical="center"/>
    </xf>
    <xf numFmtId="0" fontId="9" fillId="5" borderId="4" xfId="15" applyFont="1" applyFill="1" applyBorder="1" applyAlignment="1" applyProtection="1">
      <alignment horizontal="left" vertical="center"/>
      <protection locked="0"/>
    </xf>
    <xf numFmtId="0" fontId="1" fillId="0" borderId="4" xfId="15" applyBorder="1">
      <alignment vertical="center"/>
    </xf>
    <xf numFmtId="0" fontId="9" fillId="3" borderId="4" xfId="15" applyFont="1" applyFill="1" applyBorder="1" applyAlignment="1" applyProtection="1">
      <alignment horizontal="left" vertical="center"/>
      <protection locked="0"/>
    </xf>
    <xf numFmtId="0" fontId="9" fillId="3" borderId="4" xfId="15" applyFont="1" applyFill="1" applyBorder="1" applyProtection="1">
      <alignment vertical="center"/>
    </xf>
    <xf numFmtId="0" fontId="9" fillId="3" borderId="4" xfId="15" applyFont="1" applyFill="1" applyBorder="1" applyAlignment="1" applyProtection="1">
      <alignment horizontal="left" vertical="center"/>
    </xf>
    <xf numFmtId="0" fontId="1" fillId="0" borderId="4" xfId="15" applyFont="1" applyBorder="1">
      <alignment vertical="center"/>
    </xf>
    <xf numFmtId="0" fontId="11" fillId="4" borderId="4" xfId="15" applyFont="1" applyFill="1" applyBorder="1" applyProtection="1">
      <alignment vertical="center"/>
    </xf>
    <xf numFmtId="2" fontId="11" fillId="4" borderId="4" xfId="15" applyNumberFormat="1" applyFont="1" applyFill="1" applyBorder="1" applyAlignment="1" applyProtection="1">
      <alignment horizontal="left" vertical="center"/>
    </xf>
  </cellXfs>
  <cellStyles count="16">
    <cellStyle name="標準 102" xfId="5"/>
    <cellStyle name="常规" xfId="0" builtinId="0"/>
    <cellStyle name="常规 10" xfId="6"/>
    <cellStyle name="常规 2" xfId="1"/>
    <cellStyle name="常规 2 2" xfId="2"/>
    <cellStyle name="常规 3" xfId="3"/>
    <cellStyle name="常规 3 2" xfId="4"/>
    <cellStyle name="常规 3 2 2" xfId="14"/>
    <cellStyle name="常规 3 2 3" xfId="15"/>
    <cellStyle name="常规 3 3" xfId="13"/>
    <cellStyle name="常规 4" xfId="7"/>
    <cellStyle name="常规 5" xfId="8"/>
    <cellStyle name="常规 6" xfId="9"/>
    <cellStyle name="常规 7" xfId="10"/>
    <cellStyle name="常规 8" xfId="11"/>
    <cellStyle name="常规 9" xfId="12"/>
  </cellStyles>
  <dxfs count="57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2"/>
      </font>
      <fill>
        <patternFill patternType="solid">
          <fgColor auto="1"/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2"/>
      </font>
      <fill>
        <patternFill patternType="solid">
          <fgColor auto="1"/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2"/>
      </font>
      <fill>
        <patternFill patternType="solid">
          <fgColor auto="1"/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1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2"/>
      </font>
      <fill>
        <patternFill patternType="solid">
          <fgColor auto="1"/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2"/>
      </font>
      <fill>
        <patternFill patternType="solid">
          <fgColor auto="1"/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2"/>
      </font>
      <fill>
        <patternFill patternType="solid">
          <fgColor auto="1"/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>
      <selection activeCell="C27" sqref="C27"/>
    </sheetView>
  </sheetViews>
  <sheetFormatPr defaultRowHeight="13.5"/>
  <cols>
    <col min="2" max="2" width="9.5" bestFit="1" customWidth="1"/>
    <col min="3" max="3" width="70.25" customWidth="1"/>
  </cols>
  <sheetData>
    <row r="1" spans="1:4">
      <c r="A1" s="32" t="s">
        <v>26</v>
      </c>
      <c r="B1" s="32"/>
      <c r="C1" s="32"/>
    </row>
    <row r="2" spans="1:4">
      <c r="A2" s="1" t="s">
        <v>27</v>
      </c>
      <c r="B2" s="1" t="s">
        <v>28</v>
      </c>
      <c r="C2" s="1" t="s">
        <v>29</v>
      </c>
    </row>
    <row r="3" spans="1:4" ht="16.5" customHeight="1">
      <c r="A3" s="2" t="s">
        <v>46</v>
      </c>
      <c r="B3" s="2">
        <v>20190611</v>
      </c>
      <c r="C3" s="2" t="s">
        <v>33</v>
      </c>
      <c r="D3" t="s">
        <v>23</v>
      </c>
    </row>
    <row r="4" spans="1:4">
      <c r="A4" s="2" t="s">
        <v>47</v>
      </c>
      <c r="B4" s="2">
        <v>20190717</v>
      </c>
      <c r="C4" s="2" t="s">
        <v>45</v>
      </c>
    </row>
    <row r="5" spans="1:4">
      <c r="A5" s="2" t="s">
        <v>48</v>
      </c>
      <c r="B5" s="2">
        <v>20190724</v>
      </c>
      <c r="C5" s="2" t="s">
        <v>104</v>
      </c>
    </row>
    <row r="6" spans="1:4">
      <c r="A6" s="2" t="s">
        <v>79</v>
      </c>
      <c r="B6" s="2">
        <v>20190725</v>
      </c>
      <c r="C6" s="2" t="s">
        <v>80</v>
      </c>
    </row>
    <row r="7" spans="1:4">
      <c r="A7" s="2" t="s">
        <v>81</v>
      </c>
      <c r="B7" s="2">
        <v>20190730</v>
      </c>
      <c r="C7" s="2" t="s">
        <v>82</v>
      </c>
    </row>
    <row r="8" spans="1:4">
      <c r="A8" s="2" t="s">
        <v>95</v>
      </c>
      <c r="B8" s="2">
        <v>20190807</v>
      </c>
      <c r="C8" s="2" t="s">
        <v>96</v>
      </c>
    </row>
    <row r="9" spans="1:4">
      <c r="A9" s="2" t="s">
        <v>97</v>
      </c>
      <c r="B9" s="2">
        <v>20190821</v>
      </c>
      <c r="C9" s="2" t="s">
        <v>98</v>
      </c>
    </row>
    <row r="10" spans="1:4">
      <c r="A10" s="2" t="s">
        <v>99</v>
      </c>
      <c r="B10" s="2">
        <v>20190923</v>
      </c>
      <c r="C10" s="2" t="s">
        <v>100</v>
      </c>
    </row>
    <row r="11" spans="1:4">
      <c r="A11" s="2" t="s">
        <v>101</v>
      </c>
      <c r="B11" s="2">
        <v>20191009</v>
      </c>
      <c r="C11" s="2" t="s">
        <v>102</v>
      </c>
    </row>
    <row r="12" spans="1:4">
      <c r="A12" s="2" t="s">
        <v>103</v>
      </c>
      <c r="B12" s="2">
        <v>20191012</v>
      </c>
      <c r="C12" s="2" t="s">
        <v>105</v>
      </c>
    </row>
    <row r="13" spans="1:4">
      <c r="A13" s="2" t="s">
        <v>133</v>
      </c>
      <c r="B13" s="2">
        <v>20191022</v>
      </c>
      <c r="C13" s="2" t="s">
        <v>134</v>
      </c>
    </row>
    <row r="14" spans="1:4">
      <c r="A14" s="2" t="s">
        <v>135</v>
      </c>
      <c r="B14" s="2">
        <v>20191028</v>
      </c>
      <c r="C14" s="2" t="s">
        <v>136</v>
      </c>
    </row>
    <row r="15" spans="1:4">
      <c r="A15" s="2" t="s">
        <v>137</v>
      </c>
      <c r="B15" s="2">
        <v>20191107</v>
      </c>
      <c r="C15" s="2" t="s">
        <v>138</v>
      </c>
    </row>
    <row r="16" spans="1:4">
      <c r="A16" s="2" t="s">
        <v>139</v>
      </c>
      <c r="B16" s="2">
        <v>20200210</v>
      </c>
      <c r="C16" s="2" t="s">
        <v>140</v>
      </c>
    </row>
    <row r="17" spans="1:3">
      <c r="A17" s="2" t="s">
        <v>174</v>
      </c>
      <c r="B17" s="2">
        <v>20200318</v>
      </c>
      <c r="C17" s="2" t="s">
        <v>173</v>
      </c>
    </row>
    <row r="18" spans="1:3">
      <c r="A18" s="2" t="s">
        <v>178</v>
      </c>
      <c r="B18" s="2">
        <v>20200320</v>
      </c>
      <c r="C18" s="2" t="s">
        <v>179</v>
      </c>
    </row>
    <row r="19" spans="1:3">
      <c r="A19" s="2" t="s">
        <v>180</v>
      </c>
      <c r="B19" s="2">
        <v>20200326</v>
      </c>
      <c r="C19" s="2" t="s">
        <v>179</v>
      </c>
    </row>
    <row r="20" spans="1:3">
      <c r="A20" s="2" t="s">
        <v>181</v>
      </c>
      <c r="B20" s="2">
        <v>20200414</v>
      </c>
      <c r="C20" s="2" t="s">
        <v>179</v>
      </c>
    </row>
    <row r="21" spans="1:3">
      <c r="A21" s="2" t="s">
        <v>189</v>
      </c>
      <c r="B21" s="2">
        <v>20200527</v>
      </c>
      <c r="C21" s="2" t="s">
        <v>188</v>
      </c>
    </row>
    <row r="22" spans="1:3">
      <c r="A22" s="2" t="s">
        <v>190</v>
      </c>
      <c r="B22" s="2">
        <v>20200528</v>
      </c>
      <c r="C22" s="2" t="s">
        <v>191</v>
      </c>
    </row>
    <row r="23" spans="1:3">
      <c r="A23" s="2" t="s">
        <v>192</v>
      </c>
      <c r="B23" s="2">
        <v>20200529</v>
      </c>
      <c r="C23" s="2" t="s">
        <v>193</v>
      </c>
    </row>
    <row r="24" spans="1:3">
      <c r="A24" s="2" t="s">
        <v>194</v>
      </c>
      <c r="B24" s="2">
        <v>20200603</v>
      </c>
      <c r="C24" s="2" t="s">
        <v>195</v>
      </c>
    </row>
  </sheetData>
  <mergeCells count="1">
    <mergeCell ref="A1:C1"/>
  </mergeCells>
  <phoneticPr fontId="8" type="noConversion"/>
  <conditionalFormatting sqref="A1:XFD1048576">
    <cfRule type="cellIs" dxfId="28" priority="1" stopIfTrue="1" operator="notEqual">
      <formula>INDIRECT("Dummy_for_Comparison1!"&amp;ADDRESS(ROW(),COLUMN()))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selection activeCell="B3" sqref="B3"/>
    </sheetView>
  </sheetViews>
  <sheetFormatPr defaultColWidth="9" defaultRowHeight="13.5"/>
  <cols>
    <col min="1" max="1" width="35.625" style="9" customWidth="1"/>
    <col min="2" max="2" width="28.5" style="9" customWidth="1"/>
    <col min="3" max="16384" width="9" style="9"/>
  </cols>
  <sheetData>
    <row r="1" spans="1:2" ht="15.75">
      <c r="A1" s="33" t="s">
        <v>78</v>
      </c>
      <c r="B1" s="34"/>
    </row>
    <row r="2" spans="1:2" ht="15.75">
      <c r="A2" s="3" t="s">
        <v>0</v>
      </c>
      <c r="B2" s="5">
        <v>2448</v>
      </c>
    </row>
    <row r="3" spans="1:2" ht="15.75">
      <c r="A3" s="3" t="s">
        <v>72</v>
      </c>
      <c r="B3" s="5">
        <v>2048</v>
      </c>
    </row>
    <row r="4" spans="1:2" ht="15.75">
      <c r="A4" s="3" t="s">
        <v>1</v>
      </c>
      <c r="B4" s="5">
        <v>20000</v>
      </c>
    </row>
    <row r="5" spans="1:2" ht="15.75">
      <c r="A5" s="3" t="s">
        <v>2</v>
      </c>
      <c r="B5" s="5">
        <v>8</v>
      </c>
    </row>
    <row r="6" spans="1:2" ht="15.75">
      <c r="A6" s="3" t="s">
        <v>3</v>
      </c>
      <c r="B6" s="5">
        <v>300000000</v>
      </c>
    </row>
    <row r="7" spans="1:2" ht="15.75">
      <c r="A7" s="3" t="s">
        <v>4</v>
      </c>
      <c r="B7" s="5">
        <v>380000000</v>
      </c>
    </row>
    <row r="8" spans="1:2" ht="15.75" hidden="1">
      <c r="A8" s="3"/>
      <c r="B8" s="5"/>
    </row>
    <row r="9" spans="1:2" ht="15.75" hidden="1">
      <c r="A9" s="3" t="s">
        <v>5</v>
      </c>
      <c r="B9" s="5">
        <f>MAX(INT((B4-13.73)/B12),1)</f>
        <v>1504</v>
      </c>
    </row>
    <row r="10" spans="1:2" ht="15.75" hidden="1">
      <c r="A10" s="3" t="s">
        <v>6</v>
      </c>
      <c r="B10" s="5" t="str">
        <f>IF((B5&lt;=8),"1","2")</f>
        <v>1</v>
      </c>
    </row>
    <row r="11" spans="1:2" ht="15.75" hidden="1">
      <c r="A11" s="3" t="s">
        <v>66</v>
      </c>
      <c r="B11" s="5">
        <f>B2*B3*B10+84</f>
        <v>5013588</v>
      </c>
    </row>
    <row r="12" spans="1:2" ht="15.75" hidden="1">
      <c r="A12" s="3" t="s">
        <v>64</v>
      </c>
      <c r="B12" s="5">
        <f>498/37.5</f>
        <v>13.28</v>
      </c>
    </row>
    <row r="13" spans="1:2" ht="15.75" hidden="1">
      <c r="A13" s="3" t="s">
        <v>7</v>
      </c>
      <c r="B13" s="5">
        <f>(B3+32)*B12</f>
        <v>27622.399999999998</v>
      </c>
    </row>
    <row r="14" spans="1:2" ht="15.75">
      <c r="A14" s="3" t="s">
        <v>8</v>
      </c>
      <c r="B14" s="5" t="s">
        <v>9</v>
      </c>
    </row>
    <row r="15" spans="1:2" ht="15.75">
      <c r="A15" s="3" t="s">
        <v>10</v>
      </c>
      <c r="B15" s="5">
        <v>36</v>
      </c>
    </row>
    <row r="16" spans="1:2" ht="15.75" hidden="1">
      <c r="A16" s="3" t="s">
        <v>61</v>
      </c>
      <c r="B16" s="6">
        <f>MAX(B11*1000000/B7,B11*1000000/B6,(B9+14)*B12,B13,B12*IF(B14="off",0,1)*INT(1000*1000/(B12*B15)))</f>
        <v>27622.399999999998</v>
      </c>
    </row>
    <row r="17" spans="1:2" ht="15.75">
      <c r="A17" s="35" t="s">
        <v>58</v>
      </c>
      <c r="B17" s="36"/>
    </row>
    <row r="18" spans="1:2" ht="27">
      <c r="A18" s="7" t="s">
        <v>57</v>
      </c>
      <c r="B18" s="8">
        <f>1000000/B16</f>
        <v>36.20250231696015</v>
      </c>
    </row>
  </sheetData>
  <sheetProtection algorithmName="SHA-512" hashValue="KmdU2eLkn9OFbXzJBjAOdmKXAAiVv3Fz74Yzvd1xXHsod6oiHqmUDKMoq5iEvuL9xCQUC7fg49akbjK4HFebMg==" saltValue="HMCQgOiRB7ZUCQgLgUP0pA==" spinCount="100000" sheet="1" objects="1" scenarios="1"/>
  <mergeCells count="2">
    <mergeCell ref="A1:B1"/>
    <mergeCell ref="A17:B17"/>
  </mergeCells>
  <phoneticPr fontId="8" type="noConversion"/>
  <dataValidations count="7">
    <dataValidation type="custom" allowBlank="1" showInputMessage="1" showErrorMessage="1" errorTitle="Input parameter error" error="Input range from 64 to 2448,and is an integer multiple of 8" sqref="B2">
      <formula1>AND(MOD(B2,8)=0,B2&gt;=64,B2&lt;=2448)</formula1>
    </dataValidation>
    <dataValidation type="custom" allowBlank="1" showInputMessage="1" showErrorMessage="1" errorTitle="Input parameter error" error="Input range from 64 to 2048,and is an integer multiple of 2" sqref="B3">
      <formula1>AND(MOD(B3,2)=0,B3&gt;=64,B3&lt;=2048)</formula1>
    </dataValidation>
    <dataValidation type="whole" allowBlank="1" showInputMessage="1" showErrorMessage="1" errorTitle="Input parameter error" error="Input range from 20 to 1000000" sqref="B4">
      <formula1>20</formula1>
      <formula2>1000000</formula2>
    </dataValidation>
    <dataValidation type="custom" allowBlank="1" showInputMessage="1" showErrorMessage="1" errorTitle="Input parameter error" error="8bit mode range from 35000000 to 400000000,step 1000000;_x000a_10bit mode range from 70000000 to 400000000,step 1000000" sqref="B6">
      <formula1>OR(AND(B5=8,B6&gt;=35000000,B6&lt;=400000000,MOD(B6,1000000)=0),AND(B5=10,B6&gt;=70000000,B6&lt;=400000000,MOD(B6,1000000)=0))</formula1>
    </dataValidation>
    <dataValidation type="list" allowBlank="1" showDropDown="1" showInputMessage="1" showErrorMessage="1" errorTitle="Input parameter error" error="Input 8 or 10" sqref="B5">
      <formula1>"8,10"</formula1>
    </dataValidation>
    <dataValidation type="list" allowBlank="1" showInputMessage="1" showErrorMessage="1" errorTitle="Input parameter error" error="Input off or on" sqref="B14">
      <formula1>"off,on"</formula1>
    </dataValidation>
    <dataValidation type="custom" allowBlank="1" showInputMessage="1" showErrorMessage="1" errorTitle="Input parameter error" error="Input range from 0.1 to 10000,step 0.1" sqref="B15">
      <formula1>AND(MOD(10*B15,1)=0,B15&gt;=0.1,B15&lt;=10000)</formula1>
    </dataValidation>
  </dataValidations>
  <pageMargins left="0.7" right="0.7" top="0.75" bottom="0.75" header="0.3" footer="0.3"/>
  <pageSetup orientation="portrait" horizontalDpi="200" verticalDpi="200" copies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workbookViewId="0">
      <selection activeCell="F44" sqref="F44"/>
    </sheetView>
  </sheetViews>
  <sheetFormatPr defaultColWidth="8.875" defaultRowHeight="13.5"/>
  <cols>
    <col min="1" max="1" width="40.625" style="17" customWidth="1"/>
    <col min="2" max="2" width="25.5" style="17" customWidth="1"/>
    <col min="3" max="6" width="8.875" style="17"/>
    <col min="7" max="7" width="21.5" style="17" hidden="1" customWidth="1"/>
    <col min="8" max="8" width="23.5" style="17" hidden="1" customWidth="1"/>
    <col min="9" max="9" width="8.875" style="17" hidden="1" customWidth="1"/>
    <col min="10" max="16384" width="8.875" style="17"/>
  </cols>
  <sheetData>
    <row r="1" spans="1:9" ht="15.75">
      <c r="A1" s="33" t="s">
        <v>78</v>
      </c>
      <c r="B1" s="34"/>
      <c r="G1" s="37" t="s">
        <v>77</v>
      </c>
      <c r="H1" s="38"/>
      <c r="I1" s="39"/>
    </row>
    <row r="2" spans="1:9" ht="15.75">
      <c r="A2" s="15" t="s">
        <v>76</v>
      </c>
      <c r="B2" s="18">
        <v>3088</v>
      </c>
      <c r="G2" s="19" t="s">
        <v>0</v>
      </c>
      <c r="H2" s="19">
        <v>3088</v>
      </c>
      <c r="I2" s="19"/>
    </row>
    <row r="3" spans="1:9" ht="15.75">
      <c r="A3" s="15" t="s">
        <v>75</v>
      </c>
      <c r="B3" s="18">
        <v>2064</v>
      </c>
      <c r="G3" s="19" t="s">
        <v>72</v>
      </c>
      <c r="H3" s="19">
        <f>B3</f>
        <v>2064</v>
      </c>
      <c r="I3" s="19"/>
    </row>
    <row r="4" spans="1:9" ht="15.75">
      <c r="A4" s="14" t="s">
        <v>1</v>
      </c>
      <c r="B4" s="20">
        <v>10000</v>
      </c>
      <c r="G4" s="37" t="s">
        <v>74</v>
      </c>
      <c r="H4" s="38"/>
      <c r="I4" s="39"/>
    </row>
    <row r="5" spans="1:9" ht="15.75">
      <c r="A5" s="14" t="s">
        <v>2</v>
      </c>
      <c r="B5" s="20">
        <v>8</v>
      </c>
      <c r="G5" s="19" t="s">
        <v>0</v>
      </c>
      <c r="H5" s="19">
        <v>3088</v>
      </c>
      <c r="I5" s="19"/>
    </row>
    <row r="6" spans="1:9" ht="15.75">
      <c r="A6" s="14" t="s">
        <v>3</v>
      </c>
      <c r="B6" s="20">
        <v>300000000</v>
      </c>
      <c r="G6" s="19" t="s">
        <v>72</v>
      </c>
      <c r="H6" s="19">
        <f>IF(H3&gt;=320,H3,320)</f>
        <v>2064</v>
      </c>
      <c r="I6" s="19"/>
    </row>
    <row r="7" spans="1:9" ht="15.75">
      <c r="A7" s="14" t="s">
        <v>4</v>
      </c>
      <c r="B7" s="20">
        <v>380000000</v>
      </c>
      <c r="G7" s="37"/>
      <c r="H7" s="38"/>
      <c r="I7" s="39"/>
    </row>
    <row r="8" spans="1:9" ht="15.75">
      <c r="A8" s="14" t="s">
        <v>71</v>
      </c>
      <c r="B8" s="20" t="s">
        <v>9</v>
      </c>
      <c r="G8" s="19" t="s">
        <v>51</v>
      </c>
      <c r="H8" s="19">
        <f>IF(B5=8,7778,2*7778)</f>
        <v>7778</v>
      </c>
      <c r="I8" s="19" t="s">
        <v>49</v>
      </c>
    </row>
    <row r="9" spans="1:9" ht="15.75">
      <c r="A9" s="14" t="s">
        <v>8</v>
      </c>
      <c r="B9" s="20" t="s">
        <v>9</v>
      </c>
      <c r="G9" s="19" t="s">
        <v>70</v>
      </c>
      <c r="H9" s="19">
        <v>2000</v>
      </c>
      <c r="I9" s="19" t="s">
        <v>69</v>
      </c>
    </row>
    <row r="10" spans="1:9" ht="15.75">
      <c r="A10" s="14" t="s">
        <v>10</v>
      </c>
      <c r="B10" s="20">
        <v>60</v>
      </c>
      <c r="G10" s="19" t="s">
        <v>68</v>
      </c>
      <c r="H10" s="19">
        <v>28</v>
      </c>
      <c r="I10" s="19" t="s">
        <v>51</v>
      </c>
    </row>
    <row r="11" spans="1:9" ht="15.75" hidden="1">
      <c r="A11" s="21" t="s">
        <v>6</v>
      </c>
      <c r="B11" s="22" t="str">
        <f>IF((B5&lt;=8),"1","2")</f>
        <v>1</v>
      </c>
      <c r="G11" s="19" t="s">
        <v>67</v>
      </c>
      <c r="H11" s="19">
        <v>7</v>
      </c>
      <c r="I11" s="19" t="s">
        <v>51</v>
      </c>
    </row>
    <row r="12" spans="1:9" ht="15.75" hidden="1">
      <c r="A12" s="21" t="s">
        <v>66</v>
      </c>
      <c r="B12" s="22">
        <f>H15</f>
        <v>6373716</v>
      </c>
      <c r="G12" s="23" t="s">
        <v>65</v>
      </c>
      <c r="H12" s="19">
        <v>16</v>
      </c>
      <c r="I12" s="19" t="s">
        <v>51</v>
      </c>
    </row>
    <row r="13" spans="1:9" ht="15.75" hidden="1">
      <c r="A13" s="21" t="s">
        <v>64</v>
      </c>
      <c r="B13" s="22">
        <f>H8</f>
        <v>7778</v>
      </c>
      <c r="G13" s="19" t="s">
        <v>63</v>
      </c>
      <c r="H13" s="19">
        <v>78</v>
      </c>
      <c r="I13" s="19" t="s">
        <v>51</v>
      </c>
    </row>
    <row r="14" spans="1:9" ht="15.75" hidden="1">
      <c r="A14" s="21" t="s">
        <v>7</v>
      </c>
      <c r="B14" s="22">
        <f>B15</f>
        <v>21248888.888888888</v>
      </c>
      <c r="G14" s="19" t="s">
        <v>62</v>
      </c>
      <c r="H14" s="19">
        <v>8</v>
      </c>
      <c r="I14" s="19" t="s">
        <v>51</v>
      </c>
    </row>
    <row r="15" spans="1:9" ht="15.75" hidden="1">
      <c r="A15" s="21" t="s">
        <v>61</v>
      </c>
      <c r="B15" s="22">
        <f>H21</f>
        <v>21248888.888888888</v>
      </c>
      <c r="G15" s="19" t="s">
        <v>60</v>
      </c>
      <c r="H15" s="19">
        <f>IF(B5=8,1,2)*B2*B3+84</f>
        <v>6373716</v>
      </c>
      <c r="I15" s="19" t="s">
        <v>59</v>
      </c>
    </row>
    <row r="16" spans="1:9" ht="15.75">
      <c r="A16" s="35" t="s">
        <v>58</v>
      </c>
      <c r="B16" s="36"/>
      <c r="G16" s="37"/>
      <c r="H16" s="38"/>
      <c r="I16" s="39"/>
    </row>
    <row r="17" spans="1:9" ht="27">
      <c r="A17" s="24" t="s">
        <v>57</v>
      </c>
      <c r="B17" s="25">
        <f>1000000000/B15</f>
        <v>47.061284250156874</v>
      </c>
      <c r="G17" s="19" t="s">
        <v>56</v>
      </c>
      <c r="H17" s="19">
        <f>H10+MAX(H6+H13-H10,2+H11+ROUNDUP(1000*H9/H8,0))</f>
        <v>2142</v>
      </c>
      <c r="I17" s="19" t="s">
        <v>51</v>
      </c>
    </row>
    <row r="18" spans="1:9">
      <c r="G18" s="19" t="s">
        <v>55</v>
      </c>
      <c r="H18" s="19">
        <f>ROUNDUP(1000*B4/H8,0)+H14</f>
        <v>1294</v>
      </c>
      <c r="I18" s="19" t="s">
        <v>51</v>
      </c>
    </row>
    <row r="19" spans="1:9">
      <c r="G19" s="19" t="s">
        <v>54</v>
      </c>
      <c r="H19" s="19">
        <f>IF(B9="on",ROUNDUP((10^9)/(B10*H8),0),0)</f>
        <v>0</v>
      </c>
      <c r="I19" s="19" t="s">
        <v>51</v>
      </c>
    </row>
    <row r="20" spans="1:9">
      <c r="G20" s="19" t="s">
        <v>53</v>
      </c>
      <c r="H20" s="19">
        <f>ROUNDUP((H15/MIN(B6,B7))*10^9/H8,0)</f>
        <v>2732</v>
      </c>
      <c r="I20" s="19" t="s">
        <v>51</v>
      </c>
    </row>
    <row r="21" spans="1:9">
      <c r="G21" s="19" t="s">
        <v>50</v>
      </c>
      <c r="H21" s="19">
        <f>IF(B8="off",MAX(H17:H20),MAX(H17+H18+H12,H19,H20))*1000*IF(B5=8,420,840)/54</f>
        <v>21248888.888888888</v>
      </c>
      <c r="I21" s="19" t="s">
        <v>49</v>
      </c>
    </row>
    <row r="29" spans="1:9" hidden="1"/>
    <row r="30" spans="1:9" hidden="1"/>
    <row r="31" spans="1:9" hidden="1"/>
    <row r="32" spans="1:9" hidden="1"/>
    <row r="33" hidden="1"/>
  </sheetData>
  <sheetProtection algorithmName="SHA-512" hashValue="kK9CMZLOZjjmL2sfMw8/zlsvGMQjMLLgIOLiY0BZ8/ThoxgSc1LsNLyxDj/6qaupHYiRA4NdtF8l7/5KP5hULQ==" saltValue="3+O4D64TIraKeMjCWG/KPg==" spinCount="100000" sheet="1" objects="1" scenarios="1"/>
  <mergeCells count="6">
    <mergeCell ref="A1:B1"/>
    <mergeCell ref="G1:I1"/>
    <mergeCell ref="G4:I4"/>
    <mergeCell ref="G7:I7"/>
    <mergeCell ref="A16:B16"/>
    <mergeCell ref="G16:I16"/>
  </mergeCells>
  <phoneticPr fontId="8" type="noConversion"/>
  <dataValidations count="7">
    <dataValidation type="custom" allowBlank="1" showInputMessage="1" showErrorMessage="1" errorTitle="Input parameter error" error="Input range from 64 to 2064,and is an integer multiple of 2" sqref="B3">
      <formula1>AND(MOD(B3,2)=0,B3&gt;=64,B3&lt;=2064)</formula1>
    </dataValidation>
    <dataValidation type="custom" allowBlank="1" showInputMessage="1" showErrorMessage="1" errorTitle="Input parameter error" error="Input range from 64 to 3088,and is an integer multiple of 8_x000a_" sqref="B2">
      <formula1>AND(MOD(B2,8)=0,B2&gt;=64,B2&lt;=3088)</formula1>
    </dataValidation>
    <dataValidation type="whole" allowBlank="1" showInputMessage="1" showErrorMessage="1" errorTitle="Input parameter error" error="Input range from 8 to 1000000" sqref="B4">
      <formula1>8</formula1>
      <formula2>1000000</formula2>
    </dataValidation>
    <dataValidation type="custom" allowBlank="1" showInputMessage="1" showErrorMessage="1" errorTitle="Input parameter error" error="8bit mode range from 35000000 to 400000000,step 1000000;_x000a_10bit mode range from 70000000 to 400000000,step 1000000" sqref="B6">
      <formula1>OR(AND(B5=8,B6&gt;=35000000,B6&lt;=400000000,MOD(B6,1000000)=0),AND(B5=10,B6&gt;=70000000,B6&lt;=400000000,MOD(B6,1000000)=0))</formula1>
    </dataValidation>
    <dataValidation type="list" allowBlank="1" showInputMessage="1" showErrorMessage="1" errorTitle="Input parameter error" error="input 8 or 10" sqref="B5">
      <formula1>"8,10"</formula1>
    </dataValidation>
    <dataValidation type="list" allowBlank="1" showInputMessage="1" showErrorMessage="1" errorTitle="Input parameter error" error="Input off or on" sqref="B8:B9">
      <formula1>"on,off"</formula1>
    </dataValidation>
    <dataValidation type="custom" allowBlank="1" showInputMessage="1" showErrorMessage="1" errorTitle="Input parameter error" error="Input renge from 0.1 to 10000,step 0.1" sqref="B10">
      <formula1>AND(MOD(10*B10,1)=0,B10&gt;=0.1,B10&lt;=10000)</formula1>
    </dataValidation>
  </dataValidation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activeCell="B2" sqref="B2"/>
    </sheetView>
  </sheetViews>
  <sheetFormatPr defaultColWidth="8.875" defaultRowHeight="13.5"/>
  <cols>
    <col min="1" max="1" width="40.625" style="9" customWidth="1"/>
    <col min="2" max="2" width="15.5" style="9" bestFit="1" customWidth="1"/>
    <col min="3" max="6" width="8.875" style="9"/>
    <col min="7" max="7" width="21.5" style="9" hidden="1" customWidth="1"/>
    <col min="8" max="8" width="23.5" style="9" hidden="1" customWidth="1"/>
    <col min="9" max="9" width="8.875" style="9" hidden="1" customWidth="1"/>
    <col min="10" max="10" width="8.875" style="9" customWidth="1"/>
    <col min="11" max="16384" width="8.875" style="9"/>
  </cols>
  <sheetData>
    <row r="1" spans="1:9" ht="15.75">
      <c r="A1" s="33" t="s">
        <v>78</v>
      </c>
      <c r="B1" s="34"/>
      <c r="G1" s="40" t="s">
        <v>77</v>
      </c>
      <c r="H1" s="41"/>
      <c r="I1" s="42"/>
    </row>
    <row r="2" spans="1:9" ht="15.75">
      <c r="A2" s="15" t="s">
        <v>76</v>
      </c>
      <c r="B2" s="11">
        <v>4024</v>
      </c>
      <c r="G2" s="13" t="s">
        <v>0</v>
      </c>
      <c r="H2" s="13">
        <v>4024</v>
      </c>
      <c r="I2" s="13"/>
    </row>
    <row r="3" spans="1:9" ht="15.75">
      <c r="A3" s="15" t="s">
        <v>75</v>
      </c>
      <c r="B3" s="11">
        <v>3036</v>
      </c>
      <c r="G3" s="13" t="s">
        <v>72</v>
      </c>
      <c r="H3" s="13">
        <v>3036</v>
      </c>
      <c r="I3" s="13"/>
    </row>
    <row r="4" spans="1:9" ht="15.75">
      <c r="A4" s="14" t="s">
        <v>1</v>
      </c>
      <c r="B4" s="5">
        <v>30000</v>
      </c>
      <c r="G4" s="40" t="s">
        <v>74</v>
      </c>
      <c r="H4" s="41"/>
      <c r="I4" s="42"/>
    </row>
    <row r="5" spans="1:9" ht="15.75">
      <c r="A5" s="14" t="s">
        <v>73</v>
      </c>
      <c r="B5" s="5">
        <v>8</v>
      </c>
      <c r="G5" s="13" t="s">
        <v>0</v>
      </c>
      <c r="H5" s="13">
        <v>4024</v>
      </c>
      <c r="I5" s="13"/>
    </row>
    <row r="6" spans="1:9" ht="15.75">
      <c r="A6" s="14" t="s">
        <v>3</v>
      </c>
      <c r="B6" s="5">
        <v>300000000</v>
      </c>
      <c r="G6" s="13" t="s">
        <v>72</v>
      </c>
      <c r="H6" s="13">
        <v>3046</v>
      </c>
      <c r="I6" s="13"/>
    </row>
    <row r="7" spans="1:9" ht="15.75">
      <c r="A7" s="14" t="s">
        <v>4</v>
      </c>
      <c r="B7" s="5">
        <v>380000000</v>
      </c>
      <c r="G7" s="40"/>
      <c r="H7" s="41"/>
      <c r="I7" s="42"/>
    </row>
    <row r="8" spans="1:9" ht="15.75">
      <c r="A8" s="14" t="s">
        <v>71</v>
      </c>
      <c r="B8" s="5" t="s">
        <v>9</v>
      </c>
      <c r="G8" s="13" t="s">
        <v>51</v>
      </c>
      <c r="H8" s="13">
        <f>IF(B5=8,1,2)*10000</f>
        <v>10000</v>
      </c>
      <c r="I8" s="13" t="s">
        <v>49</v>
      </c>
    </row>
    <row r="9" spans="1:9" ht="15.75">
      <c r="A9" s="14" t="s">
        <v>8</v>
      </c>
      <c r="B9" s="5" t="s">
        <v>9</v>
      </c>
      <c r="G9" s="13" t="s">
        <v>70</v>
      </c>
      <c r="H9" s="13">
        <v>50</v>
      </c>
      <c r="I9" s="13" t="s">
        <v>69</v>
      </c>
    </row>
    <row r="10" spans="1:9" ht="15.75">
      <c r="A10" s="14" t="s">
        <v>10</v>
      </c>
      <c r="B10" s="5">
        <v>32.299999999999997</v>
      </c>
      <c r="G10" s="13" t="s">
        <v>68</v>
      </c>
      <c r="H10" s="13">
        <v>33</v>
      </c>
      <c r="I10" s="13" t="s">
        <v>51</v>
      </c>
    </row>
    <row r="11" spans="1:9" ht="15.75" hidden="1">
      <c r="A11" s="3" t="s">
        <v>6</v>
      </c>
      <c r="B11" s="6" t="str">
        <f>IF((B5&lt;=8),"1","2")</f>
        <v>1</v>
      </c>
      <c r="G11" s="13" t="s">
        <v>67</v>
      </c>
      <c r="H11" s="13">
        <v>17</v>
      </c>
      <c r="I11" s="13" t="s">
        <v>51</v>
      </c>
    </row>
    <row r="12" spans="1:9" ht="15.75" hidden="1">
      <c r="A12" s="3" t="s">
        <v>66</v>
      </c>
      <c r="B12" s="6">
        <f>H15</f>
        <v>12216948</v>
      </c>
      <c r="G12" s="13" t="s">
        <v>65</v>
      </c>
      <c r="H12" s="13">
        <v>16</v>
      </c>
      <c r="I12" s="13" t="s">
        <v>51</v>
      </c>
    </row>
    <row r="13" spans="1:9" ht="15.75" hidden="1">
      <c r="A13" s="3" t="s">
        <v>64</v>
      </c>
      <c r="B13" s="6">
        <f>H8</f>
        <v>10000</v>
      </c>
      <c r="G13" s="13" t="s">
        <v>63</v>
      </c>
      <c r="H13" s="13">
        <v>38</v>
      </c>
      <c r="I13" s="13" t="s">
        <v>51</v>
      </c>
    </row>
    <row r="14" spans="1:9" ht="15.75" hidden="1">
      <c r="A14" s="3" t="s">
        <v>7</v>
      </c>
      <c r="B14" s="6">
        <f>B15</f>
        <v>40730000</v>
      </c>
      <c r="G14" s="13" t="s">
        <v>62</v>
      </c>
      <c r="H14" s="13">
        <v>8</v>
      </c>
      <c r="I14" s="13" t="s">
        <v>51</v>
      </c>
    </row>
    <row r="15" spans="1:9" ht="15.75" hidden="1">
      <c r="A15" s="3" t="s">
        <v>61</v>
      </c>
      <c r="B15" s="6">
        <f>H22</f>
        <v>40730000</v>
      </c>
      <c r="G15" s="13" t="s">
        <v>60</v>
      </c>
      <c r="H15" s="13">
        <f>IF(B5=8,1,2)*B2*B3+84</f>
        <v>12216948</v>
      </c>
      <c r="I15" s="13" t="s">
        <v>59</v>
      </c>
    </row>
    <row r="16" spans="1:9" ht="15.75">
      <c r="A16" s="35" t="s">
        <v>58</v>
      </c>
      <c r="B16" s="36"/>
      <c r="G16" s="40"/>
      <c r="H16" s="41"/>
      <c r="I16" s="42"/>
    </row>
    <row r="17" spans="1:9" ht="27">
      <c r="A17" s="7" t="s">
        <v>57</v>
      </c>
      <c r="B17" s="8">
        <f>1000000000/B15</f>
        <v>24.551927326295115</v>
      </c>
      <c r="G17" s="13" t="s">
        <v>56</v>
      </c>
      <c r="H17" s="13">
        <f>H10+MAX(H6+H13-H10,2+H11+ROUNDUP(1000*H9/H8,0))</f>
        <v>3084</v>
      </c>
      <c r="I17" s="13" t="s">
        <v>51</v>
      </c>
    </row>
    <row r="18" spans="1:9">
      <c r="G18" s="13" t="s">
        <v>55</v>
      </c>
      <c r="H18" s="13">
        <f>ROUNDUP(1000*B4/H8,0)+H14</f>
        <v>3008</v>
      </c>
      <c r="I18" s="13" t="s">
        <v>51</v>
      </c>
    </row>
    <row r="19" spans="1:9">
      <c r="G19" s="13" t="s">
        <v>54</v>
      </c>
      <c r="H19" s="13">
        <f>IF(B9="on",ROUNDUP((10^9)/(B10*H8),0),0)</f>
        <v>0</v>
      </c>
      <c r="I19" s="13" t="s">
        <v>51</v>
      </c>
    </row>
    <row r="20" spans="1:9">
      <c r="G20" s="13" t="s">
        <v>53</v>
      </c>
      <c r="H20" s="13">
        <f>ROUNDUP((H15/MIN(395000000,B6,B7))*10^9/H8,0)</f>
        <v>4073</v>
      </c>
      <c r="I20" s="13" t="s">
        <v>51</v>
      </c>
    </row>
    <row r="21" spans="1:9">
      <c r="G21" s="13" t="s">
        <v>52</v>
      </c>
      <c r="H21" s="13">
        <f>H17+H18+H12</f>
        <v>6108</v>
      </c>
      <c r="I21" s="13" t="s">
        <v>51</v>
      </c>
    </row>
    <row r="22" spans="1:9">
      <c r="G22" s="13" t="s">
        <v>50</v>
      </c>
      <c r="H22" s="13">
        <f>IF(B8="off",MAX(H17:H20),MAX(H21,H19,H20))*1000*IF(B5=8,720,1440)/72</f>
        <v>40730000</v>
      </c>
      <c r="I22" s="13" t="s">
        <v>49</v>
      </c>
    </row>
  </sheetData>
  <sheetProtection algorithmName="SHA-512" hashValue="A4R/GruyGf0f2yxPu85bl0bFs9drU3T4MYNUZ508meM1osILdrwrP5S4OdIFY8VOlexQhSCzmhJWvVeNBdsJUw==" saltValue="XL+/bzOCFXS4fYWt2y8V4A==" spinCount="100000" sheet="1" objects="1" scenarios="1"/>
  <mergeCells count="6">
    <mergeCell ref="A1:B1"/>
    <mergeCell ref="G1:I1"/>
    <mergeCell ref="G4:I4"/>
    <mergeCell ref="G7:I7"/>
    <mergeCell ref="A16:B16"/>
    <mergeCell ref="G16:I16"/>
  </mergeCells>
  <phoneticPr fontId="8" type="noConversion"/>
  <dataValidations count="7">
    <dataValidation type="custom" allowBlank="1" showInputMessage="1" showErrorMessage="1" errorTitle="Input parameter error" error="Input renge from 0.1 to 10000,step 0.1" sqref="B10">
      <formula1>AND(MOD(10*B10,1)=0,B10&gt;=0.1,B10&lt;=10000)</formula1>
    </dataValidation>
    <dataValidation type="list" allowBlank="1" showInputMessage="1" showErrorMessage="1" errorTitle="Input parameter error" error="Input off or on" sqref="B8:B9">
      <formula1>"on,off"</formula1>
    </dataValidation>
    <dataValidation type="list" allowBlank="1" showInputMessage="1" showErrorMessage="1" errorTitle="Input parameter error" error="Input 8 or 12" sqref="B5">
      <formula1>"8,12"</formula1>
    </dataValidation>
    <dataValidation type="custom" allowBlank="1" showInputMessage="1" showErrorMessage="1" errorTitle="Input parameter error" error="8bit mode range from 35000000 to 400000000,step 1000000;_x000a_12bit mode range from 70000000 to 400000000,step 1000000" sqref="B6">
      <formula1>OR(AND(B5=8,B6&gt;=35000000,B6&lt;=400000000,MOD(B6,1000000)=0),AND(B5=12,B6&gt;=70000000,B6&lt;=400000000,MOD(B6,1000000)=0))</formula1>
    </dataValidation>
    <dataValidation type="whole" allowBlank="1" showInputMessage="1" showErrorMessage="1" errorTitle="Input parameter error" error="Input range from 10 to 1000000" sqref="B4">
      <formula1>10</formula1>
      <formula2>1000000</formula2>
    </dataValidation>
    <dataValidation type="custom" allowBlank="1" showInputMessage="1" showErrorMessage="1" errorTitle="Input parameter error" error="Input range from 64 to 4024,and is an integer multiple of 8_x000a_" sqref="B2">
      <formula1>AND(MOD(B2,8)=0,B2&gt;=64,B2&lt;=4024)</formula1>
    </dataValidation>
    <dataValidation type="custom" allowBlank="1" showInputMessage="1" showErrorMessage="1" errorTitle="Input parameter error" error="Input range from 64 to 3036,and is an integer multiple of 2" sqref="B3">
      <formula1>AND(MOD(B3,2)=0,B3&gt;=64,B3&lt;=3036)</formula1>
    </dataValidation>
  </dataValidation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activeCell="T36" sqref="T36"/>
    </sheetView>
  </sheetViews>
  <sheetFormatPr defaultColWidth="8.875" defaultRowHeight="13.5"/>
  <cols>
    <col min="1" max="1" width="40.625" style="9" customWidth="1"/>
    <col min="2" max="2" width="15.5" style="9" bestFit="1" customWidth="1"/>
    <col min="3" max="6" width="8.875" style="9"/>
    <col min="7" max="7" width="21.5" style="9" hidden="1" customWidth="1"/>
    <col min="8" max="8" width="23.5" style="9" hidden="1" customWidth="1"/>
    <col min="9" max="9" width="8.875" style="9" hidden="1" customWidth="1"/>
    <col min="10" max="10" width="8.875" style="9" customWidth="1"/>
    <col min="11" max="16384" width="8.875" style="9"/>
  </cols>
  <sheetData>
    <row r="1" spans="1:9" ht="15.75">
      <c r="A1" s="33" t="s">
        <v>78</v>
      </c>
      <c r="B1" s="34"/>
      <c r="G1" s="40" t="s">
        <v>77</v>
      </c>
      <c r="H1" s="41"/>
      <c r="I1" s="42"/>
    </row>
    <row r="2" spans="1:9" ht="15.75">
      <c r="A2" s="15" t="s">
        <v>76</v>
      </c>
      <c r="B2" s="11">
        <v>5496</v>
      </c>
      <c r="G2" s="13" t="s">
        <v>0</v>
      </c>
      <c r="H2" s="13">
        <v>5496</v>
      </c>
      <c r="I2" s="13"/>
    </row>
    <row r="3" spans="1:9" ht="15.75">
      <c r="A3" s="15" t="s">
        <v>75</v>
      </c>
      <c r="B3" s="11">
        <v>3672</v>
      </c>
      <c r="G3" s="13" t="s">
        <v>72</v>
      </c>
      <c r="H3" s="13">
        <f>B3</f>
        <v>3672</v>
      </c>
      <c r="I3" s="13"/>
    </row>
    <row r="4" spans="1:9" ht="15.75">
      <c r="A4" s="14" t="s">
        <v>1</v>
      </c>
      <c r="B4" s="5">
        <v>50000</v>
      </c>
      <c r="G4" s="40" t="s">
        <v>74</v>
      </c>
      <c r="H4" s="41"/>
      <c r="I4" s="42"/>
    </row>
    <row r="5" spans="1:9" ht="15.75">
      <c r="A5" s="14" t="s">
        <v>73</v>
      </c>
      <c r="B5" s="5">
        <v>8</v>
      </c>
      <c r="G5" s="13" t="s">
        <v>0</v>
      </c>
      <c r="H5" s="13">
        <v>5496</v>
      </c>
      <c r="I5" s="13"/>
    </row>
    <row r="6" spans="1:9" ht="15.75">
      <c r="A6" s="14" t="s">
        <v>3</v>
      </c>
      <c r="B6" s="5">
        <v>300000000</v>
      </c>
      <c r="G6" s="13" t="s">
        <v>72</v>
      </c>
      <c r="H6" s="13">
        <f>IF(H3&gt;=1848,H3,1848)</f>
        <v>3672</v>
      </c>
      <c r="I6" s="13"/>
    </row>
    <row r="7" spans="1:9" ht="15.75">
      <c r="A7" s="14" t="s">
        <v>4</v>
      </c>
      <c r="B7" s="5">
        <v>380000000</v>
      </c>
      <c r="G7" s="40"/>
      <c r="H7" s="41"/>
      <c r="I7" s="42"/>
    </row>
    <row r="8" spans="1:9" ht="15.75">
      <c r="A8" s="14" t="s">
        <v>71</v>
      </c>
      <c r="B8" s="5" t="s">
        <v>9</v>
      </c>
      <c r="G8" s="13" t="s">
        <v>51</v>
      </c>
      <c r="H8" s="13">
        <f>IF(B5=8,1,2)*12500</f>
        <v>12500</v>
      </c>
      <c r="I8" s="13" t="s">
        <v>49</v>
      </c>
    </row>
    <row r="9" spans="1:9" ht="15.75">
      <c r="A9" s="14" t="s">
        <v>8</v>
      </c>
      <c r="B9" s="5" t="s">
        <v>9</v>
      </c>
      <c r="G9" s="13" t="s">
        <v>70</v>
      </c>
      <c r="H9" s="13">
        <v>50</v>
      </c>
      <c r="I9" s="13" t="s">
        <v>69</v>
      </c>
    </row>
    <row r="10" spans="1:9" ht="15.75">
      <c r="A10" s="14" t="s">
        <v>10</v>
      </c>
      <c r="B10" s="5">
        <v>19.600000000000001</v>
      </c>
      <c r="G10" s="13" t="s">
        <v>68</v>
      </c>
      <c r="H10" s="13">
        <v>33</v>
      </c>
      <c r="I10" s="13" t="s">
        <v>51</v>
      </c>
    </row>
    <row r="11" spans="1:9" ht="15.75" hidden="1">
      <c r="A11" s="3" t="s">
        <v>6</v>
      </c>
      <c r="B11" s="6" t="str">
        <f>IF((B5&lt;=8),"1","2")</f>
        <v>1</v>
      </c>
      <c r="G11" s="13" t="s">
        <v>67</v>
      </c>
      <c r="H11" s="13">
        <v>17</v>
      </c>
      <c r="I11" s="13" t="s">
        <v>51</v>
      </c>
    </row>
    <row r="12" spans="1:9" ht="15.75" hidden="1">
      <c r="A12" s="3" t="s">
        <v>66</v>
      </c>
      <c r="B12" s="6">
        <f>H15</f>
        <v>20181396</v>
      </c>
      <c r="G12" s="13" t="s">
        <v>65</v>
      </c>
      <c r="H12" s="13">
        <v>16</v>
      </c>
      <c r="I12" s="13" t="s">
        <v>51</v>
      </c>
    </row>
    <row r="13" spans="1:9" ht="15.75" hidden="1">
      <c r="A13" s="3" t="s">
        <v>64</v>
      </c>
      <c r="B13" s="6">
        <f>H8</f>
        <v>12500</v>
      </c>
      <c r="G13" s="13" t="s">
        <v>63</v>
      </c>
      <c r="H13" s="13">
        <v>38</v>
      </c>
      <c r="I13" s="13" t="s">
        <v>51</v>
      </c>
    </row>
    <row r="14" spans="1:9" ht="15.75" hidden="1">
      <c r="A14" s="3" t="s">
        <v>7</v>
      </c>
      <c r="B14" s="6">
        <f>B15</f>
        <v>67275000</v>
      </c>
      <c r="G14" s="13" t="s">
        <v>62</v>
      </c>
      <c r="H14" s="13">
        <v>8</v>
      </c>
      <c r="I14" s="13" t="s">
        <v>51</v>
      </c>
    </row>
    <row r="15" spans="1:9" ht="15.75" hidden="1">
      <c r="A15" s="3" t="s">
        <v>61</v>
      </c>
      <c r="B15" s="6">
        <f>H22</f>
        <v>67275000</v>
      </c>
      <c r="G15" s="13" t="s">
        <v>60</v>
      </c>
      <c r="H15" s="13">
        <f>IF(B5=8,1,2)*B2*B3+84</f>
        <v>20181396</v>
      </c>
      <c r="I15" s="13" t="s">
        <v>59</v>
      </c>
    </row>
    <row r="16" spans="1:9" ht="15.75">
      <c r="A16" s="35" t="s">
        <v>58</v>
      </c>
      <c r="B16" s="36"/>
      <c r="G16" s="40"/>
      <c r="H16" s="41"/>
      <c r="I16" s="42"/>
    </row>
    <row r="17" spans="1:9" ht="27">
      <c r="A17" s="7" t="s">
        <v>57</v>
      </c>
      <c r="B17" s="8">
        <f>1000000000/B15</f>
        <v>14.864362690449648</v>
      </c>
      <c r="G17" s="13" t="s">
        <v>56</v>
      </c>
      <c r="H17" s="13">
        <f>H10+MAX(H6+H13-H10,2+H11+ROUNDUP(1000*H9/H8,0))</f>
        <v>3710</v>
      </c>
      <c r="I17" s="13" t="s">
        <v>51</v>
      </c>
    </row>
    <row r="18" spans="1:9">
      <c r="G18" s="13" t="s">
        <v>55</v>
      </c>
      <c r="H18" s="13">
        <f>ROUNDUP(1000*B4/H8,0)+H14</f>
        <v>4008</v>
      </c>
      <c r="I18" s="13" t="s">
        <v>51</v>
      </c>
    </row>
    <row r="19" spans="1:9">
      <c r="G19" s="13" t="s">
        <v>54</v>
      </c>
      <c r="H19" s="13">
        <f>IF(B9="on",ROUNDUP((10^9)/(B10*H8),0),0)</f>
        <v>0</v>
      </c>
      <c r="I19" s="13" t="s">
        <v>51</v>
      </c>
    </row>
    <row r="20" spans="1:9">
      <c r="G20" s="13" t="s">
        <v>53</v>
      </c>
      <c r="H20" s="13">
        <f>ROUNDUP((H15/MIN(395000000,B6,B7))*10^9/H8,0)</f>
        <v>5382</v>
      </c>
      <c r="I20" s="13" t="s">
        <v>51</v>
      </c>
    </row>
    <row r="21" spans="1:9">
      <c r="G21" s="13" t="s">
        <v>52</v>
      </c>
      <c r="H21" s="13">
        <f>H17+H18+H12</f>
        <v>7734</v>
      </c>
      <c r="I21" s="13" t="s">
        <v>51</v>
      </c>
    </row>
    <row r="22" spans="1:9">
      <c r="G22" s="13" t="s">
        <v>50</v>
      </c>
      <c r="H22" s="13">
        <f>IF(B8="off",MAX(H17:H20),MAX(H21,H19,H20))*1000*IF(B5=8,900,1800)/72</f>
        <v>67275000</v>
      </c>
      <c r="I22" s="13" t="s">
        <v>49</v>
      </c>
    </row>
  </sheetData>
  <sheetProtection algorithmName="SHA-512" hashValue="J6ve8dNhNcUYoSpaS9p4pxdZCr4JRfT6KWSvc8pJurF216NAMD5xydncMvBJ/HY17GLxcoDackpxFQ01sZ0KHg==" saltValue="2vsgGyhD472SoT1B4zAEQg==" spinCount="100000" sheet="1" objects="1" scenarios="1"/>
  <mergeCells count="6">
    <mergeCell ref="A1:B1"/>
    <mergeCell ref="G1:I1"/>
    <mergeCell ref="G4:I4"/>
    <mergeCell ref="G7:I7"/>
    <mergeCell ref="A16:B16"/>
    <mergeCell ref="G16:I16"/>
  </mergeCells>
  <phoneticPr fontId="8" type="noConversion"/>
  <dataValidations count="7">
    <dataValidation type="custom" allowBlank="1" showInputMessage="1" showErrorMessage="1" errorTitle="Input parameter error" error="Input range from 64 to 3672,and is an integer multiple of 2" sqref="B3">
      <formula1>AND(MOD(B3,2)=0,B3&gt;=64,B3&lt;=3672)</formula1>
    </dataValidation>
    <dataValidation type="custom" allowBlank="1" showInputMessage="1" showErrorMessage="1" errorTitle="Input parameter error" error="Input range from 64 to 5496,and is an integer multiple of 8_x000a_" sqref="B2">
      <formula1>AND(MOD(B2,8)=0,B2&gt;=64,B2&lt;=5496)</formula1>
    </dataValidation>
    <dataValidation type="whole" allowBlank="1" showInputMessage="1" showErrorMessage="1" errorTitle="Input parameter error" error="Input range from 12 to 1000000" sqref="B4">
      <formula1>12</formula1>
      <formula2>1000000</formula2>
    </dataValidation>
    <dataValidation type="custom" allowBlank="1" showInputMessage="1" showErrorMessage="1" errorTitle="Input parameter error" error="8bit mode range from 35000000 to 400000000,step 1000000;_x000a_12bit mode range from 70000000 to 400000000,step 1000000" sqref="B6">
      <formula1>OR(AND(B5=8,B6&gt;=35000000,B6&lt;=400000000,MOD(B6,1000000)=0),AND(B5=12,B6&gt;=70000000,B6&lt;=400000000,MOD(B6,1000000)=0))</formula1>
    </dataValidation>
    <dataValidation type="list" allowBlank="1" showInputMessage="1" showErrorMessage="1" errorTitle="Input parameter error" error="Input 8 or 12" sqref="B5">
      <formula1>"8,12"</formula1>
    </dataValidation>
    <dataValidation type="list" allowBlank="1" showInputMessage="1" showErrorMessage="1" errorTitle="Input parameter error" error="Input off or on" sqref="B8:B9">
      <formula1>"on,off"</formula1>
    </dataValidation>
    <dataValidation type="custom" allowBlank="1" showInputMessage="1" showErrorMessage="1" errorTitle="Input parameter error" error="Input renge from 0.1 to 10000,step 0.1" sqref="B10">
      <formula1>AND(MOD(10*B10,1)=0,B10&gt;=0.1,B10&lt;=10000)</formula1>
    </dataValidation>
  </dataValidation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workbookViewId="0">
      <selection activeCell="B18" sqref="B18"/>
    </sheetView>
  </sheetViews>
  <sheetFormatPr defaultRowHeight="13.5"/>
  <cols>
    <col min="1" max="1" width="40.625" bestFit="1" customWidth="1"/>
    <col min="2" max="2" width="13.125" bestFit="1" customWidth="1"/>
    <col min="6" max="8" width="9" hidden="1" customWidth="1"/>
    <col min="9" max="9" width="11.25" hidden="1" customWidth="1"/>
    <col min="10" max="10" width="9" hidden="1" customWidth="1"/>
  </cols>
  <sheetData>
    <row r="1" spans="1:10" ht="15.75">
      <c r="A1" s="33" t="s">
        <v>30</v>
      </c>
      <c r="B1" s="34"/>
      <c r="C1" s="9"/>
      <c r="D1" s="9"/>
      <c r="E1" s="9"/>
      <c r="F1" s="9"/>
      <c r="G1" s="9"/>
      <c r="H1" s="9"/>
      <c r="I1" s="9"/>
      <c r="J1" s="9"/>
    </row>
    <row r="2" spans="1:10" ht="15.75">
      <c r="A2" s="4" t="s">
        <v>0</v>
      </c>
      <c r="B2" s="11">
        <v>4096</v>
      </c>
      <c r="C2" s="10" t="str">
        <f>IF(AND(OR(B6=2,B7=2),B2&lt;&gt;2048),"The Width should be 2048",IF(OR(B2&gt;4096/B4,B2&lt;64),LOOKUP(B4,F3:F5,I3:I5),IF(OR(B2&gt;4096/B6,B2&lt;64),LOOKUP(B6,F10:F12,I10:I12),"")))</f>
        <v/>
      </c>
      <c r="D2" s="9"/>
      <c r="E2" s="9"/>
      <c r="F2" s="9" t="s">
        <v>132</v>
      </c>
      <c r="G2" s="9" t="s">
        <v>119</v>
      </c>
      <c r="H2" s="9" t="s">
        <v>118</v>
      </c>
      <c r="I2" s="9"/>
      <c r="J2" s="9"/>
    </row>
    <row r="3" spans="1:10" ht="15.75">
      <c r="A3" s="4" t="s">
        <v>131</v>
      </c>
      <c r="B3" s="11">
        <v>3000</v>
      </c>
      <c r="C3" s="10" t="str">
        <f>IF(AND(OR(B6=2,B7=2),B3&lt;&gt;1500),"The Height should be 1500",(IF(OR(B3&gt;3000/B5,B3&lt;64),LOOKUP(B5,F3:F5,J3:J5),IF(OR(B3&gt;3000/B7,B3&lt;64),LOOKUP(B7,F10:F12,J10:J12),""))))</f>
        <v/>
      </c>
      <c r="D3" s="9"/>
      <c r="E3" s="9"/>
      <c r="F3" s="9">
        <v>1</v>
      </c>
      <c r="G3" s="9">
        <f>8*INT(4096/(8*F3))</f>
        <v>4096</v>
      </c>
      <c r="H3" s="9">
        <f>8*INT(3000/(8*F3))</f>
        <v>3000</v>
      </c>
      <c r="I3" s="9" t="s">
        <v>130</v>
      </c>
      <c r="J3" s="9" t="s">
        <v>116</v>
      </c>
    </row>
    <row r="4" spans="1:10" ht="15.75">
      <c r="A4" s="3" t="s">
        <v>129</v>
      </c>
      <c r="B4" s="5">
        <v>1</v>
      </c>
      <c r="C4" s="12" t="str">
        <f>IF(AND(B4&gt;1,B6&gt;1),"The binning and skipping levels are not set to be greater than 2 at the same time","")</f>
        <v/>
      </c>
      <c r="D4" s="9"/>
      <c r="E4" s="9"/>
      <c r="F4" s="9">
        <v>2</v>
      </c>
      <c r="G4" s="9">
        <f>8*INT(4096/(8*F4))</f>
        <v>2048</v>
      </c>
      <c r="H4" s="9">
        <v>1500</v>
      </c>
      <c r="I4" s="9" t="s">
        <v>128</v>
      </c>
      <c r="J4" s="9" t="s">
        <v>114</v>
      </c>
    </row>
    <row r="5" spans="1:10" ht="15.75">
      <c r="A5" s="3" t="s">
        <v>127</v>
      </c>
      <c r="B5" s="5">
        <v>1</v>
      </c>
      <c r="C5" s="12" t="str">
        <f>IF(AND(B5&gt;1,B7&gt;1),"The vertical binning and skipping are not set to be greater than 2 at the same time","")</f>
        <v/>
      </c>
      <c r="D5" s="9"/>
      <c r="E5" s="9"/>
      <c r="F5" s="9">
        <v>4</v>
      </c>
      <c r="G5" s="9">
        <f>8*INT(4096/(8*F5))</f>
        <v>1024</v>
      </c>
      <c r="H5" s="9">
        <v>750</v>
      </c>
      <c r="I5" s="9" t="s">
        <v>123</v>
      </c>
      <c r="J5" s="9" t="s">
        <v>126</v>
      </c>
    </row>
    <row r="6" spans="1:10" ht="15.75">
      <c r="A6" s="3" t="s">
        <v>122</v>
      </c>
      <c r="B6" s="5">
        <v>1</v>
      </c>
      <c r="C6" s="12" t="str">
        <f>IF(AND(B7&lt;&gt;B6),"The DecimationHorizontal and DecimationVertical should be the same",(IF(AND(B4&gt;1,B6&gt;1),"The binning and skipping levels are not set to be greater than 2 at the same time","")))</f>
        <v/>
      </c>
      <c r="D6" s="9"/>
      <c r="E6" s="9"/>
      <c r="F6" s="9"/>
      <c r="G6" s="9"/>
      <c r="H6" s="9"/>
      <c r="I6" s="9" t="s">
        <v>111</v>
      </c>
      <c r="J6" s="9"/>
    </row>
    <row r="7" spans="1:10" ht="15.75">
      <c r="A7" s="3" t="s">
        <v>121</v>
      </c>
      <c r="B7" s="5">
        <v>1</v>
      </c>
      <c r="C7" s="12" t="str">
        <f>IF(AND(B7&lt;&gt;B6),"The DecimationHorizontal and DecimationVertical should be the same",(IF(AND(B5&gt;1,B7&gt;1),"The vertical binning and skipping are not set to be greater than 2 at the same time","")))</f>
        <v/>
      </c>
      <c r="D7" s="9"/>
      <c r="E7" s="9"/>
      <c r="F7" s="9"/>
      <c r="G7" s="9">
        <f>4096/B4</f>
        <v>4096</v>
      </c>
      <c r="H7" s="9">
        <f>3000/B5</f>
        <v>3000</v>
      </c>
      <c r="I7" s="9"/>
      <c r="J7" s="9"/>
    </row>
    <row r="8" spans="1:10" ht="15.75">
      <c r="A8" s="4" t="s">
        <v>1</v>
      </c>
      <c r="B8" s="5">
        <v>40000</v>
      </c>
      <c r="C8" s="9"/>
      <c r="D8" s="9"/>
      <c r="E8" s="9"/>
      <c r="F8" s="9"/>
      <c r="G8" s="9"/>
      <c r="H8" s="9"/>
      <c r="I8" s="9"/>
      <c r="J8" s="9"/>
    </row>
    <row r="9" spans="1:10" ht="15.75">
      <c r="A9" s="4" t="s">
        <v>125</v>
      </c>
      <c r="B9" s="5">
        <v>8</v>
      </c>
      <c r="C9" s="9"/>
      <c r="D9" s="9"/>
      <c r="E9" s="9"/>
      <c r="F9" s="9" t="s">
        <v>120</v>
      </c>
      <c r="G9" s="9" t="s">
        <v>119</v>
      </c>
      <c r="H9" s="9" t="s">
        <v>118</v>
      </c>
      <c r="I9" s="9"/>
      <c r="J9" s="9"/>
    </row>
    <row r="10" spans="1:10" ht="15.75">
      <c r="A10" s="4" t="s">
        <v>3</v>
      </c>
      <c r="B10" s="5">
        <v>300000000</v>
      </c>
      <c r="C10" s="9"/>
      <c r="D10" s="9"/>
      <c r="E10" s="9"/>
      <c r="F10" s="9">
        <v>1</v>
      </c>
      <c r="G10" s="9">
        <f>16*INT(4096/(16*F10))</f>
        <v>4096</v>
      </c>
      <c r="H10" s="9">
        <f>2*INT(3000/(2*F10))</f>
        <v>3000</v>
      </c>
      <c r="I10" s="9" t="s">
        <v>117</v>
      </c>
      <c r="J10" s="9" t="s">
        <v>116</v>
      </c>
    </row>
    <row r="11" spans="1:10" ht="15.75">
      <c r="A11" s="4" t="s">
        <v>124</v>
      </c>
      <c r="B11" s="5">
        <v>380000000</v>
      </c>
      <c r="C11" s="9"/>
      <c r="D11" s="9"/>
      <c r="E11" s="9"/>
      <c r="F11" s="9">
        <v>2</v>
      </c>
      <c r="G11" s="9">
        <f>16*INT(4096/(16*F11))</f>
        <v>2048</v>
      </c>
      <c r="H11" s="9">
        <f>2*INT(3000/(2*F11))</f>
        <v>1500</v>
      </c>
      <c r="I11" s="9" t="s">
        <v>115</v>
      </c>
      <c r="J11" s="9" t="s">
        <v>114</v>
      </c>
    </row>
    <row r="12" spans="1:10" ht="15.75" hidden="1">
      <c r="A12" s="4" t="s">
        <v>5</v>
      </c>
      <c r="B12" s="5">
        <f>MAX(ROUNDUP((B8-14.26)/B15,0),1)</f>
        <v>2873</v>
      </c>
      <c r="C12" s="9"/>
      <c r="D12" s="9"/>
      <c r="E12" s="9"/>
      <c r="F12" s="9">
        <v>4</v>
      </c>
      <c r="G12" s="9">
        <f>16*INT(4096/(16*F12))</f>
        <v>1024</v>
      </c>
      <c r="H12" s="9">
        <f>2*INT(3000/(2*F12))</f>
        <v>750</v>
      </c>
      <c r="I12" s="9" t="s">
        <v>113</v>
      </c>
      <c r="J12" s="9" t="s">
        <v>112</v>
      </c>
    </row>
    <row r="13" spans="1:10" ht="15.75" hidden="1">
      <c r="A13" s="4" t="s">
        <v>6</v>
      </c>
      <c r="B13" s="5" t="str">
        <f>IF((B9&lt;=8),"1","2")</f>
        <v>1</v>
      </c>
      <c r="C13" s="9"/>
      <c r="D13" s="9"/>
      <c r="E13" s="9"/>
      <c r="F13" s="9"/>
      <c r="G13" s="9"/>
      <c r="H13" s="9"/>
      <c r="I13" s="9" t="s">
        <v>111</v>
      </c>
      <c r="J13" s="9"/>
    </row>
    <row r="14" spans="1:10" ht="15.75" hidden="1">
      <c r="A14" s="4" t="s">
        <v>110</v>
      </c>
      <c r="B14" s="5">
        <f>B2*B3*B13+84</f>
        <v>12288084</v>
      </c>
      <c r="C14" s="9"/>
      <c r="D14" s="9"/>
      <c r="E14" s="9"/>
      <c r="F14" s="9"/>
      <c r="G14" s="9">
        <f>4096/B6</f>
        <v>4096</v>
      </c>
      <c r="H14" s="9">
        <f>3000/B7</f>
        <v>3000</v>
      </c>
      <c r="I14" s="9"/>
      <c r="J14" s="9"/>
    </row>
    <row r="15" spans="1:10" ht="15.75" hidden="1">
      <c r="A15" s="4" t="s">
        <v>109</v>
      </c>
      <c r="B15" s="5">
        <f>IF(B9=8,522/37.5,1044/37.5)</f>
        <v>13.92</v>
      </c>
      <c r="C15" s="9"/>
      <c r="D15" s="9"/>
      <c r="E15" s="9"/>
      <c r="F15" s="9"/>
      <c r="G15" s="9"/>
      <c r="H15" s="9"/>
      <c r="I15" s="9"/>
      <c r="J15" s="9"/>
    </row>
    <row r="16" spans="1:10" ht="15.75" hidden="1">
      <c r="A16" s="4" t="s">
        <v>7</v>
      </c>
      <c r="B16" s="5">
        <f>(B3*B5+55)*B15</f>
        <v>42525.599999999999</v>
      </c>
      <c r="C16" s="9"/>
      <c r="D16" s="9"/>
      <c r="E16" s="9"/>
      <c r="F16" s="9"/>
      <c r="G16" s="9"/>
      <c r="H16" s="9"/>
      <c r="I16" s="9"/>
      <c r="J16" s="9"/>
    </row>
    <row r="17" spans="1:10" ht="15.75">
      <c r="A17" s="4" t="s">
        <v>8</v>
      </c>
      <c r="B17" s="5" t="s">
        <v>9</v>
      </c>
      <c r="C17" s="9"/>
      <c r="D17" s="9"/>
      <c r="E17" s="9"/>
      <c r="F17" s="9"/>
      <c r="G17" s="9"/>
      <c r="H17" s="9"/>
      <c r="I17" s="9"/>
      <c r="J17" s="9"/>
    </row>
    <row r="18" spans="1:10" ht="15.75">
      <c r="A18" s="4" t="s">
        <v>10</v>
      </c>
      <c r="B18" s="5">
        <v>23.5</v>
      </c>
      <c r="C18" s="9"/>
      <c r="D18" s="9"/>
      <c r="E18" s="9"/>
      <c r="F18" s="9"/>
      <c r="G18" s="9"/>
      <c r="H18" s="9"/>
      <c r="I18" s="9"/>
      <c r="J18" s="9"/>
    </row>
    <row r="19" spans="1:10" ht="15.75" hidden="1">
      <c r="A19" s="3" t="s">
        <v>108</v>
      </c>
      <c r="B19" s="6">
        <f>MAX(B14*1000000/B11,ROUNDUP(ROUNDUP(B14*1000000/B10/B15,0)*B15,0),(B12+12)*B15,B16,ROUNDUP(B15*(IF(B17="off",0,1))*ROUNDUP(1000*1000/(B15*B18),0),0))</f>
        <v>42525.599999999999</v>
      </c>
      <c r="C19" s="10" t="str">
        <f>IF(OR(B3&gt;3000/B5,B3&lt;64,B2&gt;4096/B4,B2&lt;64),I6,"")</f>
        <v/>
      </c>
      <c r="D19" s="9"/>
      <c r="E19" s="9"/>
      <c r="F19" s="9"/>
      <c r="G19" s="9"/>
      <c r="H19" s="9"/>
      <c r="I19" s="9"/>
      <c r="J19" s="9"/>
    </row>
    <row r="20" spans="1:10" ht="15.75">
      <c r="A20" s="35" t="s">
        <v>107</v>
      </c>
      <c r="B20" s="36"/>
    </row>
    <row r="21" spans="1:10" ht="27">
      <c r="A21" s="7" t="s">
        <v>106</v>
      </c>
      <c r="B21" s="8">
        <f>1000000/B19</f>
        <v>23.515247286340465</v>
      </c>
    </row>
  </sheetData>
  <sheetProtection algorithmName="SHA-512" hashValue="OW/+yGmfyunn/wAe3IkgJSWOpjrxGLkIlzPEKFHanNnfT97vS5Dui1eFYZPyOFErExrKWRBWGALxIAyypWO5aA==" saltValue="eYsGIhuQtpXEoU6d4JH1Og==" spinCount="100000" sheet="1" objects="1" scenarios="1" selectLockedCells="1"/>
  <mergeCells count="2">
    <mergeCell ref="A1:B1"/>
    <mergeCell ref="A20:B20"/>
  </mergeCells>
  <phoneticPr fontId="8" type="noConversion"/>
  <conditionalFormatting sqref="B2">
    <cfRule type="cellIs" dxfId="44" priority="6" operator="notBetween">
      <formula>64</formula>
      <formula>$G$14</formula>
    </cfRule>
    <cfRule type="cellIs" dxfId="43" priority="8" operator="notBetween">
      <formula>64</formula>
      <formula>$G$7</formula>
    </cfRule>
  </conditionalFormatting>
  <conditionalFormatting sqref="B3">
    <cfRule type="cellIs" dxfId="42" priority="5" operator="notBetween">
      <formula>64</formula>
      <formula>$H$7</formula>
    </cfRule>
    <cfRule type="cellIs" dxfId="41" priority="7" operator="notBetween">
      <formula>64</formula>
      <formula>$H$14</formula>
    </cfRule>
  </conditionalFormatting>
  <conditionalFormatting sqref="B4">
    <cfRule type="expression" dxfId="40" priority="4">
      <formula>AND(B6&gt;1,B4&gt;1)</formula>
    </cfRule>
  </conditionalFormatting>
  <conditionalFormatting sqref="B6">
    <cfRule type="expression" dxfId="39" priority="3">
      <formula>AND(B6&gt;1,B4&gt;1)</formula>
    </cfRule>
  </conditionalFormatting>
  <conditionalFormatting sqref="B5">
    <cfRule type="expression" dxfId="38" priority="2">
      <formula>AND(B5&gt;1,B7&gt;1)</formula>
    </cfRule>
  </conditionalFormatting>
  <conditionalFormatting sqref="B7">
    <cfRule type="expression" dxfId="37" priority="1">
      <formula>AND(B5&gt;1,B7&gt;1)</formula>
    </cfRule>
  </conditionalFormatting>
  <dataValidations count="9">
    <dataValidation type="custom" allowBlank="1" showInputMessage="1" showErrorMessage="1" errorTitle="Input parameter error" error="Input range from 0.1 to 10000,step 0.1" sqref="B18">
      <formula1>AND(MOD(10*B18,1)=0,B18&gt;=0.1,B18&lt;=10000)</formula1>
    </dataValidation>
    <dataValidation type="list" allowBlank="1" showInputMessage="1" showErrorMessage="1" errorTitle="Input parameter error" error="Input on or off" sqref="B17">
      <formula1>"on,off"</formula1>
    </dataValidation>
    <dataValidation type="custom" allowBlank="1" showInputMessage="1" showErrorMessage="1" errorTitle="Input parameter error" error="8bit mode range from 35000000 to 400000000,step 1000000;_x000a_12bit mode range from 70000000 to 400000000,step 1000000" sqref="B10">
      <formula1>OR(AND(B9=8,B10&gt;=35000000,B10&lt;=400000000,MOD(B10,1000000)=0),AND(B9=12,B10&gt;=70000000,B10&lt;=400000000,MOD(B10,1000000)=0))</formula1>
    </dataValidation>
    <dataValidation type="whole" allowBlank="1" showInputMessage="1" showErrorMessage="1" errorTitle="Input parameter error" error="Input range is 28-15000000" sqref="B8">
      <formula1>28</formula1>
      <formula2>15000000</formula2>
    </dataValidation>
    <dataValidation type="custom" allowBlank="1" showInputMessage="1" showErrorMessage="1" errorTitle="Input parameter error" error="Input parameter error" sqref="B3">
      <formula1>AND(MOD(B3,2)=0,B3&gt;=64,B3&lt;=3000/B5)</formula1>
    </dataValidation>
    <dataValidation type="custom" allowBlank="1" showInputMessage="1" showErrorMessage="1" errorTitle="Input parameter error" error="Input parameter error" sqref="B2">
      <formula1>AND(MOD(B2,8)=0,B2&gt;=64,B2&lt;=4096/B4)</formula1>
    </dataValidation>
    <dataValidation type="list" allowBlank="1" showInputMessage="1" showErrorMessage="1" errorTitle="Input parameter error" error="Input 8 or 12" sqref="B9">
      <formula1>"8,12"</formula1>
    </dataValidation>
    <dataValidation type="list" allowBlank="1" showInputMessage="1" showErrorMessage="1" errorTitle="Input parameter error" error="Input range is 1,2,4" sqref="B4:B5">
      <formula1>"1,2,4"</formula1>
    </dataValidation>
    <dataValidation type="list" allowBlank="1" showInputMessage="1" showErrorMessage="1" errorTitle="Input parameter error" error="Input range is 1,2" sqref="B6 B7">
      <formula1>"1,2"</formula1>
    </dataValidation>
  </dataValidation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"/>
  <sheetViews>
    <sheetView zoomScaleNormal="100" workbookViewId="0">
      <selection activeCell="B2" sqref="B2"/>
    </sheetView>
  </sheetViews>
  <sheetFormatPr defaultRowHeight="13.5"/>
  <cols>
    <col min="1" max="1" width="40.625" bestFit="1" customWidth="1"/>
    <col min="2" max="2" width="16.75" customWidth="1"/>
    <col min="6" max="8" width="9" hidden="1" customWidth="1"/>
    <col min="9" max="9" width="37.375" hidden="1" customWidth="1"/>
    <col min="10" max="10" width="9" hidden="1" customWidth="1"/>
    <col min="11" max="12" width="9" customWidth="1"/>
  </cols>
  <sheetData>
    <row r="1" spans="1:10" ht="15.75">
      <c r="A1" s="33" t="s">
        <v>156</v>
      </c>
      <c r="B1" s="43"/>
      <c r="C1" s="9"/>
      <c r="D1" s="9"/>
      <c r="E1" s="9"/>
      <c r="F1" s="9"/>
      <c r="G1" s="9"/>
      <c r="H1" s="9"/>
      <c r="I1" s="9"/>
      <c r="J1" s="9"/>
    </row>
    <row r="2" spans="1:10" ht="15.75">
      <c r="A2" s="4" t="s">
        <v>0</v>
      </c>
      <c r="B2" s="11">
        <v>5120</v>
      </c>
      <c r="C2" s="10" t="str">
        <f>IF(OR(B2&gt;5120/B4,B2&lt;64),LOOKUP(B4,F3:F5,I3:I5),IF(OR(B2&gt;5120/B6,B2&lt;64),LOOKUP(B6,F10:F12,I10:I12),""))</f>
        <v/>
      </c>
      <c r="D2" s="9"/>
      <c r="E2" s="9"/>
      <c r="F2" s="9" t="s">
        <v>83</v>
      </c>
      <c r="G2" s="9" t="s">
        <v>84</v>
      </c>
      <c r="H2" s="9" t="s">
        <v>85</v>
      </c>
      <c r="I2" s="9"/>
      <c r="J2" s="9"/>
    </row>
    <row r="3" spans="1:10" ht="15.75">
      <c r="A3" s="4" t="s">
        <v>72</v>
      </c>
      <c r="B3" s="11">
        <v>5120</v>
      </c>
      <c r="C3" s="10" t="str">
        <f>IF(OR(B3&gt;5120/B5,B3&lt;64),LOOKUP(B5,F3:F5,J3:J5),IF(OR(B3&gt;5120/B7,B3&lt;64),LOOKUP(B7,F10:F12,J10:J12),""))</f>
        <v/>
      </c>
      <c r="D3" s="9"/>
      <c r="E3" s="9"/>
      <c r="F3" s="9">
        <v>1</v>
      </c>
      <c r="G3" s="9">
        <f>8*INT(5120/(8*F3))</f>
        <v>5120</v>
      </c>
      <c r="H3" s="9">
        <f>8*INT(5120/(8*F3))</f>
        <v>5120</v>
      </c>
      <c r="I3" s="27" t="str">
        <f>"Input range from 64 to "&amp;G3&amp;",and is an integer multiple of 8"</f>
        <v>Input range from 64 to 5120,and is an integer multiple of 8</v>
      </c>
      <c r="J3" s="28" t="str">
        <f>"Input range from 64 to "&amp;H3&amp;",and is an integer multiple of 2"</f>
        <v>Input range from 64 to 5120,and is an integer multiple of 2</v>
      </c>
    </row>
    <row r="4" spans="1:10" ht="15.75" hidden="1">
      <c r="A4" s="3" t="s">
        <v>88</v>
      </c>
      <c r="B4" s="5">
        <v>1</v>
      </c>
      <c r="C4" s="12" t="str">
        <f>IF(AND(B4&gt;1,B6&gt;1),"水平binning和skipping不能同时设置大于2","")</f>
        <v/>
      </c>
      <c r="D4" s="9"/>
      <c r="E4" s="9"/>
      <c r="F4" s="9">
        <v>2</v>
      </c>
      <c r="G4" s="9">
        <f>8*INT(5120/(8*F4))</f>
        <v>2560</v>
      </c>
      <c r="H4" s="9">
        <f>8*INT(5120/(8*F4))</f>
        <v>2560</v>
      </c>
      <c r="I4" s="27" t="str">
        <f>"Input range from 64 to "&amp;G4&amp;",and is an integer multiple of 8"</f>
        <v>Input range from 64 to 2560,and is an integer multiple of 8</v>
      </c>
      <c r="J4" s="28" t="str">
        <f>"Input range from 64 to "&amp;H4&amp;",and is an integer multiple of 2"</f>
        <v>Input range from 64 to 2560,and is an integer multiple of 2</v>
      </c>
    </row>
    <row r="5" spans="1:10" ht="15.75" hidden="1">
      <c r="A5" s="3" t="s">
        <v>91</v>
      </c>
      <c r="B5" s="5">
        <v>1</v>
      </c>
      <c r="C5" s="12" t="str">
        <f>IF(AND(B5&gt;1,B7&gt;1),"垂直binning和skipping不能同时设置大于2","")</f>
        <v/>
      </c>
      <c r="D5" s="9"/>
      <c r="E5" s="9"/>
      <c r="F5" s="9">
        <v>4</v>
      </c>
      <c r="G5" s="9">
        <f>8*INT(5120/(8*F5))</f>
        <v>1280</v>
      </c>
      <c r="H5" s="9">
        <f>8*INT(5120/(8*F5))</f>
        <v>1280</v>
      </c>
      <c r="I5" s="27" t="str">
        <f>"Input range from 64 to "&amp;G5&amp;",and is an integer multiple of 8"</f>
        <v>Input range from 64 to 1280,and is an integer multiple of 8</v>
      </c>
      <c r="J5" s="28" t="str">
        <f>"Input range from 64 to "&amp;H5&amp;",and is an integer multiple of 2"</f>
        <v>Input range from 64 to 1280,and is an integer multiple of 2</v>
      </c>
    </row>
    <row r="6" spans="1:10" ht="15.75" hidden="1">
      <c r="A6" s="3" t="s">
        <v>141</v>
      </c>
      <c r="B6" s="5">
        <v>1</v>
      </c>
      <c r="C6" s="12" t="str">
        <f>IF(AND(B4&gt;1,B6&gt;1),"水平binning和skipping不能同时设置大于2","")</f>
        <v/>
      </c>
      <c r="D6" s="9"/>
      <c r="E6" s="9"/>
      <c r="F6" s="9"/>
      <c r="G6" s="9"/>
      <c r="H6" s="9"/>
      <c r="I6" s="27" t="s">
        <v>158</v>
      </c>
      <c r="J6" s="9"/>
    </row>
    <row r="7" spans="1:10" ht="15.75" hidden="1">
      <c r="A7" s="3" t="s">
        <v>142</v>
      </c>
      <c r="B7" s="5">
        <v>1</v>
      </c>
      <c r="C7" s="12" t="str">
        <f>IF(AND(B5&gt;1,B7&gt;1),"垂直binning和skipping不能同时设置大于2","")</f>
        <v/>
      </c>
      <c r="D7" s="9"/>
      <c r="E7" s="9"/>
      <c r="F7" s="9"/>
      <c r="G7" s="9">
        <f>5120/B4</f>
        <v>5120</v>
      </c>
      <c r="H7" s="9">
        <f>5120/B5</f>
        <v>5120</v>
      </c>
      <c r="I7" s="9"/>
      <c r="J7" s="9"/>
    </row>
    <row r="8" spans="1:10" ht="15.75">
      <c r="A8" s="4" t="s">
        <v>1</v>
      </c>
      <c r="B8" s="5">
        <v>60000</v>
      </c>
      <c r="C8" s="9"/>
      <c r="D8" s="9"/>
      <c r="E8" s="9"/>
      <c r="F8" s="9"/>
      <c r="G8" s="9"/>
      <c r="H8" s="9"/>
      <c r="I8" s="9"/>
      <c r="J8" s="9"/>
    </row>
    <row r="9" spans="1:10" ht="15.75">
      <c r="A9" s="4" t="s">
        <v>73</v>
      </c>
      <c r="B9" s="5">
        <v>8</v>
      </c>
      <c r="C9" s="9"/>
      <c r="D9" s="9"/>
      <c r="E9" s="9"/>
      <c r="F9" s="9" t="s">
        <v>143</v>
      </c>
      <c r="G9" s="9" t="s">
        <v>84</v>
      </c>
      <c r="H9" s="9" t="s">
        <v>85</v>
      </c>
      <c r="I9" s="9"/>
      <c r="J9" s="9"/>
    </row>
    <row r="10" spans="1:10" ht="15.75">
      <c r="A10" s="4" t="s">
        <v>3</v>
      </c>
      <c r="B10" s="5">
        <v>300000000</v>
      </c>
      <c r="C10" s="9"/>
      <c r="D10" s="9"/>
      <c r="E10" s="9"/>
      <c r="F10" s="9">
        <v>1</v>
      </c>
      <c r="G10" s="9">
        <f>8*INT(5120/(8*F10))</f>
        <v>5120</v>
      </c>
      <c r="H10" s="9">
        <f>8*INT(5120/(8*F10))</f>
        <v>5120</v>
      </c>
      <c r="I10" s="28" t="str">
        <f>"Input range from 64 to "&amp;G10&amp;",and is an integer multiple of 8"</f>
        <v>Input range from 64 to 5120,and is an integer multiple of 8</v>
      </c>
      <c r="J10" s="28" t="str">
        <f>"Input range from 64 to "&amp;H10&amp;",and is an integer multiple of 2"</f>
        <v>Input range from 64 to 5120,and is an integer multiple of 2</v>
      </c>
    </row>
    <row r="11" spans="1:10" ht="15.75">
      <c r="A11" s="4" t="s">
        <v>4</v>
      </c>
      <c r="B11" s="5">
        <v>380000000</v>
      </c>
      <c r="C11" s="9"/>
      <c r="D11" s="9"/>
      <c r="E11" s="9"/>
      <c r="F11" s="9">
        <v>2</v>
      </c>
      <c r="G11" s="9">
        <f>8*INT(5120/(8*F11))</f>
        <v>2560</v>
      </c>
      <c r="H11" s="9">
        <f>8*INT(5120/(8*F11))</f>
        <v>2560</v>
      </c>
      <c r="I11" s="28" t="str">
        <f>"Input range from 64 to "&amp;G11&amp;",and is an integer multiple of 8"</f>
        <v>Input range from 64 to 2560,and is an integer multiple of 8</v>
      </c>
      <c r="J11" s="28" t="str">
        <f>"Input range from 64 to "&amp;H11&amp;",and is an integer multiple of 2"</f>
        <v>Input range from 64 to 2560,and is an integer multiple of 2</v>
      </c>
    </row>
    <row r="12" spans="1:10" ht="15.75">
      <c r="A12" s="4" t="s">
        <v>8</v>
      </c>
      <c r="B12" s="5" t="s">
        <v>9</v>
      </c>
      <c r="C12" s="9"/>
      <c r="D12" s="9"/>
      <c r="E12" s="9"/>
      <c r="F12" s="9">
        <v>4</v>
      </c>
      <c r="G12" s="9">
        <f>8*INT(5120/(8*F12))</f>
        <v>1280</v>
      </c>
      <c r="H12" s="9">
        <f>8*INT(5120/(8*F12))</f>
        <v>1280</v>
      </c>
      <c r="I12" s="28" t="str">
        <f>"Input range from 64 to "&amp;G12&amp;",and is an integer multiple of 8"</f>
        <v>Input range from 64 to 1280,and is an integer multiple of 8</v>
      </c>
      <c r="J12" s="28" t="str">
        <f>"Input range from 64 to "&amp;H12&amp;",and is an integer multiple of 2"</f>
        <v>Input range from 64 to 1280,and is an integer multiple of 2</v>
      </c>
    </row>
    <row r="13" spans="1:10" ht="15.75">
      <c r="A13" s="4" t="s">
        <v>10</v>
      </c>
      <c r="B13" s="5">
        <v>15.1</v>
      </c>
      <c r="C13" s="9"/>
      <c r="D13" s="9"/>
      <c r="E13" s="9"/>
      <c r="F13" s="9"/>
      <c r="G13" s="9"/>
      <c r="H13" s="9"/>
      <c r="I13" s="28" t="s">
        <v>158</v>
      </c>
      <c r="J13" s="9"/>
    </row>
    <row r="14" spans="1:10" ht="15.75" hidden="1">
      <c r="A14" s="4"/>
      <c r="B14" s="5"/>
      <c r="C14" s="9"/>
      <c r="D14" s="9"/>
      <c r="E14" s="9"/>
      <c r="F14" s="9"/>
      <c r="G14" s="9">
        <f>5120/B6</f>
        <v>5120</v>
      </c>
      <c r="H14" s="9">
        <f>5120/B7</f>
        <v>5120</v>
      </c>
      <c r="I14" s="9"/>
      <c r="J14" s="9"/>
    </row>
    <row r="15" spans="1:10" ht="15.75" hidden="1">
      <c r="A15" s="4"/>
      <c r="B15" s="5">
        <f>IF(B9=8,124,248)</f>
        <v>124</v>
      </c>
      <c r="C15" s="9"/>
      <c r="D15" s="9"/>
      <c r="E15" s="9"/>
      <c r="F15" s="9"/>
      <c r="G15" s="9"/>
      <c r="H15" s="9"/>
      <c r="I15" s="9"/>
      <c r="J15" s="9"/>
    </row>
    <row r="16" spans="1:10" ht="15.75" hidden="1">
      <c r="A16" s="4"/>
      <c r="B16" s="5">
        <f>ROUNDUP(5*B17,0)</f>
        <v>51670</v>
      </c>
      <c r="C16" s="9"/>
      <c r="D16" s="9"/>
      <c r="E16" s="9"/>
      <c r="F16" s="9"/>
      <c r="G16" s="9"/>
      <c r="H16" s="9"/>
      <c r="I16" s="9"/>
      <c r="J16" s="9"/>
    </row>
    <row r="17" spans="1:10" ht="15.75" hidden="1">
      <c r="A17" s="4"/>
      <c r="B17" s="5">
        <f>ROUNDUP(48*B15/(72*8)*1000,0)</f>
        <v>10334</v>
      </c>
      <c r="C17" s="9"/>
      <c r="D17" s="9"/>
      <c r="E17" s="9"/>
      <c r="F17" s="9"/>
      <c r="G17" s="9"/>
      <c r="H17" s="9"/>
      <c r="I17" s="9"/>
      <c r="J17" s="9"/>
    </row>
    <row r="18" spans="1:10" ht="15.75" hidden="1">
      <c r="A18" s="4" t="s">
        <v>144</v>
      </c>
      <c r="B18" s="5">
        <f>ROUNDUP(((B3+14)*B17+B16)/1000,0)</f>
        <v>53107</v>
      </c>
      <c r="C18" s="9"/>
      <c r="D18" s="9"/>
      <c r="E18" s="9"/>
      <c r="F18" s="9"/>
      <c r="G18" s="9"/>
      <c r="H18" s="9"/>
      <c r="I18" s="9"/>
      <c r="J18" s="9"/>
    </row>
    <row r="19" spans="1:10" ht="15.75" hidden="1">
      <c r="A19" s="4"/>
      <c r="B19" s="5">
        <f>IF(MAX(B18,B33,B36,B41)=B18,1,0)</f>
        <v>0</v>
      </c>
      <c r="C19" s="9"/>
      <c r="D19" s="9"/>
      <c r="E19" s="9"/>
      <c r="F19" s="9"/>
      <c r="G19" s="9"/>
      <c r="H19" s="9"/>
      <c r="I19" s="9"/>
      <c r="J19" s="9"/>
    </row>
    <row r="20" spans="1:10" ht="15.75" hidden="1">
      <c r="A20" s="4" t="s">
        <v>145</v>
      </c>
      <c r="B20" s="5">
        <f>2*B17</f>
        <v>20668</v>
      </c>
      <c r="C20" s="9"/>
      <c r="D20" s="9"/>
      <c r="E20" s="9"/>
      <c r="F20" s="9"/>
      <c r="G20" s="9"/>
      <c r="H20" s="9"/>
      <c r="I20" s="9"/>
      <c r="J20" s="9"/>
    </row>
    <row r="21" spans="1:10" ht="15.75" hidden="1">
      <c r="A21" s="4" t="s">
        <v>146</v>
      </c>
      <c r="B21" s="5">
        <f>ROUNDUP(636/72*1000,0)</f>
        <v>8834</v>
      </c>
      <c r="C21" s="9"/>
      <c r="D21" s="9"/>
      <c r="E21" s="9"/>
      <c r="F21" s="9"/>
      <c r="G21" s="9"/>
      <c r="H21" s="9"/>
      <c r="I21" s="9"/>
      <c r="J21" s="9"/>
    </row>
    <row r="22" spans="1:10" ht="15.75" hidden="1">
      <c r="A22" s="4" t="s">
        <v>177</v>
      </c>
      <c r="B22" s="5">
        <f>ROUNDUP(((MAX(B18,B33,B36,B41))-(B3*B17+B16+B20-B21)/1000),0)</f>
        <v>34409</v>
      </c>
      <c r="C22" s="9"/>
      <c r="D22" s="9"/>
      <c r="E22" s="9"/>
      <c r="F22" s="9"/>
      <c r="G22" s="9"/>
      <c r="H22" s="9"/>
      <c r="I22" s="9"/>
      <c r="J22" s="9"/>
    </row>
    <row r="23" spans="1:10" ht="15.75" hidden="1">
      <c r="A23" s="4" t="s">
        <v>176</v>
      </c>
      <c r="B23" s="5">
        <f>ROUNDUP(((MAX(B18,B33,B36,B41))-(B3*B17+B16+B20-B21+12*B17)/1000),0)</f>
        <v>34285</v>
      </c>
      <c r="C23" s="28"/>
      <c r="D23" s="28"/>
      <c r="E23" s="28"/>
      <c r="F23" s="28"/>
      <c r="G23" s="28"/>
      <c r="H23" s="28"/>
      <c r="I23" s="28"/>
      <c r="J23" s="28"/>
    </row>
    <row r="24" spans="1:10" ht="15.75" hidden="1">
      <c r="A24" s="4" t="s">
        <v>175</v>
      </c>
      <c r="B24" s="5">
        <f>ROUNDUP(IF(B19=1,B22+10*B17/1000,B22+4*B17/1000),0)</f>
        <v>34451</v>
      </c>
      <c r="C24" s="28"/>
      <c r="D24" s="28"/>
      <c r="E24" s="28"/>
      <c r="F24" s="28"/>
      <c r="G24" s="28"/>
      <c r="H24" s="28"/>
      <c r="I24" s="28"/>
      <c r="J24" s="28"/>
    </row>
    <row r="25" spans="1:10" ht="15.75" hidden="1">
      <c r="A25" s="4" t="s">
        <v>147</v>
      </c>
      <c r="B25" s="5">
        <f>ROUNDUP(B23+6*B17/1000,0)</f>
        <v>34348</v>
      </c>
      <c r="C25" s="9"/>
      <c r="D25" s="9"/>
      <c r="E25" s="9"/>
      <c r="F25" s="9"/>
      <c r="G25" s="9"/>
      <c r="H25" s="9"/>
      <c r="I25" s="9"/>
      <c r="J25" s="9"/>
    </row>
    <row r="26" spans="1:10" ht="15.75" hidden="1">
      <c r="A26" s="4" t="s">
        <v>148</v>
      </c>
      <c r="B26" s="5">
        <f>ROUNDUP(B23+B17/1000,0)</f>
        <v>34296</v>
      </c>
      <c r="C26" s="9"/>
      <c r="D26" s="9"/>
      <c r="E26" s="9"/>
      <c r="F26" s="9"/>
      <c r="G26" s="9"/>
      <c r="H26" s="9"/>
      <c r="I26" s="9"/>
      <c r="J26" s="9"/>
    </row>
    <row r="27" spans="1:10" ht="15.75" hidden="1">
      <c r="A27" s="4" t="s">
        <v>149</v>
      </c>
      <c r="B27" s="5">
        <f>IF(B8&lt;B24,0,1)</f>
        <v>1</v>
      </c>
      <c r="C27" s="9"/>
      <c r="D27" s="9"/>
      <c r="E27" s="9"/>
      <c r="F27" s="9"/>
      <c r="G27" s="9"/>
      <c r="H27" s="9"/>
      <c r="I27" s="9"/>
      <c r="J27" s="9"/>
    </row>
    <row r="28" spans="1:10" ht="15.75" hidden="1">
      <c r="A28" s="4" t="s">
        <v>150</v>
      </c>
      <c r="B28" s="5">
        <f>ROUNDUP(((B3+14+6)*B17+B16)/1000,0)</f>
        <v>53169</v>
      </c>
      <c r="C28" s="9"/>
      <c r="D28" s="9"/>
      <c r="E28" s="9"/>
      <c r="F28" s="9"/>
      <c r="G28" s="9"/>
      <c r="H28" s="9"/>
      <c r="I28" s="9"/>
      <c r="J28" s="9"/>
    </row>
    <row r="29" spans="1:10" ht="15.75" hidden="1">
      <c r="A29" s="4" t="s">
        <v>151</v>
      </c>
      <c r="B29" s="5">
        <f>IF(AND(B26&lt;=B8,B8&lt;=B25),1,0)</f>
        <v>0</v>
      </c>
      <c r="C29" s="9"/>
      <c r="D29" s="9"/>
      <c r="E29" s="9"/>
      <c r="F29" s="9"/>
      <c r="G29" s="9"/>
      <c r="H29" s="9"/>
      <c r="I29" s="9"/>
      <c r="J29" s="9"/>
    </row>
    <row r="30" spans="1:10" ht="15.75" hidden="1">
      <c r="A30" s="4" t="s">
        <v>152</v>
      </c>
      <c r="B30" s="5">
        <f>IF(B29=1,(IF(MAX(B31,B33,B36,B41)=B33,0,(MAX(B31,B36,B41))+B8-B26+1)),0)</f>
        <v>0</v>
      </c>
      <c r="C30" s="9"/>
      <c r="D30" s="9"/>
      <c r="E30" s="9"/>
      <c r="F30" s="9"/>
      <c r="G30" s="9"/>
      <c r="H30" s="9"/>
      <c r="I30" s="9"/>
      <c r="J30" s="9"/>
    </row>
    <row r="31" spans="1:10" ht="15.75" hidden="1">
      <c r="A31" s="4"/>
      <c r="B31" s="26">
        <f>IF(B27=1,B28,B18)</f>
        <v>53169</v>
      </c>
      <c r="C31" s="9"/>
      <c r="D31" s="9"/>
      <c r="E31" s="9"/>
      <c r="F31" s="9"/>
      <c r="G31" s="9"/>
      <c r="H31" s="9"/>
      <c r="I31" s="9"/>
      <c r="J31" s="9"/>
    </row>
    <row r="32" spans="1:10" ht="15.75" hidden="1">
      <c r="A32" s="4"/>
      <c r="B32" s="5"/>
      <c r="C32" s="9"/>
      <c r="D32" s="9"/>
      <c r="E32" s="9"/>
      <c r="F32" s="9"/>
      <c r="G32" s="9"/>
      <c r="H32" s="9"/>
      <c r="I32" s="9"/>
      <c r="J32" s="9"/>
    </row>
    <row r="33" spans="1:10" ht="15.75" hidden="1">
      <c r="A33" s="4"/>
      <c r="B33" s="26">
        <f>ROUNDUP(B8-636/72+2*B17/1000+B16/1000,0)</f>
        <v>60064</v>
      </c>
      <c r="C33" s="9"/>
      <c r="D33" s="9"/>
      <c r="E33" s="9"/>
      <c r="F33" s="9"/>
      <c r="G33" s="9"/>
      <c r="H33" s="9"/>
      <c r="I33" s="9"/>
      <c r="J33" s="9"/>
    </row>
    <row r="34" spans="1:10" ht="15.75" hidden="1">
      <c r="A34" s="4"/>
      <c r="B34" s="5"/>
      <c r="C34" s="9"/>
      <c r="D34" s="9"/>
      <c r="E34" s="9"/>
      <c r="F34" s="9"/>
      <c r="G34" s="9"/>
      <c r="H34" s="9"/>
      <c r="I34" s="9"/>
      <c r="J34" s="9"/>
    </row>
    <row r="35" spans="1:10" ht="15.75" hidden="1">
      <c r="A35" s="4"/>
      <c r="B35" s="5">
        <f>IF(B12="off",0,1)</f>
        <v>0</v>
      </c>
      <c r="C35" s="9"/>
      <c r="D35" s="9"/>
      <c r="E35" s="9"/>
      <c r="F35" s="9"/>
      <c r="G35" s="9"/>
      <c r="H35" s="9"/>
      <c r="I35" s="9"/>
      <c r="J35" s="9"/>
    </row>
    <row r="36" spans="1:10" ht="15.75" hidden="1">
      <c r="A36" s="4"/>
      <c r="B36" s="26">
        <f>ROUNDUP((1000000/B13)*B35,0)</f>
        <v>0</v>
      </c>
      <c r="C36" s="9"/>
      <c r="D36" s="9"/>
      <c r="E36" s="9"/>
      <c r="F36" s="9"/>
      <c r="G36" s="9"/>
      <c r="H36" s="9"/>
      <c r="I36" s="9"/>
      <c r="J36" s="9"/>
    </row>
    <row r="37" spans="1:10" ht="15.75" hidden="1">
      <c r="A37" s="4"/>
      <c r="B37" s="5"/>
      <c r="C37" s="9"/>
      <c r="D37" s="9"/>
      <c r="E37" s="9"/>
      <c r="F37" s="9"/>
      <c r="G37" s="9"/>
      <c r="H37" s="9"/>
      <c r="I37" s="9"/>
      <c r="J37" s="9"/>
    </row>
    <row r="38" spans="1:10" ht="15.75" hidden="1">
      <c r="A38" s="3" t="s">
        <v>153</v>
      </c>
      <c r="B38" s="5">
        <v>3970</v>
      </c>
      <c r="C38" s="9"/>
      <c r="D38" s="9"/>
      <c r="E38" s="9"/>
      <c r="F38" s="9"/>
      <c r="G38" s="9"/>
      <c r="H38" s="9"/>
      <c r="I38" s="9"/>
      <c r="J38" s="9"/>
    </row>
    <row r="39" spans="1:10" ht="15.75" hidden="1">
      <c r="A39" s="3" t="s">
        <v>154</v>
      </c>
      <c r="B39" s="5">
        <f>B2*B3*IF(B9=8,1,2)</f>
        <v>26214400</v>
      </c>
      <c r="C39" s="9"/>
      <c r="D39" s="9"/>
      <c r="E39" s="9"/>
      <c r="F39" s="9"/>
      <c r="G39" s="9"/>
      <c r="H39" s="9"/>
      <c r="I39" s="9"/>
      <c r="J39" s="9"/>
    </row>
    <row r="40" spans="1:10" ht="15.75" hidden="1">
      <c r="A40" s="3" t="s">
        <v>155</v>
      </c>
      <c r="B40" s="5">
        <f>52+32+B39</f>
        <v>26214484</v>
      </c>
      <c r="C40" s="9"/>
      <c r="D40" s="9"/>
      <c r="E40" s="9"/>
      <c r="F40" s="9"/>
      <c r="G40" s="9"/>
      <c r="H40" s="9"/>
      <c r="I40" s="9"/>
      <c r="J40" s="9"/>
    </row>
    <row r="41" spans="1:10" ht="15.75" hidden="1">
      <c r="A41" s="4"/>
      <c r="B41" s="26">
        <f>ROUNDUP(MAX((B40*1000000/B10),B40*10/B38, B42),0)</f>
        <v>87382</v>
      </c>
      <c r="C41" s="9"/>
      <c r="D41" s="9"/>
      <c r="E41" s="9"/>
      <c r="F41" s="9"/>
      <c r="G41" s="9"/>
      <c r="H41" s="9"/>
      <c r="I41" s="9"/>
      <c r="J41" s="9"/>
    </row>
    <row r="42" spans="1:10" ht="15.75" hidden="1">
      <c r="A42" s="4"/>
      <c r="B42" s="5">
        <f>B40*1000000/B11</f>
        <v>68985.484210526309</v>
      </c>
      <c r="C42" s="9"/>
      <c r="D42" s="9"/>
      <c r="E42" s="9"/>
      <c r="F42" s="9"/>
      <c r="G42" s="9"/>
      <c r="H42" s="9"/>
      <c r="I42" s="9"/>
      <c r="J42" s="9"/>
    </row>
    <row r="43" spans="1:10" ht="15.75" hidden="1">
      <c r="A43" s="4"/>
      <c r="B43" s="5"/>
      <c r="C43" s="9"/>
      <c r="D43" s="9"/>
      <c r="E43" s="9"/>
      <c r="F43" s="9"/>
      <c r="G43" s="9"/>
      <c r="H43" s="9"/>
      <c r="I43" s="9"/>
      <c r="J43" s="9"/>
    </row>
    <row r="44" spans="1:10" ht="15.75" hidden="1">
      <c r="A44" s="3" t="s">
        <v>61</v>
      </c>
      <c r="B44" s="5">
        <f>IF(B29=0,IF(MAX(B31,B33,B36,B41)=B33,B33+1,(MAX(B31,B33,B36,B41))),B30)</f>
        <v>87382</v>
      </c>
      <c r="C44" s="10" t="str">
        <f>IF(OR(B3&gt;5120/B5,B3&lt;64,B2&gt;5120/B4,B2&lt;64),I6,"")</f>
        <v/>
      </c>
      <c r="D44" s="9"/>
      <c r="E44" s="9"/>
      <c r="F44" s="9"/>
      <c r="G44" s="9"/>
      <c r="H44" s="9"/>
      <c r="I44" s="9"/>
      <c r="J44" s="9"/>
    </row>
    <row r="45" spans="1:10" ht="15.75">
      <c r="A45" s="44" t="s">
        <v>157</v>
      </c>
      <c r="B45" s="45"/>
      <c r="D45" s="9"/>
      <c r="E45" s="9"/>
      <c r="F45" s="9"/>
      <c r="G45" s="9"/>
      <c r="H45" s="9"/>
      <c r="I45" s="9"/>
      <c r="J45" s="9"/>
    </row>
    <row r="46" spans="1:10" ht="27">
      <c r="A46" s="7" t="s">
        <v>57</v>
      </c>
      <c r="B46" s="8">
        <f>1000000/B44</f>
        <v>11.444004486049758</v>
      </c>
      <c r="D46" s="9"/>
      <c r="E46" s="9"/>
      <c r="F46" s="9"/>
      <c r="G46" s="9"/>
      <c r="H46" s="9"/>
      <c r="I46" s="9"/>
      <c r="J46" s="9"/>
    </row>
    <row r="47" spans="1:10">
      <c r="D47" s="9"/>
      <c r="E47" s="9"/>
      <c r="F47" s="9"/>
      <c r="G47" s="9"/>
      <c r="H47" s="9"/>
      <c r="I47" s="9"/>
      <c r="J47" s="9"/>
    </row>
    <row r="48" spans="1:10">
      <c r="D48" s="9"/>
      <c r="E48" s="9"/>
      <c r="F48" s="9"/>
      <c r="G48" s="9"/>
      <c r="H48" s="9"/>
      <c r="I48" s="9"/>
      <c r="J48" s="9"/>
    </row>
    <row r="49" spans="4:10">
      <c r="D49" s="9"/>
      <c r="E49" s="9"/>
      <c r="F49" s="9"/>
      <c r="G49" s="9"/>
      <c r="H49" s="9"/>
      <c r="I49" s="9"/>
      <c r="J49" s="9"/>
    </row>
  </sheetData>
  <sheetProtection algorithmName="SHA-512" hashValue="De29jcXYayJibl7eo2U8M8alSD1+ciPmbatsSl9Ai5KrrR2fjwa7o2RiHnROz9f+qs3CW8dt/5cJGcEzww4Wzg==" saltValue="wmvjEFscD8VsLA9DvfzT3g==" spinCount="100000" sheet="1" objects="1" scenarios="1" selectLockedCells="1"/>
  <dataConsolidate/>
  <mergeCells count="2">
    <mergeCell ref="A1:B1"/>
    <mergeCell ref="A45:B45"/>
  </mergeCells>
  <phoneticPr fontId="8" type="noConversion"/>
  <conditionalFormatting sqref="B2">
    <cfRule type="cellIs" dxfId="36" priority="6" operator="notBetween">
      <formula>64</formula>
      <formula>$G$14</formula>
    </cfRule>
    <cfRule type="cellIs" dxfId="35" priority="8" operator="notBetween">
      <formula>64</formula>
      <formula>$G$7</formula>
    </cfRule>
  </conditionalFormatting>
  <conditionalFormatting sqref="B3">
    <cfRule type="cellIs" dxfId="34" priority="5" operator="notBetween">
      <formula>64</formula>
      <formula>$H$7</formula>
    </cfRule>
    <cfRule type="cellIs" dxfId="33" priority="7" operator="notBetween">
      <formula>64</formula>
      <formula>$H$14</formula>
    </cfRule>
  </conditionalFormatting>
  <conditionalFormatting sqref="B4">
    <cfRule type="expression" dxfId="32" priority="4">
      <formula>AND(B6&gt;1,B4&gt;1)</formula>
    </cfRule>
  </conditionalFormatting>
  <conditionalFormatting sqref="B6">
    <cfRule type="expression" dxfId="31" priority="3">
      <formula>AND(B6&gt;1,B4&gt;1)</formula>
    </cfRule>
  </conditionalFormatting>
  <conditionalFormatting sqref="B5">
    <cfRule type="expression" dxfId="30" priority="2">
      <formula>AND(B5&gt;1,B7&gt;1)</formula>
    </cfRule>
  </conditionalFormatting>
  <conditionalFormatting sqref="B7">
    <cfRule type="expression" dxfId="29" priority="1">
      <formula>AND(B5&gt;1,B7&gt;1)</formula>
    </cfRule>
  </conditionalFormatting>
  <dataValidations count="8">
    <dataValidation type="list" allowBlank="1" showInputMessage="1" showErrorMessage="1" errorTitle="参数输入错误" error="可输入的值为1,2,4" sqref="B4:B7">
      <formula1>"1,2,4"</formula1>
    </dataValidation>
    <dataValidation type="list" allowBlank="1" showInputMessage="1" showErrorMessage="1" errorTitle="Input parameter error" error="Input 8 or 12" sqref="B9">
      <formula1>"8,12"</formula1>
    </dataValidation>
    <dataValidation type="custom" allowBlank="1" showInputMessage="1" showErrorMessage="1" errorTitle="Input parameter error" error="Input range from 64 to 5120,and is an integer multiple of 8" sqref="B2">
      <formula1>AND(MOD(B2,8)=0,B2&gt;=64,B2&lt;=5120/B4)</formula1>
    </dataValidation>
    <dataValidation type="custom" allowBlank="1" showInputMessage="1" showErrorMessage="1" errorTitle="Input parameter error" error="Input range from 64 to 5120,and is an integer multiple of 2" sqref="B3">
      <formula1>AND(MOD(B3,2)=0,B3&gt;=64,B3&lt;=5120/B5)</formula1>
    </dataValidation>
    <dataValidation type="whole" allowBlank="1" showInputMessage="1" showErrorMessage="1" errorTitle="Input parameter error" error="Input range from 10 to 1000000" sqref="B8">
      <formula1>10</formula1>
      <formula2>1000000</formula2>
    </dataValidation>
    <dataValidation type="custom" allowBlank="1" showInputMessage="1" showErrorMessage="1" errorTitle="Input parameter error" error="8bit mode range from 35000000 to 400000000,step 1000000;_x000a_12bit mode range from 70000000 to 400000000,step 1000000" sqref="B10">
      <formula1>OR(AND(B9=8,B10&gt;=35000000,B10&lt;=400000000,MOD(B10,1000000)=0),AND(B9=12,B10&gt;=70000000,B10&lt;=400000000,MOD(B10,1000000)=0))</formula1>
    </dataValidation>
    <dataValidation type="list" allowBlank="1" showInputMessage="1" showErrorMessage="1" errorTitle="Input parameter error" error="Input off or on" sqref="B12">
      <formula1>"on,off"</formula1>
    </dataValidation>
    <dataValidation type="custom" allowBlank="1" showInputMessage="1" showErrorMessage="1" errorTitle="Input parameter error" error="Input range from 0.1 to 10000,step 0.1" sqref="B13">
      <formula1>AND(MOD(10*B13,1)=0,B13&gt;=0.1,B13&lt;=10000)</formula1>
    </dataValidation>
  </dataValidation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3"/>
  </sheetPr>
  <dimension ref="A1:D24"/>
  <sheetViews>
    <sheetView workbookViewId="0">
      <selection activeCell="C23" sqref="C23"/>
    </sheetView>
  </sheetViews>
  <sheetFormatPr defaultRowHeight="13.5"/>
  <cols>
    <col min="2" max="2" width="9.5" bestFit="1" customWidth="1"/>
    <col min="3" max="3" width="70.25" customWidth="1"/>
  </cols>
  <sheetData>
    <row r="1" spans="1:4">
      <c r="A1" s="32" t="s">
        <v>26</v>
      </c>
      <c r="B1" s="32"/>
      <c r="C1" s="32"/>
    </row>
    <row r="2" spans="1:4">
      <c r="A2" s="31" t="s">
        <v>27</v>
      </c>
      <c r="B2" s="31" t="s">
        <v>28</v>
      </c>
      <c r="C2" s="31" t="s">
        <v>29</v>
      </c>
    </row>
    <row r="3" spans="1:4" ht="16.5" customHeight="1">
      <c r="A3" s="2" t="s">
        <v>46</v>
      </c>
      <c r="B3" s="2">
        <v>20190611</v>
      </c>
      <c r="C3" s="2" t="s">
        <v>33</v>
      </c>
      <c r="D3" t="s">
        <v>23</v>
      </c>
    </row>
    <row r="4" spans="1:4">
      <c r="A4" s="2" t="s">
        <v>47</v>
      </c>
      <c r="B4" s="2">
        <v>20190717</v>
      </c>
      <c r="C4" s="2" t="s">
        <v>104</v>
      </c>
    </row>
    <row r="5" spans="1:4">
      <c r="A5" s="2" t="s">
        <v>48</v>
      </c>
      <c r="B5" s="2">
        <v>20190724</v>
      </c>
      <c r="C5" s="2" t="s">
        <v>104</v>
      </c>
    </row>
    <row r="6" spans="1:4">
      <c r="A6" s="2" t="s">
        <v>79</v>
      </c>
      <c r="B6" s="2">
        <v>20190725</v>
      </c>
      <c r="C6" s="2" t="s">
        <v>80</v>
      </c>
    </row>
    <row r="7" spans="1:4">
      <c r="A7" s="2" t="s">
        <v>81</v>
      </c>
      <c r="B7" s="2">
        <v>20190730</v>
      </c>
      <c r="C7" s="2" t="s">
        <v>82</v>
      </c>
    </row>
    <row r="8" spans="1:4">
      <c r="A8" s="2" t="s">
        <v>95</v>
      </c>
      <c r="B8" s="2">
        <v>20190807</v>
      </c>
      <c r="C8" s="2" t="s">
        <v>96</v>
      </c>
    </row>
    <row r="9" spans="1:4">
      <c r="A9" s="2" t="s">
        <v>97</v>
      </c>
      <c r="B9" s="2">
        <v>20190821</v>
      </c>
      <c r="C9" s="2" t="s">
        <v>98</v>
      </c>
    </row>
    <row r="10" spans="1:4">
      <c r="A10" s="2" t="s">
        <v>99</v>
      </c>
      <c r="B10" s="2">
        <v>20190923</v>
      </c>
      <c r="C10" s="2" t="s">
        <v>100</v>
      </c>
    </row>
    <row r="11" spans="1:4">
      <c r="A11" s="2" t="s">
        <v>101</v>
      </c>
      <c r="B11" s="2">
        <v>20191009</v>
      </c>
      <c r="C11" s="2" t="s">
        <v>102</v>
      </c>
    </row>
    <row r="12" spans="1:4">
      <c r="A12" s="2" t="s">
        <v>103</v>
      </c>
      <c r="B12" s="2">
        <v>20191012</v>
      </c>
      <c r="C12" s="2" t="s">
        <v>105</v>
      </c>
    </row>
    <row r="13" spans="1:4">
      <c r="A13" s="2" t="s">
        <v>133</v>
      </c>
      <c r="B13" s="2">
        <v>20191022</v>
      </c>
      <c r="C13" s="2" t="s">
        <v>134</v>
      </c>
    </row>
    <row r="14" spans="1:4">
      <c r="A14" s="2" t="s">
        <v>135</v>
      </c>
      <c r="B14" s="2">
        <v>20191028</v>
      </c>
      <c r="C14" s="2" t="s">
        <v>136</v>
      </c>
    </row>
    <row r="15" spans="1:4">
      <c r="A15" s="2" t="s">
        <v>137</v>
      </c>
      <c r="B15" s="2">
        <v>20191107</v>
      </c>
      <c r="C15" s="2" t="s">
        <v>138</v>
      </c>
    </row>
    <row r="16" spans="1:4">
      <c r="A16" s="2" t="s">
        <v>139</v>
      </c>
      <c r="B16" s="2">
        <v>20200210</v>
      </c>
      <c r="C16" s="2" t="s">
        <v>140</v>
      </c>
    </row>
    <row r="17" spans="1:3">
      <c r="A17" s="2" t="s">
        <v>174</v>
      </c>
      <c r="B17" s="2">
        <v>20200318</v>
      </c>
      <c r="C17" s="2" t="s">
        <v>173</v>
      </c>
    </row>
    <row r="18" spans="1:3">
      <c r="A18" s="2" t="s">
        <v>178</v>
      </c>
      <c r="B18" s="2">
        <v>20200320</v>
      </c>
      <c r="C18" s="2" t="s">
        <v>179</v>
      </c>
    </row>
    <row r="19" spans="1:3">
      <c r="A19" s="2" t="s">
        <v>180</v>
      </c>
      <c r="B19" s="2">
        <v>20200326</v>
      </c>
      <c r="C19" s="2" t="s">
        <v>179</v>
      </c>
    </row>
    <row r="20" spans="1:3">
      <c r="A20" s="2" t="s">
        <v>181</v>
      </c>
      <c r="B20" s="2">
        <v>20200414</v>
      </c>
      <c r="C20" s="2" t="s">
        <v>179</v>
      </c>
    </row>
    <row r="21" spans="1:3">
      <c r="A21" s="2" t="s">
        <v>189</v>
      </c>
      <c r="B21" s="2">
        <v>20200527</v>
      </c>
      <c r="C21" s="2" t="s">
        <v>188</v>
      </c>
    </row>
    <row r="22" spans="1:3">
      <c r="A22" s="2" t="s">
        <v>190</v>
      </c>
      <c r="B22" s="2">
        <v>20200528</v>
      </c>
      <c r="C22" s="2" t="s">
        <v>188</v>
      </c>
    </row>
    <row r="23" spans="1:3">
      <c r="A23" s="2" t="s">
        <v>192</v>
      </c>
      <c r="B23" s="2">
        <v>20200529</v>
      </c>
      <c r="C23" s="2" t="s">
        <v>193</v>
      </c>
    </row>
    <row r="24" spans="1:3">
      <c r="C24" t="s">
        <v>196</v>
      </c>
    </row>
  </sheetData>
  <mergeCells count="1">
    <mergeCell ref="A1:C1"/>
  </mergeCells>
  <phoneticPr fontId="8" type="noConversion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3"/>
  </sheetPr>
  <dimension ref="A1:B18"/>
  <sheetViews>
    <sheetView workbookViewId="0">
      <selection activeCell="B34" sqref="B34"/>
    </sheetView>
  </sheetViews>
  <sheetFormatPr defaultRowHeight="13.5"/>
  <cols>
    <col min="1" max="1" width="36.875" customWidth="1"/>
    <col min="2" max="2" width="30.75" customWidth="1"/>
  </cols>
  <sheetData>
    <row r="1" spans="1:2" ht="15.75">
      <c r="A1" s="33" t="s">
        <v>78</v>
      </c>
      <c r="B1" s="34"/>
    </row>
    <row r="2" spans="1:2" ht="15.75">
      <c r="A2" s="3" t="s">
        <v>0</v>
      </c>
      <c r="B2" s="5">
        <v>720</v>
      </c>
    </row>
    <row r="3" spans="1:2" ht="15.75">
      <c r="A3" s="3" t="s">
        <v>72</v>
      </c>
      <c r="B3" s="5">
        <v>540</v>
      </c>
    </row>
    <row r="4" spans="1:2" ht="15.75">
      <c r="A4" s="3" t="s">
        <v>1</v>
      </c>
      <c r="B4" s="5">
        <v>10000</v>
      </c>
    </row>
    <row r="5" spans="1:2" ht="15.75">
      <c r="A5" s="3" t="s">
        <v>2</v>
      </c>
      <c r="B5" s="5">
        <v>8</v>
      </c>
    </row>
    <row r="6" spans="1:2" ht="15.75">
      <c r="A6" s="3" t="s">
        <v>3</v>
      </c>
      <c r="B6" s="5">
        <v>300000000</v>
      </c>
    </row>
    <row r="7" spans="1:2" ht="15.75">
      <c r="A7" s="3" t="s">
        <v>4</v>
      </c>
      <c r="B7" s="5">
        <v>380000000</v>
      </c>
    </row>
    <row r="8" spans="1:2" ht="15.75" hidden="1">
      <c r="A8" s="3"/>
      <c r="B8" s="5"/>
    </row>
    <row r="9" spans="1:2" ht="15.75" hidden="1">
      <c r="A9" s="3" t="s">
        <v>5</v>
      </c>
      <c r="B9" s="5">
        <f>MAX(INT((B4-14.26)/B12),1)</f>
        <v>2547</v>
      </c>
    </row>
    <row r="10" spans="1:2" ht="15.75" hidden="1">
      <c r="A10" s="3" t="s">
        <v>6</v>
      </c>
      <c r="B10" s="5" t="str">
        <f>IF((B5&lt;=8),"1","2")</f>
        <v>1</v>
      </c>
    </row>
    <row r="11" spans="1:2" ht="15.75" hidden="1">
      <c r="A11" s="3" t="s">
        <v>66</v>
      </c>
      <c r="B11" s="5">
        <f>B2*B3*B10+84</f>
        <v>388884</v>
      </c>
    </row>
    <row r="12" spans="1:2" ht="15.75" hidden="1">
      <c r="A12" s="3" t="s">
        <v>64</v>
      </c>
      <c r="B12" s="5">
        <f>147/37.5</f>
        <v>3.92</v>
      </c>
    </row>
    <row r="13" spans="1:2" ht="15.75" hidden="1">
      <c r="A13" s="3" t="s">
        <v>7</v>
      </c>
      <c r="B13" s="5">
        <f>(B3+42)*B12</f>
        <v>2281.44</v>
      </c>
    </row>
    <row r="14" spans="1:2" ht="15.75">
      <c r="A14" s="3" t="s">
        <v>8</v>
      </c>
      <c r="B14" s="5" t="s">
        <v>9</v>
      </c>
    </row>
    <row r="15" spans="1:2" ht="15.75">
      <c r="A15" s="3" t="s">
        <v>10</v>
      </c>
      <c r="B15" s="5">
        <v>436</v>
      </c>
    </row>
    <row r="16" spans="1:2" ht="15.75" hidden="1">
      <c r="A16" s="3" t="s">
        <v>61</v>
      </c>
      <c r="B16" s="6">
        <f>MAX(B11*1000000/B7,B11*1000000/B6,(B9+18)*B12,B13,B12*IF(B14="off",0,1)*INT(1000*1000/(B12*B15)))</f>
        <v>10054.799999999999</v>
      </c>
    </row>
    <row r="17" spans="1:2" ht="15.75">
      <c r="A17" s="35" t="s">
        <v>58</v>
      </c>
      <c r="B17" s="36"/>
    </row>
    <row r="18" spans="1:2" ht="27">
      <c r="A18" s="7" t="s">
        <v>57</v>
      </c>
      <c r="B18" s="8">
        <f>1000000/B16</f>
        <v>99.454986673031797</v>
      </c>
    </row>
  </sheetData>
  <sheetProtection algorithmName="SHA-512" hashValue="eEAHHYYangDUV3n2mZUOIBCFQWWAjQgr4vw3KpnpEHBumdlagrNxjHOnD6n/SPoslb1+33fApMUKliyOCvQ5iw==" saltValue="esllvDQ0P3iF2u1JZvDpeg==" spinCount="100000" sheet="1" objects="1" scenarios="1"/>
  <mergeCells count="2">
    <mergeCell ref="A1:B1"/>
    <mergeCell ref="A17:B17"/>
  </mergeCells>
  <phoneticPr fontId="8" type="noConversion"/>
  <dataValidations count="7">
    <dataValidation type="custom" allowBlank="1" showInputMessage="1" showErrorMessage="1" errorTitle="Input parameter error" error="Input range from 64 to 720_x000a_,and is an integer multiple of 8" sqref="B2">
      <formula1>AND(MOD(B2,8)=0,B2&gt;=64,B2&lt;=720)</formula1>
    </dataValidation>
    <dataValidation type="custom" allowBlank="1" showInputMessage="1" showErrorMessage="1" errorTitle="Input parameter error" error="Input range from 64 to 540,and is an integer multiple of 2" sqref="B3">
      <formula1>AND(MOD(B3,2)=0,B3&gt;=64,B3&lt;=540)</formula1>
    </dataValidation>
    <dataValidation type="whole" allowBlank="1" showInputMessage="1" showErrorMessage="1" errorTitle="Input parameter error" error="Input range from 20 to 1000000" sqref="B4">
      <formula1>20</formula1>
      <formula2>1000000</formula2>
    </dataValidation>
    <dataValidation type="custom" allowBlank="1" showInputMessage="1" showErrorMessage="1" errorTitle="Input parameter error" error="8bit mode range from 35000000 to 400000000,step 1000000;_x000a_10bit mode range from 70000000 to 400000000,step 1000000" sqref="B6">
      <formula1>OR(AND(B5=8,B6&gt;=35000000,B6&lt;=400000000,MOD(B6,1000000)=0),AND(B5=10,B6&gt;=70000000,B6&lt;=400000000,MOD(B6,1000000)=0))</formula1>
    </dataValidation>
    <dataValidation type="list" allowBlank="1" showDropDown="1" showInputMessage="1" showErrorMessage="1" errorTitle="Input parameter error" error="Input 8 or 10" sqref="B5">
      <formula1>"8,10"</formula1>
    </dataValidation>
    <dataValidation type="list" allowBlank="1" showInputMessage="1" showErrorMessage="1" errorTitle="Input parameter error" error="Input off or on" sqref="B14">
      <formula1>"off,on"</formula1>
    </dataValidation>
    <dataValidation type="custom" allowBlank="1" showInputMessage="1" showErrorMessage="1" errorTitle="Input parameter error" error="Input range from 0.1 to 10000,step 0.1" sqref="B15">
      <formula1>AND(MOD(10*B15,1)=0,B15&gt;=0.1,B15&lt;=10000)</formula1>
    </dataValidation>
  </dataValidation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3"/>
  </sheetPr>
  <dimension ref="A1:B18"/>
  <sheetViews>
    <sheetView workbookViewId="0">
      <selection activeCell="B2" sqref="B2"/>
    </sheetView>
  </sheetViews>
  <sheetFormatPr defaultRowHeight="13.5"/>
  <cols>
    <col min="1" max="1" width="39.875" customWidth="1"/>
    <col min="2" max="2" width="16.5" customWidth="1"/>
  </cols>
  <sheetData>
    <row r="1" spans="1:2" ht="15.75">
      <c r="A1" s="33" t="s">
        <v>78</v>
      </c>
      <c r="B1" s="34"/>
    </row>
    <row r="2" spans="1:2" ht="15.75">
      <c r="A2" s="3" t="s">
        <v>0</v>
      </c>
      <c r="B2" s="5">
        <v>1440</v>
      </c>
    </row>
    <row r="3" spans="1:2" ht="15.75">
      <c r="A3" s="3" t="s">
        <v>72</v>
      </c>
      <c r="B3" s="5">
        <v>1080</v>
      </c>
    </row>
    <row r="4" spans="1:2" ht="15.75">
      <c r="A4" s="3" t="s">
        <v>1</v>
      </c>
      <c r="B4" s="5">
        <v>10000</v>
      </c>
    </row>
    <row r="5" spans="1:2" ht="15.75">
      <c r="A5" s="3" t="s">
        <v>2</v>
      </c>
      <c r="B5" s="5">
        <v>8</v>
      </c>
    </row>
    <row r="6" spans="1:2" ht="15.75">
      <c r="A6" s="3" t="s">
        <v>3</v>
      </c>
      <c r="B6" s="5">
        <v>300000000</v>
      </c>
    </row>
    <row r="7" spans="1:2" ht="15.75">
      <c r="A7" s="3" t="s">
        <v>4</v>
      </c>
      <c r="B7" s="5">
        <v>380000000</v>
      </c>
    </row>
    <row r="8" spans="1:2" ht="15.75" hidden="1">
      <c r="A8" s="3"/>
      <c r="B8" s="5"/>
    </row>
    <row r="9" spans="1:2" ht="15.75" hidden="1">
      <c r="A9" s="3" t="s">
        <v>5</v>
      </c>
      <c r="B9" s="5">
        <f>MAX(INT((B4-14.26)/B12),1)</f>
        <v>2547</v>
      </c>
    </row>
    <row r="10" spans="1:2" ht="15.75" hidden="1">
      <c r="A10" s="3" t="s">
        <v>6</v>
      </c>
      <c r="B10" s="5" t="str">
        <f>IF((B5&lt;=8),"1","2")</f>
        <v>1</v>
      </c>
    </row>
    <row r="11" spans="1:2" ht="15.75" hidden="1">
      <c r="A11" s="3" t="s">
        <v>66</v>
      </c>
      <c r="B11" s="5">
        <f>B2*B3*B10+84</f>
        <v>1555284</v>
      </c>
    </row>
    <row r="12" spans="1:2" ht="15.75" hidden="1">
      <c r="A12" s="3" t="s">
        <v>64</v>
      </c>
      <c r="B12" s="5">
        <f>IF(B5=8,147/37.5,294/37.5)</f>
        <v>3.92</v>
      </c>
    </row>
    <row r="13" spans="1:2" ht="15.75" hidden="1">
      <c r="A13" s="3" t="s">
        <v>7</v>
      </c>
      <c r="B13" s="5">
        <f>(B3+42)*B12</f>
        <v>4398.24</v>
      </c>
    </row>
    <row r="14" spans="1:2" ht="15.75">
      <c r="A14" s="3" t="s">
        <v>8</v>
      </c>
      <c r="B14" s="5" t="s">
        <v>9</v>
      </c>
    </row>
    <row r="15" spans="1:2" ht="15.75">
      <c r="A15" s="3" t="s">
        <v>10</v>
      </c>
      <c r="B15" s="5">
        <v>227</v>
      </c>
    </row>
    <row r="16" spans="1:2" ht="15.75" hidden="1">
      <c r="A16" s="3" t="s">
        <v>61</v>
      </c>
      <c r="B16" s="6">
        <f>MAX(B11*1000000/B7,B11*1000000/B6,(B9+18)*B12,B13,B12*IF(B14="off",0,1)*INT(1000*1000/(B12*B15)))</f>
        <v>10054.799999999999</v>
      </c>
    </row>
    <row r="17" spans="1:2" ht="15.75">
      <c r="A17" s="35" t="s">
        <v>58</v>
      </c>
      <c r="B17" s="36"/>
    </row>
    <row r="18" spans="1:2" ht="27">
      <c r="A18" s="7" t="s">
        <v>57</v>
      </c>
      <c r="B18" s="8">
        <f>1000000/B16</f>
        <v>99.454986673031797</v>
      </c>
    </row>
  </sheetData>
  <sheetProtection algorithmName="SHA-512" hashValue="YYNfulbGp8/+0pjM/lZYoe3bi5g2f8NMTPZAT8COkD5uWYVCO3UXnuYhJZk4bQPupKFXaN4xm9fu0rIGddS/NA==" saltValue="v9XMvLV6mljusG8fmvHRCg==" spinCount="100000" sheet="1" objects="1" scenarios="1"/>
  <mergeCells count="2">
    <mergeCell ref="A1:B1"/>
    <mergeCell ref="A17:B17"/>
  </mergeCells>
  <phoneticPr fontId="8" type="noConversion"/>
  <dataValidations count="7">
    <dataValidation type="custom" allowBlank="1" showInputMessage="1" showErrorMessage="1" errorTitle="Input parameter error" error="Input range from 0.1 to 10000,step 0.1" sqref="B15">
      <formula1>AND(MOD(10*B15,1)=0,B15&gt;=0.1,B15&lt;=10000)</formula1>
    </dataValidation>
    <dataValidation type="list" allowBlank="1" showInputMessage="1" showErrorMessage="1" errorTitle="Input parameter error" error="Input off or on" sqref="B14">
      <formula1>"off,on"</formula1>
    </dataValidation>
    <dataValidation type="list" allowBlank="1" showInputMessage="1" showErrorMessage="1" errorTitle="Input parameter error" error="Input 8 or 10" sqref="B5">
      <formula1>"8,10"</formula1>
    </dataValidation>
    <dataValidation type="custom" allowBlank="1" showInputMessage="1" showErrorMessage="1" errorTitle="Input parameter error" error="8bit mode range from 35000000 to 400000000,step 1000000;_x000a_10bit mode range from 70000000 to 400000000,step 1000000" sqref="B6">
      <formula1>OR(AND(B5=8,B6&gt;=35000000,B6&lt;=400000000,MOD(B6,1000000)=0),AND(B5=10,B6&gt;=70000000,B6&lt;=400000000,MOD(B6,1000000)=0))</formula1>
    </dataValidation>
    <dataValidation type="whole" allowBlank="1" showInputMessage="1" showErrorMessage="1" errorTitle="Input parameter error" error="Input range from 20 to 1000000" sqref="B4">
      <formula1>20</formula1>
      <formula2>1000000</formula2>
    </dataValidation>
    <dataValidation type="custom" allowBlank="1" showInputMessage="1" showErrorMessage="1" errorTitle="Input parameter error" error="Input range from 64 to 1080,and is an integer multiple of 2" sqref="B3">
      <formula1>AND(MOD(B3,2)=0,B3&gt;=64,B3&lt;=1080)</formula1>
    </dataValidation>
    <dataValidation type="custom" allowBlank="1" showInputMessage="1" showErrorMessage="1" errorTitle="Input parameter error" error="Input range from 64 to 1440_x000a_,and is an integer multiple of 8" sqref="B2">
      <formula1>AND(MOD(B2,8)=0,B2&gt;=64,B2&lt;=1440)</formula1>
    </dataValidation>
  </dataValidation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3"/>
  </sheetPr>
  <dimension ref="A1:B33"/>
  <sheetViews>
    <sheetView workbookViewId="0">
      <selection activeCell="C36" sqref="C36"/>
    </sheetView>
  </sheetViews>
  <sheetFormatPr defaultRowHeight="13.5"/>
  <cols>
    <col min="1" max="1" width="39.25" customWidth="1"/>
    <col min="2" max="2" width="28.875" customWidth="1"/>
  </cols>
  <sheetData>
    <row r="1" spans="1:2" ht="15.75">
      <c r="A1" s="33" t="s">
        <v>197</v>
      </c>
      <c r="B1" s="34"/>
    </row>
    <row r="2" spans="1:2" ht="15.75">
      <c r="A2" s="4" t="s">
        <v>0</v>
      </c>
      <c r="B2" s="11">
        <v>1440</v>
      </c>
    </row>
    <row r="3" spans="1:2" ht="15.75">
      <c r="A3" s="4" t="s">
        <v>198</v>
      </c>
      <c r="B3" s="11">
        <v>1080</v>
      </c>
    </row>
    <row r="4" spans="1:2" ht="15.75">
      <c r="A4" s="4" t="s">
        <v>199</v>
      </c>
      <c r="B4" s="5">
        <v>10000</v>
      </c>
    </row>
    <row r="5" spans="1:2" ht="15.75">
      <c r="A5" s="4" t="s">
        <v>200</v>
      </c>
      <c r="B5" s="5">
        <v>8</v>
      </c>
    </row>
    <row r="6" spans="1:2" ht="15.75">
      <c r="A6" s="4" t="s">
        <v>3</v>
      </c>
      <c r="B6" s="5">
        <v>200000000</v>
      </c>
    </row>
    <row r="7" spans="1:2" ht="15.75">
      <c r="A7" s="4" t="s">
        <v>201</v>
      </c>
      <c r="B7" s="5">
        <v>380000000</v>
      </c>
    </row>
    <row r="8" spans="1:2" ht="15.75" hidden="1">
      <c r="A8" s="4" t="s">
        <v>5</v>
      </c>
      <c r="B8" s="5">
        <f>MAX(ROUNDUP((B4*1000-14260)/B11,0),1)</f>
        <v>679</v>
      </c>
    </row>
    <row r="9" spans="1:2" ht="15.75" hidden="1">
      <c r="A9" s="4" t="s">
        <v>6</v>
      </c>
      <c r="B9" s="5" t="str">
        <f>IF((B5&lt;=8),"1","2")</f>
        <v>1</v>
      </c>
    </row>
    <row r="10" spans="1:2" ht="15.75" hidden="1">
      <c r="A10" s="4" t="s">
        <v>202</v>
      </c>
      <c r="B10" s="5">
        <f>B2*B3*B9+84</f>
        <v>1555284</v>
      </c>
    </row>
    <row r="11" spans="1:2" ht="15.75" hidden="1">
      <c r="A11" s="4" t="s">
        <v>203</v>
      </c>
      <c r="B11" s="5">
        <f>MIN((IF(B33&lt;552,552,IF(B33&gt;1656,1656,B33))),B32)*1000000*B9/37500</f>
        <v>14720</v>
      </c>
    </row>
    <row r="12" spans="1:2" ht="15.75" hidden="1">
      <c r="A12" s="4" t="s">
        <v>7</v>
      </c>
      <c r="B12" s="5">
        <f>(B3+30)*B11</f>
        <v>16339200</v>
      </c>
    </row>
    <row r="13" spans="1:2" ht="15.75">
      <c r="A13" s="4" t="s">
        <v>8</v>
      </c>
      <c r="B13" s="5" t="s">
        <v>9</v>
      </c>
    </row>
    <row r="14" spans="1:2" ht="15.75">
      <c r="A14" s="4" t="s">
        <v>10</v>
      </c>
      <c r="B14" s="5">
        <v>61.3</v>
      </c>
    </row>
    <row r="15" spans="1:2" ht="15.75" hidden="1">
      <c r="A15" s="3" t="s">
        <v>204</v>
      </c>
      <c r="B15" s="6">
        <f>MAX(ROUNDUP((MAX((B10*1000000/B6),B10*1000000/B7)*1000)/B11,0)*B11,(B8+8)*B11,B12,B11*(IF(B13="off",0,1))*ROUNDUP(1000000000/(B11*B14),0))</f>
        <v>16339200</v>
      </c>
    </row>
    <row r="16" spans="1:2" ht="15.75">
      <c r="A16" s="35" t="s">
        <v>205</v>
      </c>
      <c r="B16" s="36"/>
    </row>
    <row r="17" spans="1:2" ht="27">
      <c r="A17" s="7" t="s">
        <v>206</v>
      </c>
      <c r="B17" s="8">
        <f>1000000000/B15</f>
        <v>61.20250685468077</v>
      </c>
    </row>
    <row r="30" spans="1:2" hidden="1">
      <c r="A30" s="29" t="s">
        <v>207</v>
      </c>
      <c r="B30" s="30">
        <f>ROUNDUP((MAX((B10*1000000/B6),B10*1000000/B7)*1000),0)</f>
        <v>7776420</v>
      </c>
    </row>
    <row r="31" spans="1:2" hidden="1">
      <c r="A31" s="29" t="s">
        <v>208</v>
      </c>
      <c r="B31" s="29">
        <f>ROUNDUP((1000000000/B14)*(IF(B13="off",0,1)),0)</f>
        <v>0</v>
      </c>
    </row>
    <row r="32" spans="1:2" hidden="1">
      <c r="A32" s="29" t="s">
        <v>209</v>
      </c>
      <c r="B32" s="29">
        <f>IF(ROUNDUP(((B4*1000-14260)*37500/1000000),0)&lt;552,552,ROUNDUP(((B4*1000-14260)*37500/1000000),0))</f>
        <v>374466</v>
      </c>
    </row>
    <row r="33" spans="1:2" hidden="1">
      <c r="A33" s="29" t="s">
        <v>210</v>
      </c>
      <c r="B33" s="29">
        <f>ROUNDUP(MAX(B30,B31)*37500/((B3+30)*1000000),0)</f>
        <v>263</v>
      </c>
    </row>
  </sheetData>
  <sheetProtection algorithmName="SHA-512" hashValue="judEQw1NcMPTcSfXfB7Vtw7mfODMNoqHfmF4hpD+W6FyGZiqtyWvT1+OhsBY1oMXyjWdVyKyoG2m8gzuxRejoA==" saltValue="hoKv2HpZ4SwetQPvZL6yCQ==" spinCount="100000" sheet="1" objects="1" scenarios="1"/>
  <mergeCells count="2">
    <mergeCell ref="A1:B1"/>
    <mergeCell ref="A16:B16"/>
  </mergeCells>
  <phoneticPr fontId="8" type="noConversion"/>
  <dataValidations count="7">
    <dataValidation type="custom" allowBlank="1" showInputMessage="1" showErrorMessage="1" errorTitle="Input parameter error" error="Input range from 0.1 to 10000,step 0.1" sqref="B14">
      <formula1>AND(MOD(10*B14,1)=0,B14&gt;=0.1,B14&lt;=10000)</formula1>
    </dataValidation>
    <dataValidation type="list" allowBlank="1" showInputMessage="1" showErrorMessage="1" errorTitle="Input parameter error" error="Input on or off" sqref="B13">
      <formula1>"on,off"</formula1>
    </dataValidation>
    <dataValidation type="custom" allowBlank="1" showInputMessage="1" showErrorMessage="1" errorTitle="Input parameter error" error="8bit mode range from 35000000 to 200000000,step 1000000;_x000a_10bit mode range from 70000000 to 200000000,step 1000000" sqref="B6">
      <formula1>OR(AND(B5=8,B6&gt;=35000000,B6&lt;=200000000,MOD(B6,1000000)=0),AND(B5=10,B6&gt;=70000000,B6&lt;=200000000,MOD(B6,1000000)=0))</formula1>
    </dataValidation>
    <dataValidation type="whole" allowBlank="1" showInputMessage="1" showErrorMessage="1" errorTitle="Input parameter error" error="Input range is 20-1000000" sqref="B4">
      <formula1>20</formula1>
      <formula2>1000000</formula2>
    </dataValidation>
    <dataValidation type="list" allowBlank="1" showInputMessage="1" showErrorMessage="1" errorTitle="Input parameter error" error="Input 8 or 10" sqref="B5">
      <formula1>"8,10"</formula1>
    </dataValidation>
    <dataValidation type="custom" allowBlank="1" showInputMessage="1" showErrorMessage="1" errorTitle="Input parameter error" error="Input parameter error,Input range from 64 to 1080,and is an integer multiple of 2" sqref="B3">
      <formula1>AND(MOD(B3,2)=0,B3&gt;=64,B3&lt;=1080)</formula1>
    </dataValidation>
    <dataValidation type="custom" allowBlank="1" showInputMessage="1" showErrorMessage="1" errorTitle="Input parameter error" error="Input parameter error,Input range from 64 to 1440,and is an integer multiple of 4" sqref="B2">
      <formula1>AND(MOD(B2,4)=0,B2&gt;=64,B2&lt;=1440)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selection activeCell="B34" sqref="B34"/>
    </sheetView>
  </sheetViews>
  <sheetFormatPr defaultRowHeight="13.5"/>
  <cols>
    <col min="1" max="1" width="36.875" customWidth="1"/>
    <col min="2" max="2" width="30.75" customWidth="1"/>
  </cols>
  <sheetData>
    <row r="1" spans="1:2" ht="15.75">
      <c r="A1" s="33" t="s">
        <v>78</v>
      </c>
      <c r="B1" s="34"/>
    </row>
    <row r="2" spans="1:2" ht="15.75">
      <c r="A2" s="3" t="s">
        <v>0</v>
      </c>
      <c r="B2" s="5">
        <v>720</v>
      </c>
    </row>
    <row r="3" spans="1:2" ht="15.75">
      <c r="A3" s="3" t="s">
        <v>72</v>
      </c>
      <c r="B3" s="5">
        <v>540</v>
      </c>
    </row>
    <row r="4" spans="1:2" ht="15.75">
      <c r="A4" s="3" t="s">
        <v>1</v>
      </c>
      <c r="B4" s="5">
        <v>10000</v>
      </c>
    </row>
    <row r="5" spans="1:2" ht="15.75">
      <c r="A5" s="3" t="s">
        <v>2</v>
      </c>
      <c r="B5" s="5">
        <v>8</v>
      </c>
    </row>
    <row r="6" spans="1:2" ht="15.75">
      <c r="A6" s="3" t="s">
        <v>3</v>
      </c>
      <c r="B6" s="5">
        <v>300000000</v>
      </c>
    </row>
    <row r="7" spans="1:2" ht="15.75">
      <c r="A7" s="3" t="s">
        <v>4</v>
      </c>
      <c r="B7" s="5">
        <v>380000000</v>
      </c>
    </row>
    <row r="8" spans="1:2" ht="15.75" hidden="1">
      <c r="A8" s="3"/>
      <c r="B8" s="5"/>
    </row>
    <row r="9" spans="1:2" ht="15.75" hidden="1">
      <c r="A9" s="3" t="s">
        <v>5</v>
      </c>
      <c r="B9" s="5">
        <f>MAX(INT((B4-14.26)/B12),1)</f>
        <v>2547</v>
      </c>
    </row>
    <row r="10" spans="1:2" ht="15.75" hidden="1">
      <c r="A10" s="3" t="s">
        <v>6</v>
      </c>
      <c r="B10" s="5" t="str">
        <f>IF((B5&lt;=8),"1","2")</f>
        <v>1</v>
      </c>
    </row>
    <row r="11" spans="1:2" ht="15.75" hidden="1">
      <c r="A11" s="3" t="s">
        <v>66</v>
      </c>
      <c r="B11" s="5">
        <f>B2*B3*B10+84</f>
        <v>388884</v>
      </c>
    </row>
    <row r="12" spans="1:2" ht="15.75" hidden="1">
      <c r="A12" s="3" t="s">
        <v>64</v>
      </c>
      <c r="B12" s="5">
        <f>147/37.5</f>
        <v>3.92</v>
      </c>
    </row>
    <row r="13" spans="1:2" ht="15.75" hidden="1">
      <c r="A13" s="3" t="s">
        <v>7</v>
      </c>
      <c r="B13" s="5">
        <f>(B3+42)*B12</f>
        <v>2281.44</v>
      </c>
    </row>
    <row r="14" spans="1:2" ht="15.75">
      <c r="A14" s="3" t="s">
        <v>8</v>
      </c>
      <c r="B14" s="5" t="s">
        <v>9</v>
      </c>
    </row>
    <row r="15" spans="1:2" ht="15.75">
      <c r="A15" s="3" t="s">
        <v>10</v>
      </c>
      <c r="B15" s="5">
        <v>436</v>
      </c>
    </row>
    <row r="16" spans="1:2" ht="15.75" hidden="1">
      <c r="A16" s="3" t="s">
        <v>61</v>
      </c>
      <c r="B16" s="6">
        <f>MAX(B11*1000000/B7,B11*1000000/B6,(B9+18)*B12,B13,B12*IF(B14="off",0,1)*INT(1000*1000/(B12*B15)))</f>
        <v>10054.799999999999</v>
      </c>
    </row>
    <row r="17" spans="1:2" ht="15.75">
      <c r="A17" s="35" t="s">
        <v>58</v>
      </c>
      <c r="B17" s="36"/>
    </row>
    <row r="18" spans="1:2" ht="27">
      <c r="A18" s="7" t="s">
        <v>57</v>
      </c>
      <c r="B18" s="8">
        <f>1000000/B16</f>
        <v>99.454986673031797</v>
      </c>
    </row>
  </sheetData>
  <sheetProtection algorithmName="SHA-512" hashValue="eEAHHYYangDUV3n2mZUOIBCFQWWAjQgr4vw3KpnpEHBumdlagrNxjHOnD6n/SPoslb1+33fApMUKliyOCvQ5iw==" saltValue="esllvDQ0P3iF2u1JZvDpeg==" spinCount="100000" sheet="1" objects="1" scenarios="1"/>
  <mergeCells count="2">
    <mergeCell ref="A1:B1"/>
    <mergeCell ref="A17:B17"/>
  </mergeCells>
  <phoneticPr fontId="8" type="noConversion"/>
  <dataValidations count="7">
    <dataValidation type="custom" allowBlank="1" showInputMessage="1" showErrorMessage="1" errorTitle="Input parameter error" error="Input range from 0.1 to 10000,step 0.1" sqref="B15">
      <formula1>AND(MOD(10*B15,1)=0,B15&gt;=0.1,B15&lt;=10000)</formula1>
    </dataValidation>
    <dataValidation type="list" allowBlank="1" showInputMessage="1" showErrorMessage="1" errorTitle="Input parameter error" error="Input off or on" sqref="B14">
      <formula1>"off,on"</formula1>
    </dataValidation>
    <dataValidation type="list" allowBlank="1" showDropDown="1" showInputMessage="1" showErrorMessage="1" errorTitle="Input parameter error" error="Input 8 or 10" sqref="B5">
      <formula1>"8,10"</formula1>
    </dataValidation>
    <dataValidation type="custom" allowBlank="1" showInputMessage="1" showErrorMessage="1" errorTitle="Input parameter error" error="8bit mode range from 35000000 to 400000000,step 1000000;_x000a_10bit mode range from 70000000 to 400000000,step 1000000" sqref="B6">
      <formula1>OR(AND(B5=8,B6&gt;=35000000,B6&lt;=400000000,MOD(B6,1000000)=0),AND(B5=10,B6&gt;=70000000,B6&lt;=400000000,MOD(B6,1000000)=0))</formula1>
    </dataValidation>
    <dataValidation type="whole" allowBlank="1" showInputMessage="1" showErrorMessage="1" errorTitle="Input parameter error" error="Input range from 20 to 1000000" sqref="B4">
      <formula1>20</formula1>
      <formula2>1000000</formula2>
    </dataValidation>
    <dataValidation type="custom" allowBlank="1" showInputMessage="1" showErrorMessage="1" errorTitle="Input parameter error" error="Input range from 64 to 540,and is an integer multiple of 2" sqref="B3">
      <formula1>AND(MOD(B3,2)=0,B3&gt;=64,B3&lt;=540)</formula1>
    </dataValidation>
    <dataValidation type="custom" allowBlank="1" showInputMessage="1" showErrorMessage="1" errorTitle="Input parameter error" error="Input range from 64 to 720_x000a_,and is an integer multiple of 8" sqref="B2">
      <formula1>AND(MOD(B2,8)=0,B2&gt;=64,B2&lt;=720)</formula1>
    </dataValidation>
  </dataValidations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3"/>
  </sheetPr>
  <dimension ref="A1:B18"/>
  <sheetViews>
    <sheetView workbookViewId="0">
      <selection activeCell="B2" sqref="B2"/>
    </sheetView>
  </sheetViews>
  <sheetFormatPr defaultColWidth="9" defaultRowHeight="13.5"/>
  <cols>
    <col min="1" max="1" width="35.5" style="28" customWidth="1"/>
    <col min="2" max="2" width="27.375" style="28" customWidth="1"/>
    <col min="3" max="16384" width="9" style="28"/>
  </cols>
  <sheetData>
    <row r="1" spans="1:2" ht="15.75">
      <c r="A1" s="33" t="s">
        <v>78</v>
      </c>
      <c r="B1" s="34"/>
    </row>
    <row r="2" spans="1:2" ht="15.75">
      <c r="A2" s="3" t="s">
        <v>0</v>
      </c>
      <c r="B2" s="5">
        <v>1920</v>
      </c>
    </row>
    <row r="3" spans="1:2" ht="15.75">
      <c r="A3" s="3" t="s">
        <v>72</v>
      </c>
      <c r="B3" s="5">
        <v>1200</v>
      </c>
    </row>
    <row r="4" spans="1:2" ht="15.75">
      <c r="A4" s="3" t="s">
        <v>1</v>
      </c>
      <c r="B4" s="5">
        <v>10000</v>
      </c>
    </row>
    <row r="5" spans="1:2" ht="15" customHeight="1">
      <c r="A5" s="3" t="s">
        <v>2</v>
      </c>
      <c r="B5" s="5">
        <v>8</v>
      </c>
    </row>
    <row r="6" spans="1:2" ht="15.75">
      <c r="A6" s="3" t="s">
        <v>3</v>
      </c>
      <c r="B6" s="5">
        <v>300000000</v>
      </c>
    </row>
    <row r="7" spans="1:2" ht="15.75">
      <c r="A7" s="3" t="s">
        <v>4</v>
      </c>
      <c r="B7" s="5">
        <v>380000000</v>
      </c>
    </row>
    <row r="8" spans="1:2" ht="15.75" hidden="1">
      <c r="A8" s="3"/>
      <c r="B8" s="5"/>
    </row>
    <row r="9" spans="1:2" ht="15.75" hidden="1">
      <c r="A9" s="3" t="s">
        <v>5</v>
      </c>
      <c r="B9" s="5">
        <f>MAX(INT((B4-13.73)/B12),1)</f>
        <v>2080</v>
      </c>
    </row>
    <row r="10" spans="1:2" ht="15.75" hidden="1">
      <c r="A10" s="3" t="s">
        <v>6</v>
      </c>
      <c r="B10" s="5" t="str">
        <f>IF((B5&lt;=8),"1","2")</f>
        <v>1</v>
      </c>
    </row>
    <row r="11" spans="1:2" ht="15.75" hidden="1">
      <c r="A11" s="3" t="s">
        <v>66</v>
      </c>
      <c r="B11" s="5">
        <f>B2*B3*B10+84</f>
        <v>2304084</v>
      </c>
    </row>
    <row r="12" spans="1:2" ht="15.75" hidden="1">
      <c r="A12" s="3" t="s">
        <v>64</v>
      </c>
      <c r="B12" s="5">
        <f>IF(B5=8,180/37.5,360/37.5)</f>
        <v>4.8</v>
      </c>
    </row>
    <row r="13" spans="1:2" ht="15.75" hidden="1">
      <c r="A13" s="3" t="s">
        <v>7</v>
      </c>
      <c r="B13" s="5">
        <f>(B3+38)*B12</f>
        <v>5942.4</v>
      </c>
    </row>
    <row r="14" spans="1:2" ht="15.75">
      <c r="A14" s="3" t="s">
        <v>8</v>
      </c>
      <c r="B14" s="5" t="s">
        <v>9</v>
      </c>
    </row>
    <row r="15" spans="1:2" ht="15.75">
      <c r="A15" s="3" t="s">
        <v>10</v>
      </c>
      <c r="B15" s="5">
        <v>168</v>
      </c>
    </row>
    <row r="16" spans="1:2" ht="15.75" hidden="1">
      <c r="A16" s="3" t="s">
        <v>61</v>
      </c>
      <c r="B16" s="6">
        <f>MAX(B11*1000000/B7,B11*1000000/B6,(B9+14)*B12,B13,B12*(IF(B14="off",0,1))*INT(1000*1000/(B12*B15)))</f>
        <v>10051.199999999999</v>
      </c>
    </row>
    <row r="17" spans="1:2" ht="15.75">
      <c r="A17" s="35" t="s">
        <v>58</v>
      </c>
      <c r="B17" s="36"/>
    </row>
    <row r="18" spans="1:2" ht="27">
      <c r="A18" s="7" t="s">
        <v>57</v>
      </c>
      <c r="B18" s="8">
        <f>1000000/B16</f>
        <v>99.490608086596637</v>
      </c>
    </row>
  </sheetData>
  <sheetProtection algorithmName="SHA-512" hashValue="iJ8QR6naPTRjlPuBNNDubivKanyffR/QMTpUdQ8sVwPxaQF0oHwlnuI4m+kytWX1wBLMuXcaFUaagFGsdIbkeA==" saltValue="avvPVgLuAPM6xHG7c4loNQ==" spinCount="100000" sheet="1" objects="1" scenarios="1"/>
  <dataConsolidate/>
  <mergeCells count="2">
    <mergeCell ref="A1:B1"/>
    <mergeCell ref="A17:B17"/>
  </mergeCells>
  <phoneticPr fontId="8" type="noConversion"/>
  <dataValidations count="7">
    <dataValidation type="custom" allowBlank="1" showInputMessage="1" showErrorMessage="1" errorTitle="Input parameter error" error="Input range from 0.1 to 10000,step 0.1" sqref="B15">
      <formula1>AND(MOD(10*B15,1)=0,B15&gt;=0.1,B15&lt;=10000)</formula1>
    </dataValidation>
    <dataValidation type="list" allowBlank="1" showInputMessage="1" showErrorMessage="1" errorTitle="Input parameter error" error="Input off or on" sqref="B14">
      <formula1>"off,on"</formula1>
    </dataValidation>
    <dataValidation type="list" allowBlank="1" showDropDown="1" showInputMessage="1" showErrorMessage="1" errorTitle="Input parameter error" error="Input 8 or 10" sqref="B5">
      <formula1>"8,10"</formula1>
    </dataValidation>
    <dataValidation type="custom" allowBlank="1" showInputMessage="1" showErrorMessage="1" errorTitle="Input parameter error" error="8bit mode range from 35000000 to 400000000,step 1000000;_x000a_10bit mode range from 70000000 to 400000000,step 1000000" sqref="B6">
      <formula1>OR(AND(B5=8,B6&gt;=35000000,B6&lt;=400000000,MOD(B6,1000000)=0),AND(B5=10,B6&gt;=70000000,B6&lt;=400000000,MOD(B6,1000000)=0))</formula1>
    </dataValidation>
    <dataValidation type="whole" allowBlank="1" showInputMessage="1" showErrorMessage="1" errorTitle="Input parameter error" error="Input range from 20 to 1000000" sqref="B4">
      <formula1>20</formula1>
      <formula2>1000000</formula2>
    </dataValidation>
    <dataValidation type="custom" allowBlank="1" showInputMessage="1" showErrorMessage="1" errorTitle="Input parameter error" error="Input range from 64 to 1200,and is an integer multiple of 2" sqref="B3">
      <formula1>AND(MOD(B3,2)=0,B3&gt;=64,B3&lt;=1200)</formula1>
    </dataValidation>
    <dataValidation type="custom" allowBlank="1" showInputMessage="1" showErrorMessage="1" errorTitle="Input parameter error" error="Input range from 64 to 1920,and is an integer multiple of 8" sqref="B2">
      <formula1>AND(MOD(B2,8)=0,B2&gt;=64,B2&lt;=1920)</formula1>
    </dataValidation>
  </dataValidations>
  <pageMargins left="0.7" right="0.7" top="0.75" bottom="0.75" header="0.3" footer="0.3"/>
  <pageSetup orientation="portrait" horizontalDpi="200" verticalDpi="200" copies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3"/>
  </sheetPr>
  <dimension ref="A1:B18"/>
  <sheetViews>
    <sheetView workbookViewId="0">
      <selection activeCell="G20" sqref="G20"/>
    </sheetView>
  </sheetViews>
  <sheetFormatPr defaultColWidth="9" defaultRowHeight="13.5"/>
  <cols>
    <col min="1" max="1" width="35.875" style="28" customWidth="1"/>
    <col min="2" max="2" width="29.125" style="28" customWidth="1"/>
    <col min="3" max="16384" width="9" style="28"/>
  </cols>
  <sheetData>
    <row r="1" spans="1:2" ht="15.75">
      <c r="A1" s="33" t="s">
        <v>78</v>
      </c>
      <c r="B1" s="34"/>
    </row>
    <row r="2" spans="1:2" ht="15.75">
      <c r="A2" s="3" t="s">
        <v>0</v>
      </c>
      <c r="B2" s="5">
        <v>1920</v>
      </c>
    </row>
    <row r="3" spans="1:2" ht="15.75">
      <c r="A3" s="3" t="s">
        <v>72</v>
      </c>
      <c r="B3" s="5">
        <v>1200</v>
      </c>
    </row>
    <row r="4" spans="1:2" ht="15.75">
      <c r="A4" s="3" t="s">
        <v>1</v>
      </c>
      <c r="B4" s="5">
        <v>10000</v>
      </c>
    </row>
    <row r="5" spans="1:2" ht="15.75">
      <c r="A5" s="3" t="s">
        <v>2</v>
      </c>
      <c r="B5" s="5">
        <v>8</v>
      </c>
    </row>
    <row r="6" spans="1:2" ht="15.75">
      <c r="A6" s="3" t="s">
        <v>3</v>
      </c>
      <c r="B6" s="5">
        <v>400000000</v>
      </c>
    </row>
    <row r="7" spans="1:2" ht="15.75">
      <c r="A7" s="3" t="s">
        <v>4</v>
      </c>
      <c r="B7" s="5">
        <v>380000000</v>
      </c>
    </row>
    <row r="8" spans="1:2" ht="15.75" hidden="1">
      <c r="A8" s="3"/>
      <c r="B8" s="5"/>
    </row>
    <row r="9" spans="1:2" ht="15.75" hidden="1">
      <c r="A9" s="3" t="s">
        <v>5</v>
      </c>
      <c r="B9" s="5">
        <f>MAX(INT((B4-13.73)/B12),1)</f>
        <v>501</v>
      </c>
    </row>
    <row r="10" spans="1:2" ht="15.75" hidden="1">
      <c r="A10" s="3" t="s">
        <v>6</v>
      </c>
      <c r="B10" s="5" t="str">
        <f>IF((B5&lt;=8),"1","2")</f>
        <v>1</v>
      </c>
    </row>
    <row r="11" spans="1:2" ht="15.75" hidden="1">
      <c r="A11" s="3" t="s">
        <v>66</v>
      </c>
      <c r="B11" s="5">
        <f>B2*B3*B10+84</f>
        <v>2304084</v>
      </c>
    </row>
    <row r="12" spans="1:2" ht="15.75" hidden="1">
      <c r="A12" s="3" t="s">
        <v>64</v>
      </c>
      <c r="B12" s="5">
        <f>746/37.5</f>
        <v>19.893333333333334</v>
      </c>
    </row>
    <row r="13" spans="1:2" ht="15.75" hidden="1">
      <c r="A13" s="3" t="s">
        <v>7</v>
      </c>
      <c r="B13" s="5">
        <f>(B3+38)*B12</f>
        <v>24627.946666666667</v>
      </c>
    </row>
    <row r="14" spans="1:2" ht="15.75">
      <c r="A14" s="3" t="s">
        <v>8</v>
      </c>
      <c r="B14" s="5" t="s">
        <v>9</v>
      </c>
    </row>
    <row r="15" spans="1:2" ht="15.75">
      <c r="A15" s="3" t="s">
        <v>10</v>
      </c>
      <c r="B15" s="5">
        <v>41</v>
      </c>
    </row>
    <row r="16" spans="1:2" ht="15.75" hidden="1">
      <c r="A16" s="3" t="s">
        <v>61</v>
      </c>
      <c r="B16" s="6">
        <f>MAX(B11*1000000/B7,B11*1000000/B6,(B9+14)*B12,B13,B12*(IF(B14="off",0,1))*INT(1000*1000/(B12*B15)))</f>
        <v>24627.946666666667</v>
      </c>
    </row>
    <row r="17" spans="1:2" ht="15.75">
      <c r="A17" s="35" t="s">
        <v>58</v>
      </c>
      <c r="B17" s="36"/>
    </row>
    <row r="18" spans="1:2" ht="27">
      <c r="A18" s="7" t="s">
        <v>57</v>
      </c>
      <c r="B18" s="8">
        <f>1000000/B16</f>
        <v>40.604278283316084</v>
      </c>
    </row>
  </sheetData>
  <sheetProtection algorithmName="SHA-512" hashValue="dmPxlNeKnmZlKravieu5KKnuHTMQZxieLVUDWP0+r5Esq5r84+J7/ioYY2mEisl7Yo7EbGgW9/74SD+8epNLCw==" saltValue="+O0Lokgb212eDBvL03tKiQ==" spinCount="100000" sheet="1" objects="1" scenarios="1"/>
  <mergeCells count="2">
    <mergeCell ref="A1:B1"/>
    <mergeCell ref="A17:B17"/>
  </mergeCells>
  <phoneticPr fontId="8" type="noConversion"/>
  <dataValidations count="7">
    <dataValidation type="custom" allowBlank="1" showInputMessage="1" showErrorMessage="1" errorTitle="Input parameter error" error="Input range from 0.1 to 10000,step 0.1" sqref="B15">
      <formula1>AND(MOD(10*B15,1)=0,B15&gt;=0.1,B15&lt;=10000)</formula1>
    </dataValidation>
    <dataValidation type="list" allowBlank="1" showInputMessage="1" showErrorMessage="1" errorTitle="Input parameter error" error="Input off or on" sqref="B14">
      <formula1>"off,on"</formula1>
    </dataValidation>
    <dataValidation type="custom" allowBlank="1" showInputMessage="1" showErrorMessage="1" errorTitle="Input parameter error" error="Input range from 64 to 1920,and is an integer multiple of 8" sqref="B2">
      <formula1>AND(MOD(B2,8)=0,B2&gt;=64,B2&lt;=1920)</formula1>
    </dataValidation>
    <dataValidation type="custom" allowBlank="1" showInputMessage="1" showErrorMessage="1" errorTitle="Input parameter error" error="Input range from 64 to 1200,and is an integer multiple of 2" sqref="B3">
      <formula1>AND(MOD(B3,2)=0,B3&gt;=64,B3&lt;=1200)</formula1>
    </dataValidation>
    <dataValidation type="whole" allowBlank="1" showInputMessage="1" showErrorMessage="1" errorTitle="Input parameter error" error="Input range from 20 to 1000000" sqref="B4">
      <formula1>20</formula1>
      <formula2>1000000</formula2>
    </dataValidation>
    <dataValidation type="custom" allowBlank="1" showInputMessage="1" showErrorMessage="1" errorTitle="Input parameter error" error="8bit mode range from 35000000 to 400000000,step 1000000;_x000a_10bit mode range from 70000000 to 400000000,step 1000000" sqref="B6">
      <formula1>OR(AND(B5=8,B6&gt;=35000000,B6&lt;=400000000,MOD(B6,1000000)=0),AND(B5=10,B6&gt;=70000000,B6&lt;=400000000,MOD(B6,1000000)=0))</formula1>
    </dataValidation>
    <dataValidation type="list" allowBlank="1" showDropDown="1" showInputMessage="1" showErrorMessage="1" errorTitle="Input parameter error" error="Input 8 or 10" sqref="B5">
      <formula1>"8,10"</formula1>
    </dataValidation>
  </dataValidations>
  <pageMargins left="0.7" right="0.7" top="0.75" bottom="0.75" header="0.3" footer="0.3"/>
  <pageSetup orientation="portrait" horizontalDpi="200" verticalDpi="200" copies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3"/>
  </sheetPr>
  <dimension ref="A1:K20"/>
  <sheetViews>
    <sheetView workbookViewId="0">
      <selection activeCell="C25" sqref="C25"/>
    </sheetView>
  </sheetViews>
  <sheetFormatPr defaultColWidth="9" defaultRowHeight="13.5"/>
  <cols>
    <col min="1" max="1" width="38.75" style="28" bestFit="1" customWidth="1"/>
    <col min="2" max="2" width="20.125" style="28" customWidth="1"/>
    <col min="3" max="3" width="73.125" style="28" bestFit="1" customWidth="1"/>
    <col min="4" max="5" width="9" style="28"/>
    <col min="6" max="6" width="0" style="28" hidden="1" customWidth="1"/>
    <col min="7" max="7" width="12.75" style="28" hidden="1" customWidth="1"/>
    <col min="8" max="8" width="9.5" style="28" hidden="1" customWidth="1"/>
    <col min="9" max="9" width="9" style="28" hidden="1" customWidth="1"/>
    <col min="10" max="10" width="73.125" style="28" hidden="1" customWidth="1"/>
    <col min="11" max="11" width="65.5" style="28" hidden="1" customWidth="1"/>
    <col min="12" max="12" width="0" style="28" hidden="1" customWidth="1"/>
    <col min="13" max="16384" width="9" style="28"/>
  </cols>
  <sheetData>
    <row r="1" spans="1:11" ht="15.75">
      <c r="A1" s="33" t="s">
        <v>78</v>
      </c>
      <c r="B1" s="34"/>
    </row>
    <row r="2" spans="1:11" ht="15.75">
      <c r="A2" s="3" t="s">
        <v>0</v>
      </c>
      <c r="B2" s="5">
        <v>2048</v>
      </c>
      <c r="C2" s="28" t="str">
        <f>IF(OR(B2&gt;2048/B4,B2&lt;64),LOOKUP(B4,G3:G5,J3:J5),"")</f>
        <v/>
      </c>
      <c r="G2" s="28" t="s">
        <v>83</v>
      </c>
      <c r="H2" s="28" t="s">
        <v>84</v>
      </c>
      <c r="I2" s="28" t="s">
        <v>85</v>
      </c>
    </row>
    <row r="3" spans="1:11" ht="15.75">
      <c r="A3" s="3" t="s">
        <v>72</v>
      </c>
      <c r="B3" s="5">
        <v>1536</v>
      </c>
      <c r="C3" s="28" t="str">
        <f>IF(OR(B3&gt;1536/B5,B3&lt;2),LOOKUP(B5,G3:G5,K3:K5),"")</f>
        <v/>
      </c>
      <c r="G3" s="28">
        <v>1</v>
      </c>
      <c r="H3" s="28">
        <f>8*INT(2048/(8*G3))</f>
        <v>2048</v>
      </c>
      <c r="I3" s="28">
        <f>2*INT(1536/(2*G3))</f>
        <v>1536</v>
      </c>
      <c r="J3" s="28" t="s">
        <v>211</v>
      </c>
      <c r="K3" s="28" t="s">
        <v>212</v>
      </c>
    </row>
    <row r="4" spans="1:11" ht="15.75">
      <c r="A4" s="3" t="s">
        <v>88</v>
      </c>
      <c r="B4" s="5">
        <v>1</v>
      </c>
      <c r="G4" s="28">
        <v>2</v>
      </c>
      <c r="H4" s="28">
        <f>8*INT(2048/(8*G4))</f>
        <v>1024</v>
      </c>
      <c r="I4" s="28">
        <f>2*INT(1536/(2*G4))</f>
        <v>768</v>
      </c>
      <c r="J4" s="28" t="s">
        <v>186</v>
      </c>
      <c r="K4" s="28" t="s">
        <v>183</v>
      </c>
    </row>
    <row r="5" spans="1:11" ht="15.75">
      <c r="A5" s="3" t="s">
        <v>91</v>
      </c>
      <c r="B5" s="5">
        <v>1</v>
      </c>
      <c r="G5" s="28">
        <v>4</v>
      </c>
      <c r="H5" s="28">
        <f>8*INT(2048/(8*G5))</f>
        <v>512</v>
      </c>
      <c r="I5" s="28">
        <f>2*INT(1536/(2*G5))</f>
        <v>384</v>
      </c>
      <c r="J5" s="28" t="s">
        <v>187</v>
      </c>
      <c r="K5" s="28" t="s">
        <v>184</v>
      </c>
    </row>
    <row r="6" spans="1:11" ht="15.75">
      <c r="A6" s="3" t="s">
        <v>1</v>
      </c>
      <c r="B6" s="5">
        <v>10000</v>
      </c>
      <c r="J6" s="28" t="s">
        <v>94</v>
      </c>
    </row>
    <row r="7" spans="1:11" ht="15.75">
      <c r="A7" s="3" t="s">
        <v>2</v>
      </c>
      <c r="B7" s="5">
        <v>8</v>
      </c>
      <c r="H7" s="28">
        <f>2048/B4</f>
        <v>2048</v>
      </c>
      <c r="I7" s="28">
        <f>1536/B5</f>
        <v>1536</v>
      </c>
    </row>
    <row r="8" spans="1:11" ht="15.75">
      <c r="A8" s="3" t="s">
        <v>3</v>
      </c>
      <c r="B8" s="5">
        <v>300000000</v>
      </c>
    </row>
    <row r="9" spans="1:11" ht="15.75">
      <c r="A9" s="16" t="s">
        <v>4</v>
      </c>
      <c r="B9" s="5">
        <v>380000000</v>
      </c>
    </row>
    <row r="10" spans="1:11" ht="15.75" hidden="1">
      <c r="A10" s="3"/>
      <c r="B10" s="5"/>
    </row>
    <row r="11" spans="1:11" ht="15.75" hidden="1">
      <c r="A11" s="3" t="s">
        <v>5</v>
      </c>
      <c r="B11" s="5">
        <f>MAX(INT((B6-13.73)/B14),1)</f>
        <v>1970</v>
      </c>
    </row>
    <row r="12" spans="1:11" ht="15.75" hidden="1">
      <c r="A12" s="3" t="s">
        <v>6</v>
      </c>
      <c r="B12" s="5" t="str">
        <f>IF((B7&lt;=8),"1","2")</f>
        <v>1</v>
      </c>
    </row>
    <row r="13" spans="1:11" ht="15.75" hidden="1">
      <c r="A13" s="3" t="s">
        <v>66</v>
      </c>
      <c r="B13" s="5">
        <f>B2*B3*B12+84</f>
        <v>3145812</v>
      </c>
    </row>
    <row r="14" spans="1:11" ht="15.75" hidden="1">
      <c r="A14" s="3" t="s">
        <v>64</v>
      </c>
      <c r="B14" s="5">
        <f>IF(B7=8,190/37.5,380/37.5)</f>
        <v>5.0666666666666664</v>
      </c>
    </row>
    <row r="15" spans="1:11" ht="15.75" hidden="1">
      <c r="A15" s="3" t="s">
        <v>7</v>
      </c>
      <c r="B15" s="5">
        <f>(B3*B5+38)*B14</f>
        <v>7974.9333333333334</v>
      </c>
    </row>
    <row r="16" spans="1:11" ht="15.75">
      <c r="A16" s="3" t="s">
        <v>8</v>
      </c>
      <c r="B16" s="5" t="s">
        <v>9</v>
      </c>
    </row>
    <row r="17" spans="1:3" ht="15.75">
      <c r="A17" s="3" t="s">
        <v>10</v>
      </c>
      <c r="B17" s="5">
        <v>125</v>
      </c>
    </row>
    <row r="18" spans="1:3" ht="15.75" hidden="1">
      <c r="A18" s="3" t="s">
        <v>61</v>
      </c>
      <c r="B18" s="6">
        <f>MAX(B13*1000000/B9,B13*1000000/B8,(B11+14)*B14,B15,B14*(IF(B16="off",0,1))*INT(1000*1000/(B14*B17)))</f>
        <v>10486.04</v>
      </c>
    </row>
    <row r="19" spans="1:3" ht="15.75">
      <c r="A19" s="35" t="s">
        <v>58</v>
      </c>
      <c r="B19" s="36"/>
    </row>
    <row r="20" spans="1:3" ht="27">
      <c r="A20" s="7" t="s">
        <v>57</v>
      </c>
      <c r="B20" s="8">
        <f>1000000/B18</f>
        <v>95.364885123459374</v>
      </c>
      <c r="C20" s="28" t="str">
        <f>IF(OR(B3&gt;1536/B5,B3&lt;2,B2&gt;2048/B4,B2&lt;64),J6,"")</f>
        <v/>
      </c>
    </row>
  </sheetData>
  <sheetProtection algorithmName="SHA-512" hashValue="PNuEAPSmI8f19pNeVSw1LsDPz44dKcs5fGF6uqgtq0LEly6dTdKWcGmdw0oQP+zzvkHvQ5UFtzJuhzo8zBQVNw==" saltValue="f25rmx/G6pHP6YjDM1i7Kw==" spinCount="100000" sheet="1" objects="1" scenarios="1"/>
  <mergeCells count="2">
    <mergeCell ref="A1:B1"/>
    <mergeCell ref="A19:B19"/>
  </mergeCells>
  <phoneticPr fontId="8" type="noConversion"/>
  <conditionalFormatting sqref="B2">
    <cfRule type="cellIs" dxfId="27" priority="2" operator="notBetween">
      <formula>64</formula>
      <formula>$H$7</formula>
    </cfRule>
  </conditionalFormatting>
  <conditionalFormatting sqref="B3">
    <cfRule type="cellIs" dxfId="26" priority="1" operator="notBetween">
      <formula>2</formula>
      <formula>$I$7</formula>
    </cfRule>
  </conditionalFormatting>
  <dataValidations count="8">
    <dataValidation type="custom" allowBlank="1" showInputMessage="1" showErrorMessage="1" errorTitle="Input parameter error" error="Input range from 0.1 to 10000,step 0.1" sqref="B17">
      <formula1>AND(MOD(10*B17,1)=0,B17&gt;=0.1,B17&lt;=10000)</formula1>
    </dataValidation>
    <dataValidation type="list" allowBlank="1" showInputMessage="1" showErrorMessage="1" errorTitle="Input parameter error" error="Input off or on" sqref="B16">
      <formula1>"off,on"</formula1>
    </dataValidation>
    <dataValidation type="custom" allowBlank="1" showInputMessage="1" showErrorMessage="1" errorTitle="Input parameter error" error="Input parameter error" sqref="B2">
      <formula1>AND(MOD(B2,8)=0,B2&gt;=64,B2&lt;=2048/B4)</formula1>
    </dataValidation>
    <dataValidation type="custom" allowBlank="1" showInputMessage="1" showErrorMessage="1" errorTitle="Input parameter error" error="Input parameter error" sqref="B3">
      <formula1>AND(MOD(B3,2)=0,B3&gt;=2,B3&lt;=1536/B5)</formula1>
    </dataValidation>
    <dataValidation type="whole" allowBlank="1" showInputMessage="1" showErrorMessage="1" errorTitle="Input parameter error" error="Input range from 20 to 1000000" sqref="B6">
      <formula1>20</formula1>
      <formula2>1000000</formula2>
    </dataValidation>
    <dataValidation type="custom" allowBlank="1" showInputMessage="1" showErrorMessage="1" errorTitle="Input parameter error" error="8bit mode range from 35000000 to 400000000,step 1000000;_x000a_10bit mode range from 70000000 to 400000000,step 1000000" sqref="B8">
      <formula1>OR(AND(B7=8,B8&gt;=35000000,B8&lt;=400000000,MOD(B8,1000000)=0),AND(B7=10,B8&gt;=70000000,B8&lt;=400000000,MOD(B8,1000000)=0))</formula1>
    </dataValidation>
    <dataValidation type="list" allowBlank="1" showDropDown="1" showInputMessage="1" showErrorMessage="1" errorTitle="Input parameter error" error="Input 8 or 10" sqref="B7">
      <formula1>"8,10"</formula1>
    </dataValidation>
    <dataValidation type="list" allowBlank="1" showInputMessage="1" showErrorMessage="1" errorTitle="Input parameter error" error="Input range is 1,2,4" sqref="B4:B5">
      <formula1>"1,2,4"</formula1>
    </dataValidation>
  </dataValidations>
  <pageMargins left="0.7" right="0.7" top="0.75" bottom="0.75" header="0.3" footer="0.3"/>
  <pageSetup orientation="portrait" horizontalDpi="200" verticalDpi="200" copies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3"/>
  </sheetPr>
  <dimension ref="A1:K20"/>
  <sheetViews>
    <sheetView workbookViewId="0">
      <selection activeCell="A8" sqref="A8"/>
    </sheetView>
  </sheetViews>
  <sheetFormatPr defaultColWidth="9" defaultRowHeight="13.5"/>
  <cols>
    <col min="1" max="1" width="35.625" style="28" customWidth="1"/>
    <col min="2" max="2" width="12.75" style="28" bestFit="1" customWidth="1"/>
    <col min="3" max="3" width="73.125" style="28" bestFit="1" customWidth="1"/>
    <col min="4" max="6" width="9" style="28"/>
    <col min="7" max="7" width="12.75" style="28" hidden="1" customWidth="1"/>
    <col min="8" max="9" width="9.5" style="28" hidden="1" customWidth="1"/>
    <col min="10" max="10" width="73.125" style="28" hidden="1" customWidth="1"/>
    <col min="11" max="11" width="65.5" style="28" hidden="1" customWidth="1"/>
    <col min="12" max="16384" width="9" style="28"/>
  </cols>
  <sheetData>
    <row r="1" spans="1:11" ht="15.75">
      <c r="A1" s="33" t="s">
        <v>78</v>
      </c>
      <c r="B1" s="34"/>
    </row>
    <row r="2" spans="1:11" ht="15.75">
      <c r="A2" s="3" t="s">
        <v>0</v>
      </c>
      <c r="B2" s="5">
        <v>2048</v>
      </c>
      <c r="C2" s="28" t="str">
        <f>IF(OR(B2&gt;2048/B4,B2&lt;64),LOOKUP(B4,G3:G5,J3:J5),"")</f>
        <v/>
      </c>
      <c r="G2" s="28" t="s">
        <v>83</v>
      </c>
      <c r="H2" s="28" t="s">
        <v>84</v>
      </c>
      <c r="I2" s="28" t="s">
        <v>85</v>
      </c>
    </row>
    <row r="3" spans="1:11" ht="15.75">
      <c r="A3" s="3" t="s">
        <v>72</v>
      </c>
      <c r="B3" s="5">
        <v>1536</v>
      </c>
      <c r="C3" s="28" t="str">
        <f>IF(OR(B3&gt;1536/B5,B3&lt;64),LOOKUP(B5,G3:G5,K3:K5),"")</f>
        <v/>
      </c>
      <c r="G3" s="28">
        <v>1</v>
      </c>
      <c r="H3" s="28">
        <f>8*INT(2048/(8*G3))</f>
        <v>2048</v>
      </c>
      <c r="I3" s="28">
        <f>2*INT(1536/(2*G3))</f>
        <v>1536</v>
      </c>
      <c r="J3" s="28" t="s">
        <v>86</v>
      </c>
      <c r="K3" s="28" t="s">
        <v>87</v>
      </c>
    </row>
    <row r="4" spans="1:11" ht="15.75">
      <c r="A4" s="3" t="s">
        <v>88</v>
      </c>
      <c r="B4" s="5">
        <v>1</v>
      </c>
      <c r="G4" s="28">
        <v>2</v>
      </c>
      <c r="H4" s="28">
        <f>8*INT(2048/(8*G4))</f>
        <v>1024</v>
      </c>
      <c r="I4" s="28">
        <f>2*INT(1536/(2*G4))</f>
        <v>768</v>
      </c>
      <c r="J4" s="28" t="s">
        <v>89</v>
      </c>
      <c r="K4" s="28" t="s">
        <v>90</v>
      </c>
    </row>
    <row r="5" spans="1:11" ht="15.75">
      <c r="A5" s="3" t="s">
        <v>91</v>
      </c>
      <c r="B5" s="5">
        <v>1</v>
      </c>
      <c r="G5" s="28">
        <v>4</v>
      </c>
      <c r="H5" s="28">
        <f>8*INT(2048/(8*G5))</f>
        <v>512</v>
      </c>
      <c r="I5" s="28">
        <f>2*INT(1536/(2*G5))</f>
        <v>384</v>
      </c>
      <c r="J5" s="28" t="s">
        <v>92</v>
      </c>
      <c r="K5" s="28" t="s">
        <v>93</v>
      </c>
    </row>
    <row r="6" spans="1:11" ht="15.75">
      <c r="A6" s="3" t="s">
        <v>1</v>
      </c>
      <c r="B6" s="5">
        <v>10000</v>
      </c>
      <c r="J6" s="28" t="s">
        <v>94</v>
      </c>
    </row>
    <row r="7" spans="1:11" ht="15.75">
      <c r="A7" s="3" t="s">
        <v>2</v>
      </c>
      <c r="B7" s="5">
        <v>8</v>
      </c>
      <c r="H7" s="28">
        <f>2048/B4</f>
        <v>2048</v>
      </c>
      <c r="I7" s="28">
        <f>1536/B5</f>
        <v>1536</v>
      </c>
    </row>
    <row r="8" spans="1:11" ht="15.75">
      <c r="A8" s="3" t="s">
        <v>3</v>
      </c>
      <c r="B8" s="5">
        <v>300000000</v>
      </c>
    </row>
    <row r="9" spans="1:11" ht="15.75">
      <c r="A9" s="3" t="s">
        <v>4</v>
      </c>
      <c r="B9" s="5">
        <v>380000000</v>
      </c>
    </row>
    <row r="10" spans="1:11" ht="15.75" hidden="1">
      <c r="A10" s="3"/>
      <c r="B10" s="5"/>
    </row>
    <row r="11" spans="1:11" ht="15.75" hidden="1">
      <c r="A11" s="3" t="s">
        <v>5</v>
      </c>
      <c r="B11" s="5">
        <f>MAX(INT((B6-13.73)/B14),1)</f>
        <v>885</v>
      </c>
    </row>
    <row r="12" spans="1:11" ht="15.75" hidden="1">
      <c r="A12" s="3" t="s">
        <v>6</v>
      </c>
      <c r="B12" s="5" t="str">
        <f>IF((B7&lt;=8),"1","2")</f>
        <v>1</v>
      </c>
    </row>
    <row r="13" spans="1:11" ht="15.75" hidden="1">
      <c r="A13" s="3" t="s">
        <v>66</v>
      </c>
      <c r="B13" s="5">
        <f>B2*B3*B12+84</f>
        <v>3145812</v>
      </c>
    </row>
    <row r="14" spans="1:11" ht="15.75" hidden="1">
      <c r="A14" s="3" t="s">
        <v>64</v>
      </c>
      <c r="B14" s="5">
        <f>423/37.5</f>
        <v>11.28</v>
      </c>
    </row>
    <row r="15" spans="1:11" ht="15.75" hidden="1">
      <c r="A15" s="3" t="s">
        <v>7</v>
      </c>
      <c r="B15" s="5">
        <f>(B3*B5+32)*B14</f>
        <v>17687.039999999997</v>
      </c>
    </row>
    <row r="16" spans="1:11" ht="15.75">
      <c r="A16" s="3" t="s">
        <v>8</v>
      </c>
      <c r="B16" s="5" t="s">
        <v>9</v>
      </c>
    </row>
    <row r="17" spans="1:3" ht="15.75">
      <c r="A17" s="3" t="s">
        <v>10</v>
      </c>
      <c r="B17" s="5">
        <v>56</v>
      </c>
    </row>
    <row r="18" spans="1:3" ht="15.75" hidden="1">
      <c r="A18" s="3" t="s">
        <v>61</v>
      </c>
      <c r="B18" s="6">
        <f>MAX(B13*1000000/B9,B13*1000000/B8,(B11+12)*B14,B15,B14*(IF(B16="off",0,1))*INT(1000*1000/(B14*B17)))</f>
        <v>17687.039999999997</v>
      </c>
    </row>
    <row r="19" spans="1:3" ht="15.75">
      <c r="A19" s="35" t="s">
        <v>58</v>
      </c>
      <c r="B19" s="36"/>
    </row>
    <row r="20" spans="1:3" ht="27">
      <c r="A20" s="7" t="s">
        <v>57</v>
      </c>
      <c r="B20" s="8">
        <f>1000000/B18</f>
        <v>56.538572875958906</v>
      </c>
      <c r="C20" s="28" t="str">
        <f>IF(OR(B3&gt;1536/B5,B3&lt;64,B2&gt;2048/B4,B2&lt;64),J6,"")</f>
        <v/>
      </c>
    </row>
  </sheetData>
  <sheetProtection algorithmName="SHA-512" hashValue="qic2uIWx4rF+sBC6mhhILB5Dhg1WmU9nydfCp67vZNzXYrl3vFe9l0Sp6juhIglBrT2vTkCkV65ts1NlBAofLg==" saltValue="+vaU0XHesIHrbHyAN7yhTQ==" spinCount="100000" sheet="1" objects="1" scenarios="1"/>
  <mergeCells count="2">
    <mergeCell ref="A1:B1"/>
    <mergeCell ref="A19:B19"/>
  </mergeCells>
  <phoneticPr fontId="8" type="noConversion"/>
  <conditionalFormatting sqref="B2">
    <cfRule type="cellIs" dxfId="25" priority="2" operator="notBetween">
      <formula>64</formula>
      <formula>$H$7</formula>
    </cfRule>
  </conditionalFormatting>
  <conditionalFormatting sqref="B3">
    <cfRule type="cellIs" dxfId="24" priority="1" operator="notBetween">
      <formula>64</formula>
      <formula>$I$7</formula>
    </cfRule>
  </conditionalFormatting>
  <dataValidations count="8">
    <dataValidation type="whole" allowBlank="1" showInputMessage="1" showErrorMessage="1" errorTitle="Input parameter error" error="Input range from 20 to 1000000" sqref="B6">
      <formula1>20</formula1>
      <formula2>1000000</formula2>
    </dataValidation>
    <dataValidation type="custom" allowBlank="1" showInputMessage="1" showErrorMessage="1" errorTitle="Input parameter error" error="8bit mode range from 35000000 to 400000000,step 1000000;_x000a_10bit mode range from 70000000 to 400000000,step 1000000" sqref="B8">
      <formula1>OR(AND(B7=8,B8&gt;=35000000,B8&lt;=400000000,MOD(B8,1000000)=0),AND(B7=10,B8&gt;=70000000,B8&lt;=400000000,MOD(B8,1000000)=0))</formula1>
    </dataValidation>
    <dataValidation type="list" allowBlank="1" showDropDown="1" showInputMessage="1" showErrorMessage="1" errorTitle="Input parameter error" error="Input 8 or 10" sqref="B7">
      <formula1>"8,10"</formula1>
    </dataValidation>
    <dataValidation type="list" allowBlank="1" showInputMessage="1" showErrorMessage="1" errorTitle="Input parameter error" error="Input off or on" sqref="B16">
      <formula1>"off,on"</formula1>
    </dataValidation>
    <dataValidation type="custom" allowBlank="1" showInputMessage="1" showErrorMessage="1" errorTitle="Input parameter error" error="Input range from 0.1 to 10000,step 0.1" sqref="B17">
      <formula1>AND(MOD(10*B17,1)=0,B17&gt;=0.1,B17&lt;=10000)</formula1>
    </dataValidation>
    <dataValidation type="custom" allowBlank="1" showInputMessage="1" showErrorMessage="1" errorTitle="Input parameter error" error="Input parameter error" sqref="B3">
      <formula1>AND(MOD(B3,2)=0,B3&gt;=64,B3&lt;=1536/B5)</formula1>
    </dataValidation>
    <dataValidation type="custom" allowBlank="1" showInputMessage="1" showErrorMessage="1" errorTitle="Input parameter error" error="Input parameter error" sqref="B2">
      <formula1>AND(MOD(B2,8)=0,B2&gt;=64,B2&lt;=2048/B4)</formula1>
    </dataValidation>
    <dataValidation type="list" allowBlank="1" showInputMessage="1" showErrorMessage="1" errorTitle="Input parameter error" error="Input range is 1,2" sqref="B4:B5">
      <formula1>"1,2"</formula1>
    </dataValidation>
  </dataValidations>
  <pageMargins left="0.7" right="0.7" top="0.75" bottom="0.75" header="0.3" footer="0.3"/>
  <pageSetup orientation="portrait" horizontalDpi="200" verticalDpi="200" copies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3"/>
  </sheetPr>
  <dimension ref="A1:J21"/>
  <sheetViews>
    <sheetView workbookViewId="0">
      <selection activeCell="B2" sqref="B2"/>
    </sheetView>
  </sheetViews>
  <sheetFormatPr defaultRowHeight="13.5"/>
  <cols>
    <col min="1" max="1" width="36.75" customWidth="1"/>
    <col min="2" max="2" width="17.125" customWidth="1"/>
    <col min="4" max="4" width="9" customWidth="1"/>
    <col min="5" max="5" width="20" customWidth="1"/>
    <col min="6" max="8" width="9" hidden="1" customWidth="1"/>
    <col min="9" max="9" width="32.375" hidden="1" customWidth="1"/>
    <col min="10" max="10" width="24.625" hidden="1" customWidth="1"/>
  </cols>
  <sheetData>
    <row r="1" spans="1:10" ht="15.75">
      <c r="A1" s="33" t="s">
        <v>197</v>
      </c>
      <c r="B1" s="34"/>
      <c r="C1" s="28"/>
      <c r="D1" s="28"/>
      <c r="E1" s="28"/>
      <c r="F1" s="28"/>
      <c r="G1" s="28"/>
      <c r="H1" s="28"/>
      <c r="I1" s="28"/>
      <c r="J1" s="28"/>
    </row>
    <row r="2" spans="1:10" ht="15.75">
      <c r="A2" s="4" t="s">
        <v>0</v>
      </c>
      <c r="B2" s="11">
        <v>2448</v>
      </c>
      <c r="C2" s="10" t="str">
        <f>IF(OR(B2&gt;2448/B4,B2&lt;64),LOOKUP(B4,F3:F5,I3:I5),IF(OR(B2&gt;2448/B6,B2&lt;64),LOOKUP(B6,F10:F12,I10:I12),""))</f>
        <v/>
      </c>
      <c r="D2" s="28"/>
      <c r="E2" s="28"/>
      <c r="F2" s="28" t="s">
        <v>213</v>
      </c>
      <c r="G2" s="28" t="s">
        <v>214</v>
      </c>
      <c r="H2" s="28" t="s">
        <v>215</v>
      </c>
      <c r="I2" s="28"/>
      <c r="J2" s="28"/>
    </row>
    <row r="3" spans="1:10" ht="15.75">
      <c r="A3" s="4" t="s">
        <v>131</v>
      </c>
      <c r="B3" s="11">
        <v>2048</v>
      </c>
      <c r="C3" s="10" t="str">
        <f>IF(OR(B3&gt;2048/B5,B3&lt;64),LOOKUP(B5,F3:F5,J3:J5),IF(OR(B3&gt;2048/B7,B3&lt;64),LOOKUP(B7,F10:F12,J10:J12),""))</f>
        <v/>
      </c>
      <c r="D3" s="28"/>
      <c r="E3" s="28"/>
      <c r="F3" s="28">
        <v>1</v>
      </c>
      <c r="G3" s="28">
        <v>2448</v>
      </c>
      <c r="H3" s="28">
        <v>2048</v>
      </c>
      <c r="I3" s="28" t="s">
        <v>37</v>
      </c>
      <c r="J3" s="28" t="s">
        <v>34</v>
      </c>
    </row>
    <row r="4" spans="1:10" ht="15.75">
      <c r="A4" s="3" t="s">
        <v>13</v>
      </c>
      <c r="B4" s="5">
        <v>1</v>
      </c>
      <c r="C4" s="12" t="str">
        <f>IF(AND(B4&gt;1,B6&gt;1),"The binning and skipping levels are not set to be greater than 2 at the same time","")</f>
        <v/>
      </c>
      <c r="D4" s="28"/>
      <c r="E4" s="28"/>
      <c r="F4" s="28">
        <v>2</v>
      </c>
      <c r="G4" s="28">
        <v>1224</v>
      </c>
      <c r="H4" s="28">
        <v>1024</v>
      </c>
      <c r="I4" s="28" t="s">
        <v>38</v>
      </c>
      <c r="J4" s="28" t="s">
        <v>35</v>
      </c>
    </row>
    <row r="5" spans="1:10" ht="15.75">
      <c r="A5" s="3" t="s">
        <v>127</v>
      </c>
      <c r="B5" s="5">
        <v>1</v>
      </c>
      <c r="C5" s="12" t="str">
        <f>IF(AND(B5&gt;1,B7&gt;1),"The vertical binning and skipping are not set to be greater than 2 at the same time","")</f>
        <v/>
      </c>
      <c r="D5" s="28"/>
      <c r="E5" s="28"/>
      <c r="F5" s="28">
        <v>4</v>
      </c>
      <c r="G5" s="28">
        <v>608</v>
      </c>
      <c r="H5" s="28">
        <v>512</v>
      </c>
      <c r="I5" s="28" t="s">
        <v>39</v>
      </c>
      <c r="J5" s="28" t="s">
        <v>36</v>
      </c>
    </row>
    <row r="6" spans="1:10" ht="15.75">
      <c r="A6" s="3" t="s">
        <v>216</v>
      </c>
      <c r="B6" s="5">
        <v>1</v>
      </c>
      <c r="C6" s="12" t="str">
        <f>IF(AND(B4&gt;1,B6&gt;1),"The binning and skipping levels are not set to be greater than 2 at the same time","")</f>
        <v/>
      </c>
      <c r="D6" s="28"/>
      <c r="E6" s="28"/>
      <c r="F6" s="28"/>
      <c r="G6" s="28"/>
      <c r="H6" s="28"/>
      <c r="I6" s="28" t="s">
        <v>217</v>
      </c>
      <c r="J6" s="28"/>
    </row>
    <row r="7" spans="1:10" ht="15.75">
      <c r="A7" s="3" t="s">
        <v>218</v>
      </c>
      <c r="B7" s="5">
        <v>1</v>
      </c>
      <c r="C7" s="12" t="str">
        <f>IF(AND(B5&gt;1,B7&gt;1),"The vertical binning and skipping are not set to be greater than 2 at the same time","")</f>
        <v/>
      </c>
      <c r="D7" s="28"/>
      <c r="E7" s="28"/>
      <c r="F7" s="28"/>
      <c r="G7" s="28">
        <v>2448</v>
      </c>
      <c r="H7" s="28">
        <v>2048</v>
      </c>
      <c r="I7" s="28"/>
      <c r="J7" s="28"/>
    </row>
    <row r="8" spans="1:10" ht="15.75">
      <c r="A8" s="4" t="s">
        <v>1</v>
      </c>
      <c r="B8" s="5">
        <v>10000</v>
      </c>
      <c r="C8" s="28"/>
      <c r="D8" s="28"/>
      <c r="E8" s="28"/>
      <c r="F8" s="28"/>
      <c r="G8" s="28"/>
      <c r="H8" s="28"/>
      <c r="I8" s="28"/>
      <c r="J8" s="28"/>
    </row>
    <row r="9" spans="1:10" ht="15.75">
      <c r="A9" s="4" t="s">
        <v>2</v>
      </c>
      <c r="B9" s="5">
        <v>8</v>
      </c>
      <c r="C9" s="28"/>
      <c r="D9" s="28"/>
      <c r="E9" s="28"/>
      <c r="F9" s="28" t="s">
        <v>219</v>
      </c>
      <c r="G9" s="28" t="s">
        <v>220</v>
      </c>
      <c r="H9" s="28" t="s">
        <v>221</v>
      </c>
      <c r="I9" s="28"/>
      <c r="J9" s="28"/>
    </row>
    <row r="10" spans="1:10" ht="15.75">
      <c r="A10" s="4" t="s">
        <v>3</v>
      </c>
      <c r="B10" s="5">
        <v>300000000</v>
      </c>
      <c r="C10" s="28"/>
      <c r="D10" s="28"/>
      <c r="E10" s="28"/>
      <c r="F10" s="28">
        <v>1</v>
      </c>
      <c r="G10" s="28">
        <v>2448</v>
      </c>
      <c r="H10" s="28">
        <v>2048</v>
      </c>
      <c r="I10" s="28" t="s">
        <v>222</v>
      </c>
      <c r="J10" s="28" t="s">
        <v>223</v>
      </c>
    </row>
    <row r="11" spans="1:10" ht="15.75">
      <c r="A11" s="4" t="s">
        <v>4</v>
      </c>
      <c r="B11" s="5">
        <v>380000000</v>
      </c>
      <c r="C11" s="28"/>
      <c r="D11" s="28"/>
      <c r="E11" s="28"/>
      <c r="F11" s="28">
        <v>2</v>
      </c>
      <c r="G11" s="28">
        <v>1224</v>
      </c>
      <c r="H11" s="28">
        <v>1024</v>
      </c>
      <c r="I11" s="28" t="s">
        <v>224</v>
      </c>
      <c r="J11" s="28" t="s">
        <v>225</v>
      </c>
    </row>
    <row r="12" spans="1:10" ht="15.75" hidden="1">
      <c r="A12" s="4" t="s">
        <v>5</v>
      </c>
      <c r="B12" s="5">
        <f>MAX(ROUNDUP((B8-13.73)/B15,0),1)</f>
        <v>1650</v>
      </c>
      <c r="C12" s="28"/>
      <c r="D12" s="28"/>
      <c r="E12" s="28"/>
      <c r="F12" s="28">
        <v>4</v>
      </c>
      <c r="G12" s="28">
        <v>608</v>
      </c>
      <c r="H12" s="28">
        <v>512</v>
      </c>
      <c r="I12" s="28" t="s">
        <v>226</v>
      </c>
      <c r="J12" s="28" t="s">
        <v>227</v>
      </c>
    </row>
    <row r="13" spans="1:10" ht="15.75" hidden="1">
      <c r="A13" s="4" t="s">
        <v>6</v>
      </c>
      <c r="B13" s="5" t="str">
        <f>IF((B9&lt;=8),"1","2")</f>
        <v>1</v>
      </c>
      <c r="C13" s="28"/>
      <c r="D13" s="28"/>
      <c r="E13" s="28"/>
      <c r="F13" s="28"/>
      <c r="G13" s="28"/>
      <c r="H13" s="28"/>
      <c r="I13" s="28" t="s">
        <v>228</v>
      </c>
      <c r="J13" s="28"/>
    </row>
    <row r="14" spans="1:10" ht="15.75" hidden="1">
      <c r="A14" s="4" t="s">
        <v>229</v>
      </c>
      <c r="B14" s="5">
        <f>B2*B3*B13+84</f>
        <v>5013588</v>
      </c>
      <c r="C14" s="28"/>
      <c r="D14" s="28"/>
      <c r="E14" s="28"/>
      <c r="F14" s="28"/>
      <c r="G14" s="28">
        <v>2448</v>
      </c>
      <c r="H14" s="28">
        <v>2048</v>
      </c>
      <c r="I14" s="28"/>
      <c r="J14" s="28"/>
    </row>
    <row r="15" spans="1:10" ht="15.75" hidden="1">
      <c r="A15" s="4" t="s">
        <v>230</v>
      </c>
      <c r="B15" s="5">
        <f>ROUNDUP(IF(B9=8,227/37.5,454/37.5)*1000,10)/1000</f>
        <v>6.0533333333334003</v>
      </c>
      <c r="C15" s="28"/>
      <c r="D15" s="28"/>
      <c r="E15" s="28"/>
      <c r="F15" s="28"/>
      <c r="G15" s="28"/>
      <c r="H15" s="28"/>
      <c r="I15" s="28"/>
      <c r="J15" s="28"/>
    </row>
    <row r="16" spans="1:10" ht="15.75" hidden="1">
      <c r="A16" s="4" t="s">
        <v>7</v>
      </c>
      <c r="B16" s="5">
        <f>(B3*B5*B7+38)*B15</f>
        <v>12627.253333333472</v>
      </c>
      <c r="C16" s="28"/>
      <c r="D16" s="28"/>
      <c r="E16" s="28"/>
      <c r="F16" s="28"/>
      <c r="G16" s="28"/>
      <c r="H16" s="28"/>
      <c r="I16" s="28"/>
      <c r="J16" s="28"/>
    </row>
    <row r="17" spans="1:10" ht="15.75">
      <c r="A17" s="4" t="s">
        <v>8</v>
      </c>
      <c r="B17" s="5" t="s">
        <v>9</v>
      </c>
      <c r="C17" s="28"/>
      <c r="D17" s="28"/>
      <c r="E17" s="28"/>
      <c r="F17" s="28"/>
      <c r="G17" s="28"/>
      <c r="H17" s="28"/>
      <c r="I17" s="28"/>
      <c r="J17" s="28"/>
    </row>
    <row r="18" spans="1:10" ht="15.75">
      <c r="A18" s="4" t="s">
        <v>10</v>
      </c>
      <c r="B18" s="5">
        <v>79.099999999999994</v>
      </c>
      <c r="C18" s="28"/>
      <c r="D18" s="28"/>
      <c r="E18" s="28"/>
      <c r="F18" s="28"/>
      <c r="G18" s="28"/>
      <c r="H18" s="28"/>
      <c r="I18" s="28"/>
      <c r="J18" s="28"/>
    </row>
    <row r="19" spans="1:10" ht="15.75" hidden="1">
      <c r="A19" s="3" t="s">
        <v>231</v>
      </c>
      <c r="B19" s="6">
        <f>MAX(B14*1000000/B11,ROUNDUP(B14*1000000/B10/B15,0)*B15,(B12+14)*B15,B16,B15*(IF(B17="off",0,1))*ROUNDUP(1000*1000/(B15*B18),0))</f>
        <v>16713.25333333352</v>
      </c>
      <c r="C19" s="10" t="str">
        <f>IF(OR(B3&gt;3000/B5,B3&lt;64,B2&gt;4096/B4,B2&lt;64),I6,"")</f>
        <v/>
      </c>
      <c r="D19" s="28"/>
      <c r="E19" s="28"/>
      <c r="F19" s="28"/>
      <c r="G19" s="28"/>
      <c r="H19" s="28"/>
      <c r="I19" s="28"/>
      <c r="J19" s="28"/>
    </row>
    <row r="20" spans="1:10" ht="15.75">
      <c r="A20" s="35" t="s">
        <v>232</v>
      </c>
      <c r="B20" s="36"/>
    </row>
    <row r="21" spans="1:10" ht="27">
      <c r="A21" s="7" t="s">
        <v>233</v>
      </c>
      <c r="B21" s="8">
        <f>1000000/B19</f>
        <v>59.83275548187639</v>
      </c>
    </row>
  </sheetData>
  <sheetProtection algorithmName="SHA-512" hashValue="IDSZJciq8OuI1l7wYznms6pk5c1UK1gE9UPZs+gWghX2MJqCvD+Pq2/3QnDgZj1tK4HhwVinWKKVMNeYoNOXEw==" saltValue="PBdiajH+c0AcG8e9nLS2DA==" spinCount="100000" sheet="1" objects="1" scenarios="1"/>
  <mergeCells count="2">
    <mergeCell ref="A1:B1"/>
    <mergeCell ref="A20:B20"/>
  </mergeCells>
  <phoneticPr fontId="8" type="noConversion"/>
  <conditionalFormatting sqref="B2">
    <cfRule type="cellIs" dxfId="23" priority="6" operator="notBetween">
      <formula>64</formula>
      <formula>$G$14</formula>
    </cfRule>
    <cfRule type="cellIs" dxfId="22" priority="8" operator="notBetween">
      <formula>64</formula>
      <formula>$G$7</formula>
    </cfRule>
  </conditionalFormatting>
  <conditionalFormatting sqref="B3">
    <cfRule type="cellIs" dxfId="21" priority="5" operator="notBetween">
      <formula>64</formula>
      <formula>$H$7</formula>
    </cfRule>
    <cfRule type="cellIs" dxfId="20" priority="7" operator="notBetween">
      <formula>64</formula>
      <formula>$H$14</formula>
    </cfRule>
  </conditionalFormatting>
  <conditionalFormatting sqref="B4">
    <cfRule type="expression" dxfId="19" priority="4">
      <formula>AND(B6&gt;1,B4&gt;1)</formula>
    </cfRule>
  </conditionalFormatting>
  <conditionalFormatting sqref="B6">
    <cfRule type="expression" dxfId="18" priority="3">
      <formula>AND(B6&gt;1,B4&gt;1)</formula>
    </cfRule>
  </conditionalFormatting>
  <conditionalFormatting sqref="B5">
    <cfRule type="expression" dxfId="17" priority="2">
      <formula>AND(B5&gt;1,B7&gt;1)</formula>
    </cfRule>
  </conditionalFormatting>
  <conditionalFormatting sqref="B7">
    <cfRule type="expression" dxfId="16" priority="1">
      <formula>AND(B5&gt;1,B7&gt;1)</formula>
    </cfRule>
  </conditionalFormatting>
  <dataValidations count="8">
    <dataValidation type="list" allowBlank="1" showInputMessage="1" showErrorMessage="1" errorTitle="Input parameter error" error="Input range is 1,2,4" sqref="B4:B7">
      <formula1>"1,2,4"</formula1>
    </dataValidation>
    <dataValidation type="list" allowBlank="1" showInputMessage="1" showErrorMessage="1" errorTitle="Input parameter error" error="Input 8 or 10" sqref="B9">
      <formula1>"8,10"</formula1>
    </dataValidation>
    <dataValidation type="custom" allowBlank="1" showInputMessage="1" showErrorMessage="1" errorTitle="Input parameter error" error="Input parameter error,Input range from 64 to 2448,and is an integer multiple of 8" sqref="B2">
      <formula1>AND(MOD(B2,8)=0,B2&gt;=64,B2&lt;=2448/B4)</formula1>
    </dataValidation>
    <dataValidation type="custom" allowBlank="1" showInputMessage="1" showErrorMessage="1" errorTitle="Input parameter error" error="Input parameter error,Input range from 64 to 2048,and is an integer multiple of 2" sqref="B3">
      <formula1>AND(MOD(B3,2)=0,B3&gt;=64,B3&lt;=2048/B5)</formula1>
    </dataValidation>
    <dataValidation type="whole" allowBlank="1" showInputMessage="1" showErrorMessage="1" errorTitle="Input parameter error" error="Input range is 20-1000000" sqref="B8">
      <formula1>20</formula1>
      <formula2>1000000</formula2>
    </dataValidation>
    <dataValidation type="custom" allowBlank="1" showInputMessage="1" showErrorMessage="1" errorTitle="Input parameter error" error="8bit mode range from 35000000 to 400000000,step 1000000;_x000a_10bit mode range from 70000000 to 400000000,step 1000000" sqref="B10">
      <formula1>OR(AND(B9=8,B10&gt;=35000000,B10&lt;=400000000,MOD(B10,1000000)=0),AND(B9=10,B10&gt;=70000000,B10&lt;=400000000,MOD(B10,1000000)=0))</formula1>
    </dataValidation>
    <dataValidation type="list" allowBlank="1" showInputMessage="1" showErrorMessage="1" errorTitle="Input parameter error" error="Input on or off" sqref="B17">
      <formula1>"on,off"</formula1>
    </dataValidation>
    <dataValidation type="custom" allowBlank="1" showInputMessage="1" showErrorMessage="1" errorTitle="Input parameter error" error="Input range from 0.1 to 10000,step 0.1" sqref="B18">
      <formula1>AND(MOD(10*B18,1)=0,B18&gt;=0.1,B18&lt;=10000)</formula1>
    </dataValidation>
  </dataValidations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3"/>
  </sheetPr>
  <dimension ref="A1:B18"/>
  <sheetViews>
    <sheetView workbookViewId="0">
      <selection activeCell="B3" sqref="B3"/>
    </sheetView>
  </sheetViews>
  <sheetFormatPr defaultColWidth="9" defaultRowHeight="13.5"/>
  <cols>
    <col min="1" max="1" width="35.625" style="28" customWidth="1"/>
    <col min="2" max="2" width="28.5" style="28" customWidth="1"/>
    <col min="3" max="16384" width="9" style="28"/>
  </cols>
  <sheetData>
    <row r="1" spans="1:2" ht="15.75">
      <c r="A1" s="33" t="s">
        <v>78</v>
      </c>
      <c r="B1" s="34"/>
    </row>
    <row r="2" spans="1:2" ht="15.75">
      <c r="A2" s="3" t="s">
        <v>0</v>
      </c>
      <c r="B2" s="5">
        <v>2448</v>
      </c>
    </row>
    <row r="3" spans="1:2" ht="15.75">
      <c r="A3" s="3" t="s">
        <v>72</v>
      </c>
      <c r="B3" s="5">
        <v>2048</v>
      </c>
    </row>
    <row r="4" spans="1:2" ht="15.75">
      <c r="A4" s="3" t="s">
        <v>1</v>
      </c>
      <c r="B4" s="5">
        <v>20000</v>
      </c>
    </row>
    <row r="5" spans="1:2" ht="15.75">
      <c r="A5" s="3" t="s">
        <v>2</v>
      </c>
      <c r="B5" s="5">
        <v>8</v>
      </c>
    </row>
    <row r="6" spans="1:2" ht="15.75">
      <c r="A6" s="3" t="s">
        <v>3</v>
      </c>
      <c r="B6" s="5">
        <v>300000000</v>
      </c>
    </row>
    <row r="7" spans="1:2" ht="15.75">
      <c r="A7" s="3" t="s">
        <v>4</v>
      </c>
      <c r="B7" s="5">
        <v>380000000</v>
      </c>
    </row>
    <row r="8" spans="1:2" ht="15.75" hidden="1">
      <c r="A8" s="3"/>
      <c r="B8" s="5"/>
    </row>
    <row r="9" spans="1:2" ht="15.75" hidden="1">
      <c r="A9" s="3" t="s">
        <v>5</v>
      </c>
      <c r="B9" s="5">
        <f>MAX(INT((B4-13.73)/B12),1)</f>
        <v>1504</v>
      </c>
    </row>
    <row r="10" spans="1:2" ht="15.75" hidden="1">
      <c r="A10" s="3" t="s">
        <v>6</v>
      </c>
      <c r="B10" s="5" t="str">
        <f>IF((B5&lt;=8),"1","2")</f>
        <v>1</v>
      </c>
    </row>
    <row r="11" spans="1:2" ht="15.75" hidden="1">
      <c r="A11" s="3" t="s">
        <v>66</v>
      </c>
      <c r="B11" s="5">
        <f>B2*B3*B10+84</f>
        <v>5013588</v>
      </c>
    </row>
    <row r="12" spans="1:2" ht="15.75" hidden="1">
      <c r="A12" s="3" t="s">
        <v>64</v>
      </c>
      <c r="B12" s="5">
        <f>498/37.5</f>
        <v>13.28</v>
      </c>
    </row>
    <row r="13" spans="1:2" ht="15.75" hidden="1">
      <c r="A13" s="3" t="s">
        <v>7</v>
      </c>
      <c r="B13" s="5">
        <f>(B3+32)*B12</f>
        <v>27622.399999999998</v>
      </c>
    </row>
    <row r="14" spans="1:2" ht="15.75">
      <c r="A14" s="3" t="s">
        <v>8</v>
      </c>
      <c r="B14" s="5" t="s">
        <v>9</v>
      </c>
    </row>
    <row r="15" spans="1:2" ht="15.75">
      <c r="A15" s="3" t="s">
        <v>10</v>
      </c>
      <c r="B15" s="5">
        <v>36</v>
      </c>
    </row>
    <row r="16" spans="1:2" ht="15.75" hidden="1">
      <c r="A16" s="3" t="s">
        <v>61</v>
      </c>
      <c r="B16" s="6">
        <f>MAX(B11*1000000/B7,B11*1000000/B6,(B9+14)*B12,B13,B12*IF(B14="off",0,1)*INT(1000*1000/(B12*B15)))</f>
        <v>27622.399999999998</v>
      </c>
    </row>
    <row r="17" spans="1:2" ht="15.75">
      <c r="A17" s="35" t="s">
        <v>58</v>
      </c>
      <c r="B17" s="36"/>
    </row>
    <row r="18" spans="1:2" ht="27">
      <c r="A18" s="7" t="s">
        <v>57</v>
      </c>
      <c r="B18" s="8">
        <f>1000000/B16</f>
        <v>36.20250231696015</v>
      </c>
    </row>
  </sheetData>
  <sheetProtection algorithmName="SHA-512" hashValue="KmdU2eLkn9OFbXzJBjAOdmKXAAiVv3Fz74Yzvd1xXHsod6oiHqmUDKMoq5iEvuL9xCQUC7fg49akbjK4HFebMg==" saltValue="HMCQgOiRB7ZUCQgLgUP0pA==" spinCount="100000" sheet="1" objects="1" scenarios="1"/>
  <mergeCells count="2">
    <mergeCell ref="A1:B1"/>
    <mergeCell ref="A17:B17"/>
  </mergeCells>
  <phoneticPr fontId="8" type="noConversion"/>
  <dataValidations count="7">
    <dataValidation type="custom" allowBlank="1" showInputMessage="1" showErrorMessage="1" errorTitle="Input parameter error" error="Input range from 0.1 to 10000,step 0.1" sqref="B15">
      <formula1>AND(MOD(10*B15,1)=0,B15&gt;=0.1,B15&lt;=10000)</formula1>
    </dataValidation>
    <dataValidation type="list" allowBlank="1" showInputMessage="1" showErrorMessage="1" errorTitle="Input parameter error" error="Input off or on" sqref="B14">
      <formula1>"off,on"</formula1>
    </dataValidation>
    <dataValidation type="list" allowBlank="1" showDropDown="1" showInputMessage="1" showErrorMessage="1" errorTitle="Input parameter error" error="Input 8 or 10" sqref="B5">
      <formula1>"8,10"</formula1>
    </dataValidation>
    <dataValidation type="custom" allowBlank="1" showInputMessage="1" showErrorMessage="1" errorTitle="Input parameter error" error="8bit mode range from 35000000 to 400000000,step 1000000;_x000a_10bit mode range from 70000000 to 400000000,step 1000000" sqref="B6">
      <formula1>OR(AND(B5=8,B6&gt;=35000000,B6&lt;=400000000,MOD(B6,1000000)=0),AND(B5=10,B6&gt;=70000000,B6&lt;=400000000,MOD(B6,1000000)=0))</formula1>
    </dataValidation>
    <dataValidation type="whole" allowBlank="1" showInputMessage="1" showErrorMessage="1" errorTitle="Input parameter error" error="Input range from 20 to 1000000" sqref="B4">
      <formula1>20</formula1>
      <formula2>1000000</formula2>
    </dataValidation>
    <dataValidation type="custom" allowBlank="1" showInputMessage="1" showErrorMessage="1" errorTitle="Input parameter error" error="Input range from 64 to 2048,and is an integer multiple of 2" sqref="B3">
      <formula1>AND(MOD(B3,2)=0,B3&gt;=64,B3&lt;=2048)</formula1>
    </dataValidation>
    <dataValidation type="custom" allowBlank="1" showInputMessage="1" showErrorMessage="1" errorTitle="Input parameter error" error="Input range from 64 to 2448,and is an integer multiple of 8" sqref="B2">
      <formula1>AND(MOD(B2,8)=0,B2&gt;=64,B2&lt;=2448)</formula1>
    </dataValidation>
  </dataValidations>
  <pageMargins left="0.7" right="0.7" top="0.75" bottom="0.75" header="0.3" footer="0.3"/>
  <pageSetup orientation="portrait" horizontalDpi="200" verticalDpi="200" copies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3"/>
  </sheetPr>
  <dimension ref="A1:I33"/>
  <sheetViews>
    <sheetView workbookViewId="0">
      <selection activeCell="F44" sqref="F44"/>
    </sheetView>
  </sheetViews>
  <sheetFormatPr defaultColWidth="8.875" defaultRowHeight="13.5"/>
  <cols>
    <col min="1" max="1" width="40.625" style="46" customWidth="1"/>
    <col min="2" max="2" width="25.5" style="46" customWidth="1"/>
    <col min="3" max="6" width="8.875" style="46"/>
    <col min="7" max="7" width="21.5" style="46" hidden="1" customWidth="1"/>
    <col min="8" max="8" width="23.5" style="46" hidden="1" customWidth="1"/>
    <col min="9" max="9" width="8.875" style="46" hidden="1" customWidth="1"/>
    <col min="10" max="16384" width="8.875" style="46"/>
  </cols>
  <sheetData>
    <row r="1" spans="1:9" ht="15.75">
      <c r="A1" s="33" t="s">
        <v>78</v>
      </c>
      <c r="B1" s="34"/>
      <c r="G1" s="47" t="s">
        <v>77</v>
      </c>
      <c r="H1" s="48"/>
      <c r="I1" s="49"/>
    </row>
    <row r="2" spans="1:9" ht="15.75">
      <c r="A2" s="15" t="s">
        <v>76</v>
      </c>
      <c r="B2" s="50">
        <v>3088</v>
      </c>
      <c r="G2" s="51" t="s">
        <v>0</v>
      </c>
      <c r="H2" s="51">
        <v>3088</v>
      </c>
      <c r="I2" s="51"/>
    </row>
    <row r="3" spans="1:9" ht="15.75">
      <c r="A3" s="15" t="s">
        <v>75</v>
      </c>
      <c r="B3" s="50">
        <v>2064</v>
      </c>
      <c r="G3" s="51" t="s">
        <v>72</v>
      </c>
      <c r="H3" s="51">
        <f>B3</f>
        <v>2064</v>
      </c>
      <c r="I3" s="51"/>
    </row>
    <row r="4" spans="1:9" ht="15.75">
      <c r="A4" s="14" t="s">
        <v>1</v>
      </c>
      <c r="B4" s="52">
        <v>10000</v>
      </c>
      <c r="G4" s="47" t="s">
        <v>74</v>
      </c>
      <c r="H4" s="48"/>
      <c r="I4" s="49"/>
    </row>
    <row r="5" spans="1:9" ht="15.75">
      <c r="A5" s="14" t="s">
        <v>2</v>
      </c>
      <c r="B5" s="52">
        <v>8</v>
      </c>
      <c r="G5" s="51" t="s">
        <v>0</v>
      </c>
      <c r="H5" s="51">
        <v>3088</v>
      </c>
      <c r="I5" s="51"/>
    </row>
    <row r="6" spans="1:9" ht="15.75">
      <c r="A6" s="14" t="s">
        <v>3</v>
      </c>
      <c r="B6" s="52">
        <v>300000000</v>
      </c>
      <c r="G6" s="51" t="s">
        <v>72</v>
      </c>
      <c r="H6" s="51">
        <f>IF(H3&gt;=320,H3,320)</f>
        <v>2064</v>
      </c>
      <c r="I6" s="51"/>
    </row>
    <row r="7" spans="1:9" ht="15.75">
      <c r="A7" s="14" t="s">
        <v>4</v>
      </c>
      <c r="B7" s="52">
        <v>380000000</v>
      </c>
      <c r="G7" s="47"/>
      <c r="H7" s="48"/>
      <c r="I7" s="49"/>
    </row>
    <row r="8" spans="1:9" ht="15.75">
      <c r="A8" s="14" t="s">
        <v>71</v>
      </c>
      <c r="B8" s="52" t="s">
        <v>9</v>
      </c>
      <c r="G8" s="51" t="s">
        <v>51</v>
      </c>
      <c r="H8" s="51">
        <f>IF(B5=8,7778,2*7778)</f>
        <v>7778</v>
      </c>
      <c r="I8" s="51" t="s">
        <v>49</v>
      </c>
    </row>
    <row r="9" spans="1:9" ht="15.75">
      <c r="A9" s="14" t="s">
        <v>8</v>
      </c>
      <c r="B9" s="52" t="s">
        <v>9</v>
      </c>
      <c r="G9" s="51" t="s">
        <v>70</v>
      </c>
      <c r="H9" s="51">
        <v>2000</v>
      </c>
      <c r="I9" s="51" t="s">
        <v>69</v>
      </c>
    </row>
    <row r="10" spans="1:9" ht="15.75">
      <c r="A10" s="14" t="s">
        <v>10</v>
      </c>
      <c r="B10" s="52">
        <v>60</v>
      </c>
      <c r="G10" s="51" t="s">
        <v>68</v>
      </c>
      <c r="H10" s="51">
        <v>28</v>
      </c>
      <c r="I10" s="51" t="s">
        <v>51</v>
      </c>
    </row>
    <row r="11" spans="1:9" ht="15.75" hidden="1">
      <c r="A11" s="53" t="s">
        <v>6</v>
      </c>
      <c r="B11" s="54" t="str">
        <f>IF((B5&lt;=8),"1","2")</f>
        <v>1</v>
      </c>
      <c r="G11" s="51" t="s">
        <v>67</v>
      </c>
      <c r="H11" s="51">
        <v>7</v>
      </c>
      <c r="I11" s="51" t="s">
        <v>51</v>
      </c>
    </row>
    <row r="12" spans="1:9" ht="15.75" hidden="1">
      <c r="A12" s="53" t="s">
        <v>66</v>
      </c>
      <c r="B12" s="54">
        <f>H15</f>
        <v>6373716</v>
      </c>
      <c r="G12" s="55" t="s">
        <v>65</v>
      </c>
      <c r="H12" s="51">
        <v>16</v>
      </c>
      <c r="I12" s="51" t="s">
        <v>51</v>
      </c>
    </row>
    <row r="13" spans="1:9" ht="15.75" hidden="1">
      <c r="A13" s="53" t="s">
        <v>64</v>
      </c>
      <c r="B13" s="54">
        <f>H8</f>
        <v>7778</v>
      </c>
      <c r="G13" s="51" t="s">
        <v>63</v>
      </c>
      <c r="H13" s="51">
        <v>78</v>
      </c>
      <c r="I13" s="51" t="s">
        <v>51</v>
      </c>
    </row>
    <row r="14" spans="1:9" ht="15.75" hidden="1">
      <c r="A14" s="53" t="s">
        <v>7</v>
      </c>
      <c r="B14" s="54">
        <f>B15</f>
        <v>21248888.888888888</v>
      </c>
      <c r="G14" s="51" t="s">
        <v>62</v>
      </c>
      <c r="H14" s="51">
        <v>8</v>
      </c>
      <c r="I14" s="51" t="s">
        <v>51</v>
      </c>
    </row>
    <row r="15" spans="1:9" ht="15.75" hidden="1">
      <c r="A15" s="53" t="s">
        <v>61</v>
      </c>
      <c r="B15" s="54">
        <f>H21</f>
        <v>21248888.888888888</v>
      </c>
      <c r="G15" s="51" t="s">
        <v>60</v>
      </c>
      <c r="H15" s="51">
        <f>IF(B5=8,1,2)*B2*B3+84</f>
        <v>6373716</v>
      </c>
      <c r="I15" s="51" t="s">
        <v>59</v>
      </c>
    </row>
    <row r="16" spans="1:9" ht="15.75">
      <c r="A16" s="35" t="s">
        <v>58</v>
      </c>
      <c r="B16" s="36"/>
      <c r="G16" s="47"/>
      <c r="H16" s="48"/>
      <c r="I16" s="49"/>
    </row>
    <row r="17" spans="1:9" ht="27">
      <c r="A17" s="56" t="s">
        <v>57</v>
      </c>
      <c r="B17" s="57">
        <f>1000000000/B15</f>
        <v>47.061284250156874</v>
      </c>
      <c r="G17" s="51" t="s">
        <v>56</v>
      </c>
      <c r="H17" s="51">
        <f>H10+MAX(H6+H13-H10,2+H11+ROUNDUP(1000*H9/H8,0))</f>
        <v>2142</v>
      </c>
      <c r="I17" s="51" t="s">
        <v>51</v>
      </c>
    </row>
    <row r="18" spans="1:9">
      <c r="G18" s="51" t="s">
        <v>55</v>
      </c>
      <c r="H18" s="51">
        <f>ROUNDUP(1000*B4/H8,0)+H14</f>
        <v>1294</v>
      </c>
      <c r="I18" s="51" t="s">
        <v>51</v>
      </c>
    </row>
    <row r="19" spans="1:9">
      <c r="G19" s="51" t="s">
        <v>54</v>
      </c>
      <c r="H19" s="51">
        <f>IF(B9="on",ROUNDUP((10^9)/(B10*H8),0),0)</f>
        <v>0</v>
      </c>
      <c r="I19" s="51" t="s">
        <v>51</v>
      </c>
    </row>
    <row r="20" spans="1:9">
      <c r="G20" s="51" t="s">
        <v>53</v>
      </c>
      <c r="H20" s="51">
        <f>ROUNDUP((H15/MIN(B6,B7))*10^9/H8,0)</f>
        <v>2732</v>
      </c>
      <c r="I20" s="51" t="s">
        <v>51</v>
      </c>
    </row>
    <row r="21" spans="1:9">
      <c r="G21" s="51" t="s">
        <v>50</v>
      </c>
      <c r="H21" s="51">
        <f>IF(B8="off",MAX(H17:H20),MAX(H17+H18+H12,H19,H20))*1000*IF(B5=8,420,840)/54</f>
        <v>21248888.888888888</v>
      </c>
      <c r="I21" s="51" t="s">
        <v>49</v>
      </c>
    </row>
    <row r="29" spans="1:9" hidden="1"/>
    <row r="30" spans="1:9" hidden="1"/>
    <row r="31" spans="1:9" hidden="1"/>
    <row r="32" spans="1:9" hidden="1"/>
    <row r="33" hidden="1"/>
  </sheetData>
  <sheetProtection algorithmName="SHA-512" hashValue="kK9CMZLOZjjmL2sfMw8/zlsvGMQjMLLgIOLiY0BZ8/ThoxgSc1LsNLyxDj/6qaupHYiRA4NdtF8l7/5KP5hULQ==" saltValue="3+O4D64TIraKeMjCWG/KPg==" spinCount="100000" sheet="1" objects="1" scenarios="1"/>
  <mergeCells count="6">
    <mergeCell ref="A1:B1"/>
    <mergeCell ref="G1:I1"/>
    <mergeCell ref="G4:I4"/>
    <mergeCell ref="G7:I7"/>
    <mergeCell ref="A16:B16"/>
    <mergeCell ref="G16:I16"/>
  </mergeCells>
  <phoneticPr fontId="8" type="noConversion"/>
  <dataValidations count="7">
    <dataValidation type="custom" allowBlank="1" showInputMessage="1" showErrorMessage="1" errorTitle="Input parameter error" error="Input renge from 0.1 to 10000,step 0.1" sqref="B10">
      <formula1>AND(MOD(10*B10,1)=0,B10&gt;=0.1,B10&lt;=10000)</formula1>
    </dataValidation>
    <dataValidation type="list" allowBlank="1" showInputMessage="1" showErrorMessage="1" errorTitle="Input parameter error" error="Input off or on" sqref="B8:B9">
      <formula1>"on,off"</formula1>
    </dataValidation>
    <dataValidation type="list" allowBlank="1" showInputMessage="1" showErrorMessage="1" errorTitle="Input parameter error" error="input 8 or 10" sqref="B5">
      <formula1>"8,10"</formula1>
    </dataValidation>
    <dataValidation type="custom" allowBlank="1" showInputMessage="1" showErrorMessage="1" errorTitle="Input parameter error" error="8bit mode range from 35000000 to 400000000,step 1000000;_x000a_10bit mode range from 70000000 to 400000000,step 1000000" sqref="B6">
      <formula1>OR(AND(B5=8,B6&gt;=35000000,B6&lt;=400000000,MOD(B6,1000000)=0),AND(B5=10,B6&gt;=70000000,B6&lt;=400000000,MOD(B6,1000000)=0))</formula1>
    </dataValidation>
    <dataValidation type="whole" allowBlank="1" showInputMessage="1" showErrorMessage="1" errorTitle="Input parameter error" error="Input range from 8 to 1000000" sqref="B4">
      <formula1>8</formula1>
      <formula2>1000000</formula2>
    </dataValidation>
    <dataValidation type="custom" allowBlank="1" showInputMessage="1" showErrorMessage="1" errorTitle="Input parameter error" error="Input range from 64 to 3088,and is an integer multiple of 8_x000a_" sqref="B2">
      <formula1>AND(MOD(B2,8)=0,B2&gt;=64,B2&lt;=3088)</formula1>
    </dataValidation>
    <dataValidation type="custom" allowBlank="1" showInputMessage="1" showErrorMessage="1" errorTitle="Input parameter error" error="Input range from 64 to 2064,and is an integer multiple of 2" sqref="B3">
      <formula1>AND(MOD(B3,2)=0,B3&gt;=64,B3&lt;=2064)</formula1>
    </dataValidation>
  </dataValidations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3"/>
  </sheetPr>
  <dimension ref="A1:I22"/>
  <sheetViews>
    <sheetView workbookViewId="0">
      <selection activeCell="B2" sqref="B2"/>
    </sheetView>
  </sheetViews>
  <sheetFormatPr defaultColWidth="8.875" defaultRowHeight="13.5"/>
  <cols>
    <col min="1" max="1" width="40.625" style="28" customWidth="1"/>
    <col min="2" max="2" width="15.5" style="28" bestFit="1" customWidth="1"/>
    <col min="3" max="6" width="8.875" style="28"/>
    <col min="7" max="7" width="21.5" style="28" hidden="1" customWidth="1"/>
    <col min="8" max="8" width="23.5" style="28" hidden="1" customWidth="1"/>
    <col min="9" max="9" width="8.875" style="28" hidden="1" customWidth="1"/>
    <col min="10" max="10" width="8.875" style="28" customWidth="1"/>
    <col min="11" max="16384" width="8.875" style="28"/>
  </cols>
  <sheetData>
    <row r="1" spans="1:9" ht="15.75">
      <c r="A1" s="33" t="s">
        <v>78</v>
      </c>
      <c r="B1" s="34"/>
      <c r="G1" s="40" t="s">
        <v>77</v>
      </c>
      <c r="H1" s="41"/>
      <c r="I1" s="42"/>
    </row>
    <row r="2" spans="1:9" ht="15.75">
      <c r="A2" s="15" t="s">
        <v>76</v>
      </c>
      <c r="B2" s="11">
        <v>4024</v>
      </c>
      <c r="G2" s="13" t="s">
        <v>0</v>
      </c>
      <c r="H2" s="13">
        <v>4024</v>
      </c>
      <c r="I2" s="13"/>
    </row>
    <row r="3" spans="1:9" ht="15.75">
      <c r="A3" s="15" t="s">
        <v>75</v>
      </c>
      <c r="B3" s="11">
        <v>3036</v>
      </c>
      <c r="G3" s="13" t="s">
        <v>72</v>
      </c>
      <c r="H3" s="13">
        <v>3036</v>
      </c>
      <c r="I3" s="13"/>
    </row>
    <row r="4" spans="1:9" ht="15.75">
      <c r="A4" s="14" t="s">
        <v>1</v>
      </c>
      <c r="B4" s="5">
        <v>30000</v>
      </c>
      <c r="G4" s="40" t="s">
        <v>74</v>
      </c>
      <c r="H4" s="41"/>
      <c r="I4" s="42"/>
    </row>
    <row r="5" spans="1:9" ht="15.75">
      <c r="A5" s="14" t="s">
        <v>73</v>
      </c>
      <c r="B5" s="5">
        <v>8</v>
      </c>
      <c r="G5" s="13" t="s">
        <v>0</v>
      </c>
      <c r="H5" s="13">
        <v>4024</v>
      </c>
      <c r="I5" s="13"/>
    </row>
    <row r="6" spans="1:9" ht="15.75">
      <c r="A6" s="14" t="s">
        <v>3</v>
      </c>
      <c r="B6" s="5">
        <v>300000000</v>
      </c>
      <c r="G6" s="13" t="s">
        <v>72</v>
      </c>
      <c r="H6" s="13">
        <v>3046</v>
      </c>
      <c r="I6" s="13"/>
    </row>
    <row r="7" spans="1:9" ht="15.75">
      <c r="A7" s="14" t="s">
        <v>4</v>
      </c>
      <c r="B7" s="5">
        <v>380000000</v>
      </c>
      <c r="G7" s="40"/>
      <c r="H7" s="41"/>
      <c r="I7" s="42"/>
    </row>
    <row r="8" spans="1:9" ht="15.75">
      <c r="A8" s="14" t="s">
        <v>71</v>
      </c>
      <c r="B8" s="5" t="s">
        <v>9</v>
      </c>
      <c r="G8" s="13" t="s">
        <v>51</v>
      </c>
      <c r="H8" s="13">
        <f>IF(B5=8,1,2)*10000</f>
        <v>10000</v>
      </c>
      <c r="I8" s="13" t="s">
        <v>49</v>
      </c>
    </row>
    <row r="9" spans="1:9" ht="15.75">
      <c r="A9" s="14" t="s">
        <v>8</v>
      </c>
      <c r="B9" s="5" t="s">
        <v>9</v>
      </c>
      <c r="G9" s="13" t="s">
        <v>70</v>
      </c>
      <c r="H9" s="13">
        <v>50</v>
      </c>
      <c r="I9" s="13" t="s">
        <v>69</v>
      </c>
    </row>
    <row r="10" spans="1:9" ht="15.75">
      <c r="A10" s="14" t="s">
        <v>10</v>
      </c>
      <c r="B10" s="5">
        <v>32.299999999999997</v>
      </c>
      <c r="G10" s="13" t="s">
        <v>68</v>
      </c>
      <c r="H10" s="13">
        <v>33</v>
      </c>
      <c r="I10" s="13" t="s">
        <v>51</v>
      </c>
    </row>
    <row r="11" spans="1:9" ht="15.75" hidden="1">
      <c r="A11" s="3" t="s">
        <v>6</v>
      </c>
      <c r="B11" s="6" t="str">
        <f>IF((B5&lt;=8),"1","2")</f>
        <v>1</v>
      </c>
      <c r="G11" s="13" t="s">
        <v>67</v>
      </c>
      <c r="H11" s="13">
        <v>17</v>
      </c>
      <c r="I11" s="13" t="s">
        <v>51</v>
      </c>
    </row>
    <row r="12" spans="1:9" ht="15.75" hidden="1">
      <c r="A12" s="3" t="s">
        <v>66</v>
      </c>
      <c r="B12" s="6">
        <f>H15</f>
        <v>12216948</v>
      </c>
      <c r="G12" s="13" t="s">
        <v>65</v>
      </c>
      <c r="H12" s="13">
        <v>16</v>
      </c>
      <c r="I12" s="13" t="s">
        <v>51</v>
      </c>
    </row>
    <row r="13" spans="1:9" ht="15.75" hidden="1">
      <c r="A13" s="3" t="s">
        <v>64</v>
      </c>
      <c r="B13" s="6">
        <f>H8</f>
        <v>10000</v>
      </c>
      <c r="G13" s="13" t="s">
        <v>63</v>
      </c>
      <c r="H13" s="13">
        <v>38</v>
      </c>
      <c r="I13" s="13" t="s">
        <v>51</v>
      </c>
    </row>
    <row r="14" spans="1:9" ht="15.75" hidden="1">
      <c r="A14" s="3" t="s">
        <v>7</v>
      </c>
      <c r="B14" s="6">
        <f>B15</f>
        <v>40730000</v>
      </c>
      <c r="G14" s="13" t="s">
        <v>62</v>
      </c>
      <c r="H14" s="13">
        <v>8</v>
      </c>
      <c r="I14" s="13" t="s">
        <v>51</v>
      </c>
    </row>
    <row r="15" spans="1:9" ht="15.75" hidden="1">
      <c r="A15" s="3" t="s">
        <v>61</v>
      </c>
      <c r="B15" s="6">
        <f>H22</f>
        <v>40730000</v>
      </c>
      <c r="G15" s="13" t="s">
        <v>60</v>
      </c>
      <c r="H15" s="13">
        <f>IF(B5=8,1,2)*B2*B3+84</f>
        <v>12216948</v>
      </c>
      <c r="I15" s="13" t="s">
        <v>59</v>
      </c>
    </row>
    <row r="16" spans="1:9" ht="15.75">
      <c r="A16" s="35" t="s">
        <v>58</v>
      </c>
      <c r="B16" s="36"/>
      <c r="G16" s="40"/>
      <c r="H16" s="41"/>
      <c r="I16" s="42"/>
    </row>
    <row r="17" spans="1:9" ht="27">
      <c r="A17" s="7" t="s">
        <v>57</v>
      </c>
      <c r="B17" s="8">
        <f>1000000000/B15</f>
        <v>24.551927326295115</v>
      </c>
      <c r="G17" s="13" t="s">
        <v>56</v>
      </c>
      <c r="H17" s="13">
        <f>H10+MAX(H6+H13-H10,2+H11+ROUNDUP(1000*H9/H8,0))</f>
        <v>3084</v>
      </c>
      <c r="I17" s="13" t="s">
        <v>51</v>
      </c>
    </row>
    <row r="18" spans="1:9">
      <c r="G18" s="13" t="s">
        <v>55</v>
      </c>
      <c r="H18" s="13">
        <f>ROUNDUP(1000*B4/H8,0)+H14</f>
        <v>3008</v>
      </c>
      <c r="I18" s="13" t="s">
        <v>51</v>
      </c>
    </row>
    <row r="19" spans="1:9">
      <c r="G19" s="13" t="s">
        <v>54</v>
      </c>
      <c r="H19" s="13">
        <f>IF(B9="on",ROUNDUP((10^9)/(B10*H8),0),0)</f>
        <v>0</v>
      </c>
      <c r="I19" s="13" t="s">
        <v>51</v>
      </c>
    </row>
    <row r="20" spans="1:9">
      <c r="G20" s="13" t="s">
        <v>53</v>
      </c>
      <c r="H20" s="13">
        <f>ROUNDUP((H15/MIN(395000000,B6,B7))*10^9/H8,0)</f>
        <v>4073</v>
      </c>
      <c r="I20" s="13" t="s">
        <v>51</v>
      </c>
    </row>
    <row r="21" spans="1:9">
      <c r="G21" s="13" t="s">
        <v>52</v>
      </c>
      <c r="H21" s="13">
        <f>H17+H18+H12</f>
        <v>6108</v>
      </c>
      <c r="I21" s="13" t="s">
        <v>51</v>
      </c>
    </row>
    <row r="22" spans="1:9">
      <c r="G22" s="13" t="s">
        <v>50</v>
      </c>
      <c r="H22" s="13">
        <f>IF(B8="off",MAX(H17:H20),MAX(H21,H19,H20))*1000*IF(B5=8,720,1440)/72</f>
        <v>40730000</v>
      </c>
      <c r="I22" s="13" t="s">
        <v>49</v>
      </c>
    </row>
  </sheetData>
  <sheetProtection algorithmName="SHA-512" hashValue="A4R/GruyGf0f2yxPu85bl0bFs9drU3T4MYNUZ508meM1osILdrwrP5S4OdIFY8VOlexQhSCzmhJWvVeNBdsJUw==" saltValue="XL+/bzOCFXS4fYWt2y8V4A==" spinCount="100000" sheet="1" objects="1" scenarios="1"/>
  <mergeCells count="6">
    <mergeCell ref="A1:B1"/>
    <mergeCell ref="G1:I1"/>
    <mergeCell ref="G4:I4"/>
    <mergeCell ref="G7:I7"/>
    <mergeCell ref="A16:B16"/>
    <mergeCell ref="G16:I16"/>
  </mergeCells>
  <phoneticPr fontId="8" type="noConversion"/>
  <dataValidations count="7">
    <dataValidation type="custom" allowBlank="1" showInputMessage="1" showErrorMessage="1" errorTitle="Input parameter error" error="Input range from 64 to 3036,and is an integer multiple of 2" sqref="B3">
      <formula1>AND(MOD(B3,2)=0,B3&gt;=64,B3&lt;=3036)</formula1>
    </dataValidation>
    <dataValidation type="custom" allowBlank="1" showInputMessage="1" showErrorMessage="1" errorTitle="Input parameter error" error="Input range from 64 to 4024,and is an integer multiple of 8_x000a_" sqref="B2">
      <formula1>AND(MOD(B2,8)=0,B2&gt;=64,B2&lt;=4024)</formula1>
    </dataValidation>
    <dataValidation type="whole" allowBlank="1" showInputMessage="1" showErrorMessage="1" errorTitle="Input parameter error" error="Input range from 10 to 1000000" sqref="B4">
      <formula1>10</formula1>
      <formula2>1000000</formula2>
    </dataValidation>
    <dataValidation type="custom" allowBlank="1" showInputMessage="1" showErrorMessage="1" errorTitle="Input parameter error" error="8bit mode range from 35000000 to 400000000,step 1000000;_x000a_12bit mode range from 70000000 to 400000000,step 1000000" sqref="B6">
      <formula1>OR(AND(B5=8,B6&gt;=35000000,B6&lt;=400000000,MOD(B6,1000000)=0),AND(B5=12,B6&gt;=70000000,B6&lt;=400000000,MOD(B6,1000000)=0))</formula1>
    </dataValidation>
    <dataValidation type="list" allowBlank="1" showInputMessage="1" showErrorMessage="1" errorTitle="Input parameter error" error="Input 8 or 12" sqref="B5">
      <formula1>"8,12"</formula1>
    </dataValidation>
    <dataValidation type="list" allowBlank="1" showInputMessage="1" showErrorMessage="1" errorTitle="Input parameter error" error="Input off or on" sqref="B8:B9">
      <formula1>"on,off"</formula1>
    </dataValidation>
    <dataValidation type="custom" allowBlank="1" showInputMessage="1" showErrorMessage="1" errorTitle="Input parameter error" error="Input renge from 0.1 to 10000,step 0.1" sqref="B10">
      <formula1>AND(MOD(10*B10,1)=0,B10&gt;=0.1,B10&lt;=10000)</formula1>
    </dataValidation>
  </dataValidations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3"/>
  </sheetPr>
  <dimension ref="A1:I22"/>
  <sheetViews>
    <sheetView workbookViewId="0">
      <selection activeCell="C36" sqref="C36"/>
    </sheetView>
  </sheetViews>
  <sheetFormatPr defaultColWidth="8.875" defaultRowHeight="13.5"/>
  <cols>
    <col min="1" max="1" width="40.625" style="28" customWidth="1"/>
    <col min="2" max="2" width="15.5" style="28" bestFit="1" customWidth="1"/>
    <col min="3" max="6" width="8.875" style="28"/>
    <col min="7" max="7" width="21.5" style="28" hidden="1" customWidth="1"/>
    <col min="8" max="8" width="23.5" style="28" hidden="1" customWidth="1"/>
    <col min="9" max="9" width="8.875" style="28" hidden="1" customWidth="1"/>
    <col min="10" max="10" width="8.875" style="28" customWidth="1"/>
    <col min="11" max="16384" width="8.875" style="28"/>
  </cols>
  <sheetData>
    <row r="1" spans="1:9" ht="15.75">
      <c r="A1" s="33" t="s">
        <v>78</v>
      </c>
      <c r="B1" s="34"/>
      <c r="G1" s="40" t="s">
        <v>77</v>
      </c>
      <c r="H1" s="41"/>
      <c r="I1" s="42"/>
    </row>
    <row r="2" spans="1:9" ht="15.75">
      <c r="A2" s="15" t="s">
        <v>76</v>
      </c>
      <c r="B2" s="11">
        <v>5496</v>
      </c>
      <c r="G2" s="13" t="s">
        <v>0</v>
      </c>
      <c r="H2" s="13">
        <v>5496</v>
      </c>
      <c r="I2" s="13"/>
    </row>
    <row r="3" spans="1:9" ht="15.75">
      <c r="A3" s="15" t="s">
        <v>75</v>
      </c>
      <c r="B3" s="11">
        <v>3672</v>
      </c>
      <c r="G3" s="13" t="s">
        <v>72</v>
      </c>
      <c r="H3" s="13">
        <f>B3</f>
        <v>3672</v>
      </c>
      <c r="I3" s="13"/>
    </row>
    <row r="4" spans="1:9" ht="15.75">
      <c r="A4" s="14" t="s">
        <v>1</v>
      </c>
      <c r="B4" s="5">
        <v>50000</v>
      </c>
      <c r="G4" s="40" t="s">
        <v>74</v>
      </c>
      <c r="H4" s="41"/>
      <c r="I4" s="42"/>
    </row>
    <row r="5" spans="1:9" ht="15.75">
      <c r="A5" s="14" t="s">
        <v>73</v>
      </c>
      <c r="B5" s="5">
        <v>8</v>
      </c>
      <c r="G5" s="13" t="s">
        <v>0</v>
      </c>
      <c r="H5" s="13">
        <v>5496</v>
      </c>
      <c r="I5" s="13"/>
    </row>
    <row r="6" spans="1:9" ht="15.75">
      <c r="A6" s="14" t="s">
        <v>3</v>
      </c>
      <c r="B6" s="5">
        <v>300000000</v>
      </c>
      <c r="G6" s="13" t="s">
        <v>72</v>
      </c>
      <c r="H6" s="13">
        <f>IF(H3&gt;=1848,H3,1848)</f>
        <v>3672</v>
      </c>
      <c r="I6" s="13"/>
    </row>
    <row r="7" spans="1:9" ht="15.75">
      <c r="A7" s="14" t="s">
        <v>4</v>
      </c>
      <c r="B7" s="5">
        <v>380000000</v>
      </c>
      <c r="G7" s="40"/>
      <c r="H7" s="41"/>
      <c r="I7" s="42"/>
    </row>
    <row r="8" spans="1:9" ht="15.75">
      <c r="A8" s="14" t="s">
        <v>71</v>
      </c>
      <c r="B8" s="5" t="s">
        <v>9</v>
      </c>
      <c r="G8" s="13" t="s">
        <v>51</v>
      </c>
      <c r="H8" s="13">
        <f>IF(B5=8,1,2)*12500</f>
        <v>12500</v>
      </c>
      <c r="I8" s="13" t="s">
        <v>49</v>
      </c>
    </row>
    <row r="9" spans="1:9" ht="15.75">
      <c r="A9" s="14" t="s">
        <v>8</v>
      </c>
      <c r="B9" s="5" t="s">
        <v>9</v>
      </c>
      <c r="G9" s="13" t="s">
        <v>70</v>
      </c>
      <c r="H9" s="13">
        <v>50</v>
      </c>
      <c r="I9" s="13" t="s">
        <v>69</v>
      </c>
    </row>
    <row r="10" spans="1:9" ht="15.75">
      <c r="A10" s="14" t="s">
        <v>10</v>
      </c>
      <c r="B10" s="5">
        <v>19.600000000000001</v>
      </c>
      <c r="G10" s="13" t="s">
        <v>68</v>
      </c>
      <c r="H10" s="13">
        <v>33</v>
      </c>
      <c r="I10" s="13" t="s">
        <v>51</v>
      </c>
    </row>
    <row r="11" spans="1:9" ht="15.75" hidden="1">
      <c r="A11" s="3" t="s">
        <v>6</v>
      </c>
      <c r="B11" s="6" t="str">
        <f>IF((B5&lt;=8),"1","2")</f>
        <v>1</v>
      </c>
      <c r="G11" s="13" t="s">
        <v>67</v>
      </c>
      <c r="H11" s="13">
        <v>17</v>
      </c>
      <c r="I11" s="13" t="s">
        <v>51</v>
      </c>
    </row>
    <row r="12" spans="1:9" ht="15.75" hidden="1">
      <c r="A12" s="3" t="s">
        <v>66</v>
      </c>
      <c r="B12" s="6">
        <f>H15</f>
        <v>20181396</v>
      </c>
      <c r="G12" s="13" t="s">
        <v>65</v>
      </c>
      <c r="H12" s="13">
        <v>16</v>
      </c>
      <c r="I12" s="13" t="s">
        <v>51</v>
      </c>
    </row>
    <row r="13" spans="1:9" ht="15.75" hidden="1">
      <c r="A13" s="3" t="s">
        <v>64</v>
      </c>
      <c r="B13" s="6">
        <f>H8</f>
        <v>12500</v>
      </c>
      <c r="G13" s="13" t="s">
        <v>63</v>
      </c>
      <c r="H13" s="13">
        <v>38</v>
      </c>
      <c r="I13" s="13" t="s">
        <v>51</v>
      </c>
    </row>
    <row r="14" spans="1:9" ht="15.75" hidden="1">
      <c r="A14" s="3" t="s">
        <v>7</v>
      </c>
      <c r="B14" s="6">
        <f>B15</f>
        <v>67275000</v>
      </c>
      <c r="G14" s="13" t="s">
        <v>62</v>
      </c>
      <c r="H14" s="13">
        <v>8</v>
      </c>
      <c r="I14" s="13" t="s">
        <v>51</v>
      </c>
    </row>
    <row r="15" spans="1:9" ht="15.75" hidden="1">
      <c r="A15" s="3" t="s">
        <v>61</v>
      </c>
      <c r="B15" s="6">
        <f>H22</f>
        <v>67275000</v>
      </c>
      <c r="G15" s="13" t="s">
        <v>60</v>
      </c>
      <c r="H15" s="13">
        <f>IF(B5=8,1,2)*B2*B3+84</f>
        <v>20181396</v>
      </c>
      <c r="I15" s="13" t="s">
        <v>59</v>
      </c>
    </row>
    <row r="16" spans="1:9" ht="15.75">
      <c r="A16" s="35" t="s">
        <v>58</v>
      </c>
      <c r="B16" s="36"/>
      <c r="G16" s="40"/>
      <c r="H16" s="41"/>
      <c r="I16" s="42"/>
    </row>
    <row r="17" spans="1:9" ht="27">
      <c r="A17" s="7" t="s">
        <v>57</v>
      </c>
      <c r="B17" s="8">
        <f>1000000000/B15</f>
        <v>14.864362690449648</v>
      </c>
      <c r="G17" s="13" t="s">
        <v>56</v>
      </c>
      <c r="H17" s="13">
        <f>H10+MAX(H6+H13-H10,2+H11+ROUNDUP(1000*H9/H8,0))</f>
        <v>3710</v>
      </c>
      <c r="I17" s="13" t="s">
        <v>51</v>
      </c>
    </row>
    <row r="18" spans="1:9">
      <c r="G18" s="13" t="s">
        <v>55</v>
      </c>
      <c r="H18" s="13">
        <f>ROUNDUP(1000*B4/H8,0)+H14</f>
        <v>4008</v>
      </c>
      <c r="I18" s="13" t="s">
        <v>51</v>
      </c>
    </row>
    <row r="19" spans="1:9">
      <c r="G19" s="13" t="s">
        <v>54</v>
      </c>
      <c r="H19" s="13">
        <f>IF(B9="on",ROUNDUP((10^9)/(B10*H8),0),0)</f>
        <v>0</v>
      </c>
      <c r="I19" s="13" t="s">
        <v>51</v>
      </c>
    </row>
    <row r="20" spans="1:9">
      <c r="G20" s="13" t="s">
        <v>53</v>
      </c>
      <c r="H20" s="13">
        <f>ROUNDUP((H15/MIN(395000000,B6,B7))*10^9/H8,0)</f>
        <v>5382</v>
      </c>
      <c r="I20" s="13" t="s">
        <v>51</v>
      </c>
    </row>
    <row r="21" spans="1:9">
      <c r="G21" s="13" t="s">
        <v>52</v>
      </c>
      <c r="H21" s="13">
        <f>H17+H18+H12</f>
        <v>7734</v>
      </c>
      <c r="I21" s="13" t="s">
        <v>51</v>
      </c>
    </row>
    <row r="22" spans="1:9">
      <c r="G22" s="13" t="s">
        <v>50</v>
      </c>
      <c r="H22" s="13">
        <f>IF(B8="off",MAX(H17:H20),MAX(H21,H19,H20))*1000*IF(B5=8,900,1800)/72</f>
        <v>67275000</v>
      </c>
      <c r="I22" s="13" t="s">
        <v>49</v>
      </c>
    </row>
  </sheetData>
  <sheetProtection algorithmName="SHA-512" hashValue="J6ve8dNhNcUYoSpaS9p4pxdZCr4JRfT6KWSvc8pJurF216NAMD5xydncMvBJ/HY17GLxcoDackpxFQ01sZ0KHg==" saltValue="2vsgGyhD472SoT1B4zAEQg==" spinCount="100000" sheet="1" objects="1" scenarios="1"/>
  <mergeCells count="6">
    <mergeCell ref="A1:B1"/>
    <mergeCell ref="G1:I1"/>
    <mergeCell ref="G4:I4"/>
    <mergeCell ref="G7:I7"/>
    <mergeCell ref="A16:B16"/>
    <mergeCell ref="G16:I16"/>
  </mergeCells>
  <phoneticPr fontId="8" type="noConversion"/>
  <dataValidations count="7">
    <dataValidation type="custom" allowBlank="1" showInputMessage="1" showErrorMessage="1" errorTitle="Input parameter error" error="Input renge from 0.1 to 10000,step 0.1" sqref="B10">
      <formula1>AND(MOD(10*B10,1)=0,B10&gt;=0.1,B10&lt;=10000)</formula1>
    </dataValidation>
    <dataValidation type="list" allowBlank="1" showInputMessage="1" showErrorMessage="1" errorTitle="Input parameter error" error="Input off or on" sqref="B8:B9">
      <formula1>"on,off"</formula1>
    </dataValidation>
    <dataValidation type="list" allowBlank="1" showInputMessage="1" showErrorMessage="1" errorTitle="Input parameter error" error="Input 8 or 12" sqref="B5">
      <formula1>"8,12"</formula1>
    </dataValidation>
    <dataValidation type="custom" allowBlank="1" showInputMessage="1" showErrorMessage="1" errorTitle="Input parameter error" error="8bit mode range from 35000000 to 400000000,step 1000000;_x000a_12bit mode range from 70000000 to 400000000,step 1000000" sqref="B6">
      <formula1>OR(AND(B5=8,B6&gt;=35000000,B6&lt;=400000000,MOD(B6,1000000)=0),AND(B5=12,B6&gt;=70000000,B6&lt;=400000000,MOD(B6,1000000)=0))</formula1>
    </dataValidation>
    <dataValidation type="whole" allowBlank="1" showInputMessage="1" showErrorMessage="1" errorTitle="Input parameter error" error="Input range from 12 to 1000000" sqref="B4">
      <formula1>12</formula1>
      <formula2>1000000</formula2>
    </dataValidation>
    <dataValidation type="custom" allowBlank="1" showInputMessage="1" showErrorMessage="1" errorTitle="Input parameter error" error="Input range from 64 to 5496,and is an integer multiple of 8_x000a_" sqref="B2">
      <formula1>AND(MOD(B2,8)=0,B2&gt;=64,B2&lt;=5496)</formula1>
    </dataValidation>
    <dataValidation type="custom" allowBlank="1" showInputMessage="1" showErrorMessage="1" errorTitle="Input parameter error" error="Input range from 64 to 3672,and is an integer multiple of 2" sqref="B3">
      <formula1>AND(MOD(B3,2)=0,B3&gt;=64,B3&lt;=3672)</formula1>
    </dataValidation>
  </dataValidations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3"/>
  </sheetPr>
  <dimension ref="A1:J21"/>
  <sheetViews>
    <sheetView workbookViewId="0">
      <selection activeCell="B18" sqref="B18"/>
    </sheetView>
  </sheetViews>
  <sheetFormatPr defaultRowHeight="13.5"/>
  <cols>
    <col min="1" max="1" width="40.625" bestFit="1" customWidth="1"/>
    <col min="2" max="2" width="13.125" bestFit="1" customWidth="1"/>
    <col min="6" max="8" width="9" hidden="1" customWidth="1"/>
    <col min="9" max="9" width="11.25" hidden="1" customWidth="1"/>
    <col min="10" max="10" width="9" hidden="1" customWidth="1"/>
  </cols>
  <sheetData>
    <row r="1" spans="1:10" ht="15.75">
      <c r="A1" s="33" t="s">
        <v>197</v>
      </c>
      <c r="B1" s="34"/>
      <c r="C1" s="28"/>
      <c r="D1" s="28"/>
      <c r="E1" s="28"/>
      <c r="F1" s="28"/>
      <c r="G1" s="28"/>
      <c r="H1" s="28"/>
      <c r="I1" s="28"/>
      <c r="J1" s="28"/>
    </row>
    <row r="2" spans="1:10" ht="15.75">
      <c r="A2" s="4" t="s">
        <v>0</v>
      </c>
      <c r="B2" s="11">
        <v>4096</v>
      </c>
      <c r="C2" s="10" t="str">
        <f>IF(AND(OR(B6=2,B7=2),B2&lt;&gt;2048),"The Width should be 2048",IF(OR(B2&gt;4096/B4,B2&lt;64),LOOKUP(B4,F3:F5,I3:I5),IF(OR(B2&gt;4096/B6,B2&lt;64),LOOKUP(B6,F10:F12,I10:I12),"")))</f>
        <v/>
      </c>
      <c r="D2" s="28"/>
      <c r="E2" s="28"/>
      <c r="F2" s="28" t="s">
        <v>213</v>
      </c>
      <c r="G2" s="28" t="s">
        <v>214</v>
      </c>
      <c r="H2" s="28" t="s">
        <v>215</v>
      </c>
      <c r="I2" s="28"/>
      <c r="J2" s="28"/>
    </row>
    <row r="3" spans="1:10" ht="15.75">
      <c r="A3" s="4" t="s">
        <v>198</v>
      </c>
      <c r="B3" s="11">
        <v>3000</v>
      </c>
      <c r="C3" s="10" t="str">
        <f>IF(AND(OR(B6=2,B7=2),B3&lt;&gt;1500),"The Height should be 1500",(IF(OR(B3&gt;3000/B5,B3&lt;64),LOOKUP(B5,F3:F5,J3:J5),IF(OR(B3&gt;3000/B7,B3&lt;64),LOOKUP(B7,F10:F12,J10:J12),""))))</f>
        <v/>
      </c>
      <c r="D3" s="28"/>
      <c r="E3" s="28"/>
      <c r="F3" s="28">
        <v>1</v>
      </c>
      <c r="G3" s="28">
        <f>8*INT(4096/(8*F3))</f>
        <v>4096</v>
      </c>
      <c r="H3" s="28">
        <f>8*INT(3000/(8*F3))</f>
        <v>3000</v>
      </c>
      <c r="I3" s="28" t="s">
        <v>234</v>
      </c>
      <c r="J3" s="28" t="s">
        <v>235</v>
      </c>
    </row>
    <row r="4" spans="1:10" ht="15.75">
      <c r="A4" s="3" t="s">
        <v>236</v>
      </c>
      <c r="B4" s="5">
        <v>1</v>
      </c>
      <c r="C4" s="12" t="str">
        <f>IF(AND(B4&gt;1,B6&gt;1),"The binning and skipping levels are not set to be greater than 2 at the same time","")</f>
        <v/>
      </c>
      <c r="D4" s="28"/>
      <c r="E4" s="28"/>
      <c r="F4" s="28">
        <v>2</v>
      </c>
      <c r="G4" s="28">
        <f>8*INT(4096/(8*F4))</f>
        <v>2048</v>
      </c>
      <c r="H4" s="28">
        <v>1500</v>
      </c>
      <c r="I4" s="28" t="s">
        <v>128</v>
      </c>
      <c r="J4" s="28" t="s">
        <v>114</v>
      </c>
    </row>
    <row r="5" spans="1:10" ht="15.75">
      <c r="A5" s="3" t="s">
        <v>127</v>
      </c>
      <c r="B5" s="5">
        <v>1</v>
      </c>
      <c r="C5" s="12" t="str">
        <f>IF(AND(B5&gt;1,B7&gt;1),"The vertical binning and skipping are not set to be greater than 2 at the same time","")</f>
        <v/>
      </c>
      <c r="D5" s="28"/>
      <c r="E5" s="28"/>
      <c r="F5" s="28">
        <v>4</v>
      </c>
      <c r="G5" s="28">
        <f>8*INT(4096/(8*F5))</f>
        <v>1024</v>
      </c>
      <c r="H5" s="28">
        <v>750</v>
      </c>
      <c r="I5" s="28" t="s">
        <v>123</v>
      </c>
      <c r="J5" s="28" t="s">
        <v>126</v>
      </c>
    </row>
    <row r="6" spans="1:10" ht="15.75">
      <c r="A6" s="3" t="s">
        <v>22</v>
      </c>
      <c r="B6" s="5">
        <v>1</v>
      </c>
      <c r="C6" s="12" t="str">
        <f>IF(AND(B7&lt;&gt;B6),"The DecimationHorizontal and DecimationVertical should be the same",(IF(AND(B4&gt;1,B6&gt;1),"The binning and skipping levels are not set to be greater than 2 at the same time","")))</f>
        <v/>
      </c>
      <c r="D6" s="28"/>
      <c r="E6" s="28"/>
      <c r="F6" s="28"/>
      <c r="G6" s="28"/>
      <c r="H6" s="28"/>
      <c r="I6" s="28" t="s">
        <v>32</v>
      </c>
      <c r="J6" s="28"/>
    </row>
    <row r="7" spans="1:10" ht="15.75">
      <c r="A7" s="3" t="s">
        <v>25</v>
      </c>
      <c r="B7" s="5">
        <v>1</v>
      </c>
      <c r="C7" s="12" t="str">
        <f>IF(AND(B7&lt;&gt;B6),"The DecimationHorizontal and DecimationVertical should be the same",(IF(AND(B5&gt;1,B7&gt;1),"The vertical binning and skipping are not set to be greater than 2 at the same time","")))</f>
        <v/>
      </c>
      <c r="D7" s="28"/>
      <c r="E7" s="28"/>
      <c r="F7" s="28"/>
      <c r="G7" s="28">
        <f>4096/B4</f>
        <v>4096</v>
      </c>
      <c r="H7" s="28">
        <f>3000/B5</f>
        <v>3000</v>
      </c>
      <c r="I7" s="28"/>
      <c r="J7" s="28"/>
    </row>
    <row r="8" spans="1:10" ht="15.75">
      <c r="A8" s="4" t="s">
        <v>1</v>
      </c>
      <c r="B8" s="5">
        <v>40000</v>
      </c>
      <c r="C8" s="28"/>
      <c r="D8" s="28"/>
      <c r="E8" s="28"/>
      <c r="F8" s="28"/>
      <c r="G8" s="28"/>
      <c r="H8" s="28"/>
      <c r="I8" s="28"/>
      <c r="J8" s="28"/>
    </row>
    <row r="9" spans="1:10" ht="15.75">
      <c r="A9" s="4" t="s">
        <v>125</v>
      </c>
      <c r="B9" s="5">
        <v>8</v>
      </c>
      <c r="C9" s="28"/>
      <c r="D9" s="28"/>
      <c r="E9" s="28"/>
      <c r="F9" s="28" t="s">
        <v>21</v>
      </c>
      <c r="G9" s="28" t="s">
        <v>12</v>
      </c>
      <c r="H9" s="28" t="s">
        <v>20</v>
      </c>
      <c r="I9" s="28"/>
      <c r="J9" s="28"/>
    </row>
    <row r="10" spans="1:10" ht="15.75">
      <c r="A10" s="4" t="s">
        <v>3</v>
      </c>
      <c r="B10" s="5">
        <v>300000000</v>
      </c>
      <c r="C10" s="28"/>
      <c r="D10" s="28"/>
      <c r="E10" s="28"/>
      <c r="F10" s="28">
        <v>1</v>
      </c>
      <c r="G10" s="28">
        <f>16*INT(4096/(16*F10))</f>
        <v>4096</v>
      </c>
      <c r="H10" s="28">
        <f>2*INT(3000/(2*F10))</f>
        <v>3000</v>
      </c>
      <c r="I10" s="28" t="s">
        <v>117</v>
      </c>
      <c r="J10" s="28" t="s">
        <v>116</v>
      </c>
    </row>
    <row r="11" spans="1:10" ht="15.75">
      <c r="A11" s="4" t="s">
        <v>124</v>
      </c>
      <c r="B11" s="5">
        <v>380000000</v>
      </c>
      <c r="C11" s="28"/>
      <c r="D11" s="28"/>
      <c r="E11" s="28"/>
      <c r="F11" s="28">
        <v>2</v>
      </c>
      <c r="G11" s="28">
        <f>16*INT(4096/(16*F11))</f>
        <v>2048</v>
      </c>
      <c r="H11" s="28">
        <f>2*INT(3000/(2*F11))</f>
        <v>1500</v>
      </c>
      <c r="I11" s="28" t="s">
        <v>115</v>
      </c>
      <c r="J11" s="28" t="s">
        <v>114</v>
      </c>
    </row>
    <row r="12" spans="1:10" ht="15.75" hidden="1">
      <c r="A12" s="4" t="s">
        <v>5</v>
      </c>
      <c r="B12" s="5">
        <f>MAX(ROUNDUP((B8-14.26)/B15,0),1)</f>
        <v>2873</v>
      </c>
      <c r="C12" s="28"/>
      <c r="D12" s="28"/>
      <c r="E12" s="28"/>
      <c r="F12" s="28">
        <v>4</v>
      </c>
      <c r="G12" s="28">
        <f>16*INT(4096/(16*F12))</f>
        <v>1024</v>
      </c>
      <c r="H12" s="28">
        <f>2*INT(3000/(2*F12))</f>
        <v>750</v>
      </c>
      <c r="I12" s="28" t="s">
        <v>113</v>
      </c>
      <c r="J12" s="28" t="s">
        <v>112</v>
      </c>
    </row>
    <row r="13" spans="1:10" ht="15.75" hidden="1">
      <c r="A13" s="4" t="s">
        <v>6</v>
      </c>
      <c r="B13" s="5" t="str">
        <f>IF((B9&lt;=8),"1","2")</f>
        <v>1</v>
      </c>
      <c r="C13" s="28"/>
      <c r="D13" s="28"/>
      <c r="E13" s="28"/>
      <c r="F13" s="28"/>
      <c r="G13" s="28"/>
      <c r="H13" s="28"/>
      <c r="I13" s="28" t="s">
        <v>32</v>
      </c>
      <c r="J13" s="28"/>
    </row>
    <row r="14" spans="1:10" ht="15.75" hidden="1">
      <c r="A14" s="4" t="s">
        <v>18</v>
      </c>
      <c r="B14" s="5">
        <f>B2*B3*B13+84</f>
        <v>12288084</v>
      </c>
      <c r="C14" s="28"/>
      <c r="D14" s="28"/>
      <c r="E14" s="28"/>
      <c r="F14" s="28"/>
      <c r="G14" s="28">
        <f>4096/B6</f>
        <v>4096</v>
      </c>
      <c r="H14" s="28">
        <f>3000/B7</f>
        <v>3000</v>
      </c>
      <c r="I14" s="28"/>
      <c r="J14" s="28"/>
    </row>
    <row r="15" spans="1:10" ht="15.75" hidden="1">
      <c r="A15" s="4" t="s">
        <v>24</v>
      </c>
      <c r="B15" s="5">
        <f>IF(B9=8,522/37.5,1044/37.5)</f>
        <v>13.92</v>
      </c>
      <c r="C15" s="28"/>
      <c r="D15" s="28"/>
      <c r="E15" s="28"/>
      <c r="F15" s="28"/>
      <c r="G15" s="28"/>
      <c r="H15" s="28"/>
      <c r="I15" s="28"/>
      <c r="J15" s="28"/>
    </row>
    <row r="16" spans="1:10" ht="15.75" hidden="1">
      <c r="A16" s="4" t="s">
        <v>7</v>
      </c>
      <c r="B16" s="5">
        <f>(B3*B5+55)*B15</f>
        <v>42525.599999999999</v>
      </c>
      <c r="C16" s="28"/>
      <c r="D16" s="28"/>
      <c r="E16" s="28"/>
      <c r="F16" s="28"/>
      <c r="G16" s="28"/>
      <c r="H16" s="28"/>
      <c r="I16" s="28"/>
      <c r="J16" s="28"/>
    </row>
    <row r="17" spans="1:10" ht="15.75">
      <c r="A17" s="4" t="s">
        <v>8</v>
      </c>
      <c r="B17" s="5" t="s">
        <v>9</v>
      </c>
      <c r="C17" s="28"/>
      <c r="D17" s="28"/>
      <c r="E17" s="28"/>
      <c r="F17" s="28"/>
      <c r="G17" s="28"/>
      <c r="H17" s="28"/>
      <c r="I17" s="28"/>
      <c r="J17" s="28"/>
    </row>
    <row r="18" spans="1:10" ht="15.75">
      <c r="A18" s="4" t="s">
        <v>10</v>
      </c>
      <c r="B18" s="5">
        <v>23.5</v>
      </c>
      <c r="C18" s="28"/>
      <c r="D18" s="28"/>
      <c r="E18" s="28"/>
      <c r="F18" s="28"/>
      <c r="G18" s="28"/>
      <c r="H18" s="28"/>
      <c r="I18" s="28"/>
      <c r="J18" s="28"/>
    </row>
    <row r="19" spans="1:10" ht="15.75" hidden="1">
      <c r="A19" s="3" t="s">
        <v>15</v>
      </c>
      <c r="B19" s="6">
        <f>MAX(B14*1000000/B11,ROUNDUP(ROUNDUP(B14*1000000/B10/B15,0)*B15,0),(B12+12)*B15,B16,ROUNDUP(B15*(IF(B17="off",0,1))*ROUNDUP(1000*1000/(B15*B18),0),0))</f>
        <v>42525.599999999999</v>
      </c>
      <c r="C19" s="10" t="str">
        <f>IF(OR(B3&gt;3000/B5,B3&lt;64,B2&gt;4096/B4,B2&lt;64),I6,"")</f>
        <v/>
      </c>
      <c r="D19" s="28"/>
      <c r="E19" s="28"/>
      <c r="F19" s="28"/>
      <c r="G19" s="28"/>
      <c r="H19" s="28"/>
      <c r="I19" s="28"/>
      <c r="J19" s="28"/>
    </row>
    <row r="20" spans="1:10" ht="15.75">
      <c r="A20" s="35" t="s">
        <v>31</v>
      </c>
      <c r="B20" s="36"/>
    </row>
    <row r="21" spans="1:10" ht="27">
      <c r="A21" s="7" t="s">
        <v>16</v>
      </c>
      <c r="B21" s="8">
        <f>1000000/B19</f>
        <v>23.515247286340465</v>
      </c>
    </row>
  </sheetData>
  <sheetProtection algorithmName="SHA-512" hashValue="OW/+yGmfyunn/wAe3IkgJSWOpjrxGLkIlzPEKFHanNnfT97vS5Dui1eFYZPyOFErExrKWRBWGALxIAyypWO5aA==" saltValue="eYsGIhuQtpXEoU6d4JH1Og==" spinCount="100000" sheet="1" objects="1" scenarios="1" selectLockedCells="1"/>
  <mergeCells count="2">
    <mergeCell ref="A1:B1"/>
    <mergeCell ref="A20:B20"/>
  </mergeCells>
  <phoneticPr fontId="8" type="noConversion"/>
  <conditionalFormatting sqref="B2">
    <cfRule type="cellIs" dxfId="15" priority="6" operator="notBetween">
      <formula>64</formula>
      <formula>$G$14</formula>
    </cfRule>
    <cfRule type="cellIs" dxfId="14" priority="8" operator="notBetween">
      <formula>64</formula>
      <formula>$G$7</formula>
    </cfRule>
  </conditionalFormatting>
  <conditionalFormatting sqref="B3">
    <cfRule type="cellIs" dxfId="13" priority="5" operator="notBetween">
      <formula>64</formula>
      <formula>$H$7</formula>
    </cfRule>
    <cfRule type="cellIs" dxfId="12" priority="7" operator="notBetween">
      <formula>64</formula>
      <formula>$H$14</formula>
    </cfRule>
  </conditionalFormatting>
  <conditionalFormatting sqref="B4">
    <cfRule type="expression" dxfId="11" priority="4">
      <formula>AND(B6&gt;1,B4&gt;1)</formula>
    </cfRule>
  </conditionalFormatting>
  <conditionalFormatting sqref="B6">
    <cfRule type="expression" dxfId="10" priority="3">
      <formula>AND(B6&gt;1,B4&gt;1)</formula>
    </cfRule>
  </conditionalFormatting>
  <conditionalFormatting sqref="B5">
    <cfRule type="expression" dxfId="9" priority="2">
      <formula>AND(B5&gt;1,B7&gt;1)</formula>
    </cfRule>
  </conditionalFormatting>
  <conditionalFormatting sqref="B7">
    <cfRule type="expression" dxfId="8" priority="1">
      <formula>AND(B5&gt;1,B7&gt;1)</formula>
    </cfRule>
  </conditionalFormatting>
  <dataValidations count="9">
    <dataValidation type="list" allowBlank="1" showInputMessage="1" showErrorMessage="1" errorTitle="Input parameter error" error="Input range is 1,2" sqref="B6:B7">
      <formula1>"1,2"</formula1>
    </dataValidation>
    <dataValidation type="list" allowBlank="1" showInputMessage="1" showErrorMessage="1" errorTitle="Input parameter error" error="Input range is 1,2,4" sqref="B4:B5">
      <formula1>"1,2,4"</formula1>
    </dataValidation>
    <dataValidation type="list" allowBlank="1" showInputMessage="1" showErrorMessage="1" errorTitle="Input parameter error" error="Input 8 or 12" sqref="B9">
      <formula1>"8,12"</formula1>
    </dataValidation>
    <dataValidation type="custom" allowBlank="1" showInputMessage="1" showErrorMessage="1" errorTitle="Input parameter error" error="Input parameter error" sqref="B2">
      <formula1>AND(MOD(B2,8)=0,B2&gt;=64,B2&lt;=4096/B4)</formula1>
    </dataValidation>
    <dataValidation type="custom" allowBlank="1" showInputMessage="1" showErrorMessage="1" errorTitle="Input parameter error" error="Input parameter error" sqref="B3">
      <formula1>AND(MOD(B3,2)=0,B3&gt;=64,B3&lt;=3000/B5)</formula1>
    </dataValidation>
    <dataValidation type="whole" allowBlank="1" showInputMessage="1" showErrorMessage="1" errorTitle="Input parameter error" error="Input range is 28-15000000" sqref="B8">
      <formula1>28</formula1>
      <formula2>15000000</formula2>
    </dataValidation>
    <dataValidation type="custom" allowBlank="1" showInputMessage="1" showErrorMessage="1" errorTitle="Input parameter error" error="8bit mode range from 35000000 to 400000000,step 1000000;_x000a_12bit mode range from 70000000 to 400000000,step 1000000" sqref="B10">
      <formula1>OR(AND(B9=8,B10&gt;=35000000,B10&lt;=400000000,MOD(B10,1000000)=0),AND(B9=12,B10&gt;=70000000,B10&lt;=400000000,MOD(B10,1000000)=0))</formula1>
    </dataValidation>
    <dataValidation type="list" allowBlank="1" showInputMessage="1" showErrorMessage="1" errorTitle="Input parameter error" error="Input on or off" sqref="B17">
      <formula1>"on,off"</formula1>
    </dataValidation>
    <dataValidation type="custom" allowBlank="1" showInputMessage="1" showErrorMessage="1" errorTitle="Input parameter error" error="Input range from 0.1 to 10000,step 0.1" sqref="B18">
      <formula1>AND(MOD(10*B18,1)=0,B18&gt;=0.1,B18&lt;=10000)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selection activeCell="B2" sqref="B2"/>
    </sheetView>
  </sheetViews>
  <sheetFormatPr defaultRowHeight="13.5"/>
  <cols>
    <col min="1" max="1" width="39.875" customWidth="1"/>
    <col min="2" max="2" width="16.5" customWidth="1"/>
  </cols>
  <sheetData>
    <row r="1" spans="1:2" ht="15.75">
      <c r="A1" s="33" t="s">
        <v>78</v>
      </c>
      <c r="B1" s="34"/>
    </row>
    <row r="2" spans="1:2" ht="15.75">
      <c r="A2" s="3" t="s">
        <v>0</v>
      </c>
      <c r="B2" s="5">
        <v>1440</v>
      </c>
    </row>
    <row r="3" spans="1:2" ht="15.75">
      <c r="A3" s="3" t="s">
        <v>72</v>
      </c>
      <c r="B3" s="5">
        <v>1080</v>
      </c>
    </row>
    <row r="4" spans="1:2" ht="15.75">
      <c r="A4" s="3" t="s">
        <v>1</v>
      </c>
      <c r="B4" s="5">
        <v>10000</v>
      </c>
    </row>
    <row r="5" spans="1:2" ht="15.75">
      <c r="A5" s="3" t="s">
        <v>2</v>
      </c>
      <c r="B5" s="5">
        <v>8</v>
      </c>
    </row>
    <row r="6" spans="1:2" ht="15.75">
      <c r="A6" s="3" t="s">
        <v>3</v>
      </c>
      <c r="B6" s="5">
        <v>300000000</v>
      </c>
    </row>
    <row r="7" spans="1:2" ht="15.75">
      <c r="A7" s="3" t="s">
        <v>4</v>
      </c>
      <c r="B7" s="5">
        <v>380000000</v>
      </c>
    </row>
    <row r="8" spans="1:2" ht="15.75" hidden="1">
      <c r="A8" s="3"/>
      <c r="B8" s="5"/>
    </row>
    <row r="9" spans="1:2" ht="15.75" hidden="1">
      <c r="A9" s="3" t="s">
        <v>5</v>
      </c>
      <c r="B9" s="5">
        <f>MAX(INT((B4-14.26)/B12),1)</f>
        <v>2547</v>
      </c>
    </row>
    <row r="10" spans="1:2" ht="15.75" hidden="1">
      <c r="A10" s="3" t="s">
        <v>6</v>
      </c>
      <c r="B10" s="5" t="str">
        <f>IF((B5&lt;=8),"1","2")</f>
        <v>1</v>
      </c>
    </row>
    <row r="11" spans="1:2" ht="15.75" hidden="1">
      <c r="A11" s="3" t="s">
        <v>66</v>
      </c>
      <c r="B11" s="5">
        <f>B2*B3*B10+84</f>
        <v>1555284</v>
      </c>
    </row>
    <row r="12" spans="1:2" ht="15.75" hidden="1">
      <c r="A12" s="3" t="s">
        <v>64</v>
      </c>
      <c r="B12" s="5">
        <f>IF(B5=8,147/37.5,294/37.5)</f>
        <v>3.92</v>
      </c>
    </row>
    <row r="13" spans="1:2" ht="15.75" hidden="1">
      <c r="A13" s="3" t="s">
        <v>7</v>
      </c>
      <c r="B13" s="5">
        <f>(B3+42)*B12</f>
        <v>4398.24</v>
      </c>
    </row>
    <row r="14" spans="1:2" ht="15.75">
      <c r="A14" s="3" t="s">
        <v>8</v>
      </c>
      <c r="B14" s="5" t="s">
        <v>9</v>
      </c>
    </row>
    <row r="15" spans="1:2" ht="15.75">
      <c r="A15" s="3" t="s">
        <v>10</v>
      </c>
      <c r="B15" s="5">
        <v>227</v>
      </c>
    </row>
    <row r="16" spans="1:2" ht="15.75" hidden="1">
      <c r="A16" s="3" t="s">
        <v>61</v>
      </c>
      <c r="B16" s="6">
        <f>MAX(B11*1000000/B7,B11*1000000/B6,(B9+18)*B12,B13,B12*IF(B14="off",0,1)*INT(1000*1000/(B12*B15)))</f>
        <v>10054.799999999999</v>
      </c>
    </row>
    <row r="17" spans="1:2" ht="15.75">
      <c r="A17" s="35" t="s">
        <v>58</v>
      </c>
      <c r="B17" s="36"/>
    </row>
    <row r="18" spans="1:2" ht="27">
      <c r="A18" s="7" t="s">
        <v>57</v>
      </c>
      <c r="B18" s="8">
        <f>1000000/B16</f>
        <v>99.454986673031797</v>
      </c>
    </row>
  </sheetData>
  <sheetProtection algorithmName="SHA-512" hashValue="YYNfulbGp8/+0pjM/lZYoe3bi5g2f8NMTPZAT8COkD5uWYVCO3UXnuYhJZk4bQPupKFXaN4xm9fu0rIGddS/NA==" saltValue="v9XMvLV6mljusG8fmvHRCg==" spinCount="100000" sheet="1" objects="1" scenarios="1"/>
  <mergeCells count="2">
    <mergeCell ref="A1:B1"/>
    <mergeCell ref="A17:B17"/>
  </mergeCells>
  <phoneticPr fontId="8" type="noConversion"/>
  <dataValidations count="7">
    <dataValidation type="custom" allowBlank="1" showInputMessage="1" showErrorMessage="1" errorTitle="Input parameter error" error="Input range from 64 to 1440_x000a_,and is an integer multiple of 8" sqref="B2">
      <formula1>AND(MOD(B2,8)=0,B2&gt;=64,B2&lt;=1440)</formula1>
    </dataValidation>
    <dataValidation type="custom" allowBlank="1" showInputMessage="1" showErrorMessage="1" errorTitle="Input parameter error" error="Input range from 64 to 1080,and is an integer multiple of 2" sqref="B3">
      <formula1>AND(MOD(B3,2)=0,B3&gt;=64,B3&lt;=1080)</formula1>
    </dataValidation>
    <dataValidation type="whole" allowBlank="1" showInputMessage="1" showErrorMessage="1" errorTitle="Input parameter error" error="Input range from 20 to 1000000" sqref="B4">
      <formula1>20</formula1>
      <formula2>1000000</formula2>
    </dataValidation>
    <dataValidation type="custom" allowBlank="1" showInputMessage="1" showErrorMessage="1" errorTitle="Input parameter error" error="8bit mode range from 35000000 to 400000000,step 1000000;_x000a_10bit mode range from 70000000 to 400000000,step 1000000" sqref="B6">
      <formula1>OR(AND(B5=8,B6&gt;=35000000,B6&lt;=400000000,MOD(B6,1000000)=0),AND(B5=10,B6&gt;=70000000,B6&lt;=400000000,MOD(B6,1000000)=0))</formula1>
    </dataValidation>
    <dataValidation type="list" allowBlank="1" showInputMessage="1" showErrorMessage="1" errorTitle="Input parameter error" error="Input 8 or 10" sqref="B5">
      <formula1>"8,10"</formula1>
    </dataValidation>
    <dataValidation type="list" allowBlank="1" showInputMessage="1" showErrorMessage="1" errorTitle="Input parameter error" error="Input off or on" sqref="B14">
      <formula1>"off,on"</formula1>
    </dataValidation>
    <dataValidation type="custom" allowBlank="1" showInputMessage="1" showErrorMessage="1" errorTitle="Input parameter error" error="Input range from 0.1 to 10000,step 0.1" sqref="B15">
      <formula1>AND(MOD(10*B15,1)=0,B15&gt;=0.1,B15&lt;=10000)</formula1>
    </dataValidation>
  </dataValidations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3"/>
  </sheetPr>
  <dimension ref="A1:J49"/>
  <sheetViews>
    <sheetView zoomScaleNormal="100" workbookViewId="0">
      <selection activeCell="B2" sqref="B2"/>
    </sheetView>
  </sheetViews>
  <sheetFormatPr defaultRowHeight="13.5"/>
  <cols>
    <col min="1" max="1" width="40.625" bestFit="1" customWidth="1"/>
    <col min="2" max="2" width="16.75" customWidth="1"/>
    <col min="6" max="8" width="9" hidden="1" customWidth="1"/>
    <col min="9" max="9" width="37.375" hidden="1" customWidth="1"/>
    <col min="10" max="10" width="9" hidden="1" customWidth="1"/>
    <col min="11" max="12" width="9" customWidth="1"/>
  </cols>
  <sheetData>
    <row r="1" spans="1:10" ht="15.75">
      <c r="A1" s="33" t="s">
        <v>237</v>
      </c>
      <c r="B1" s="43"/>
      <c r="C1" s="28"/>
      <c r="D1" s="28"/>
      <c r="E1" s="28"/>
      <c r="F1" s="28"/>
      <c r="G1" s="28"/>
      <c r="H1" s="28"/>
      <c r="I1" s="28"/>
      <c r="J1" s="28"/>
    </row>
    <row r="2" spans="1:10" ht="15.75">
      <c r="A2" s="4" t="s">
        <v>0</v>
      </c>
      <c r="B2" s="11">
        <v>5120</v>
      </c>
      <c r="C2" s="10" t="str">
        <f>IF(OR(B2&gt;5120/B4,B2&lt;64),LOOKUP(B4,F3:F5,I3:I5),IF(OR(B2&gt;5120/B6,B2&lt;64),LOOKUP(B6,F10:F12,I10:I12),""))</f>
        <v/>
      </c>
      <c r="D2" s="28"/>
      <c r="E2" s="28"/>
      <c r="F2" s="28" t="s">
        <v>83</v>
      </c>
      <c r="G2" s="28" t="s">
        <v>84</v>
      </c>
      <c r="H2" s="28" t="s">
        <v>85</v>
      </c>
      <c r="I2" s="28"/>
      <c r="J2" s="28"/>
    </row>
    <row r="3" spans="1:10" ht="15.75">
      <c r="A3" s="4" t="s">
        <v>72</v>
      </c>
      <c r="B3" s="11">
        <v>5120</v>
      </c>
      <c r="C3" s="10" t="str">
        <f>IF(OR(B3&gt;5120/B5,B3&lt;64),LOOKUP(B5,F3:F5,J3:J5),IF(OR(B3&gt;5120/B7,B3&lt;64),LOOKUP(B7,F10:F12,J10:J12),""))</f>
        <v/>
      </c>
      <c r="D3" s="28"/>
      <c r="E3" s="28"/>
      <c r="F3" s="28">
        <v>1</v>
      </c>
      <c r="G3" s="28">
        <f>8*INT(5120/(8*F3))</f>
        <v>5120</v>
      </c>
      <c r="H3" s="28">
        <f>8*INT(5120/(8*F3))</f>
        <v>5120</v>
      </c>
      <c r="I3" s="28" t="str">
        <f>"Input range from 64 to "&amp;G3&amp;",and is an integer multiple of 8"</f>
        <v>Input range from 64 to 5120,and is an integer multiple of 8</v>
      </c>
      <c r="J3" s="28" t="str">
        <f>"Input range from 64 to "&amp;H3&amp;",and is an integer multiple of 2"</f>
        <v>Input range from 64 to 5120,and is an integer multiple of 2</v>
      </c>
    </row>
    <row r="4" spans="1:10" ht="15.75" hidden="1">
      <c r="A4" s="3" t="s">
        <v>88</v>
      </c>
      <c r="B4" s="5">
        <v>1</v>
      </c>
      <c r="C4" s="12" t="str">
        <f>IF(AND(B4&gt;1,B6&gt;1),"水平binning和skipping不能同时设置大于2","")</f>
        <v/>
      </c>
      <c r="D4" s="28"/>
      <c r="E4" s="28"/>
      <c r="F4" s="28">
        <v>2</v>
      </c>
      <c r="G4" s="28">
        <f>8*INT(5120/(8*F4))</f>
        <v>2560</v>
      </c>
      <c r="H4" s="28">
        <f>8*INT(5120/(8*F4))</f>
        <v>2560</v>
      </c>
      <c r="I4" s="28" t="str">
        <f>"Input range from 64 to "&amp;G4&amp;",and is an integer multiple of 8"</f>
        <v>Input range from 64 to 2560,and is an integer multiple of 8</v>
      </c>
      <c r="J4" s="28" t="str">
        <f>"Input range from 64 to "&amp;H4&amp;",and is an integer multiple of 2"</f>
        <v>Input range from 64 to 2560,and is an integer multiple of 2</v>
      </c>
    </row>
    <row r="5" spans="1:10" ht="15.75" hidden="1">
      <c r="A5" s="3" t="s">
        <v>91</v>
      </c>
      <c r="B5" s="5">
        <v>1</v>
      </c>
      <c r="C5" s="12" t="str">
        <f>IF(AND(B5&gt;1,B7&gt;1),"垂直binning和skipping不能同时设置大于2","")</f>
        <v/>
      </c>
      <c r="D5" s="28"/>
      <c r="E5" s="28"/>
      <c r="F5" s="28">
        <v>4</v>
      </c>
      <c r="G5" s="28">
        <f>8*INT(5120/(8*F5))</f>
        <v>1280</v>
      </c>
      <c r="H5" s="28">
        <f>8*INT(5120/(8*F5))</f>
        <v>1280</v>
      </c>
      <c r="I5" s="28" t="str">
        <f>"Input range from 64 to "&amp;G5&amp;",and is an integer multiple of 8"</f>
        <v>Input range from 64 to 1280,and is an integer multiple of 8</v>
      </c>
      <c r="J5" s="28" t="str">
        <f>"Input range from 64 to "&amp;H5&amp;",and is an integer multiple of 2"</f>
        <v>Input range from 64 to 1280,and is an integer multiple of 2</v>
      </c>
    </row>
    <row r="6" spans="1:10" ht="15.75" hidden="1">
      <c r="A6" s="3" t="s">
        <v>141</v>
      </c>
      <c r="B6" s="5">
        <v>1</v>
      </c>
      <c r="C6" s="12" t="str">
        <f>IF(AND(B4&gt;1,B6&gt;1),"水平binning和skipping不能同时设置大于2","")</f>
        <v/>
      </c>
      <c r="D6" s="28"/>
      <c r="E6" s="28"/>
      <c r="F6" s="28"/>
      <c r="G6" s="28"/>
      <c r="H6" s="28"/>
      <c r="I6" s="28" t="s">
        <v>238</v>
      </c>
      <c r="J6" s="28"/>
    </row>
    <row r="7" spans="1:10" ht="15.75" hidden="1">
      <c r="A7" s="3" t="s">
        <v>142</v>
      </c>
      <c r="B7" s="5">
        <v>1</v>
      </c>
      <c r="C7" s="12" t="str">
        <f>IF(AND(B5&gt;1,B7&gt;1),"垂直binning和skipping不能同时设置大于2","")</f>
        <v/>
      </c>
      <c r="D7" s="28"/>
      <c r="E7" s="28"/>
      <c r="F7" s="28"/>
      <c r="G7" s="28">
        <f>5120/B4</f>
        <v>5120</v>
      </c>
      <c r="H7" s="28">
        <f>5120/B5</f>
        <v>5120</v>
      </c>
      <c r="I7" s="28"/>
      <c r="J7" s="28"/>
    </row>
    <row r="8" spans="1:10" ht="15.75">
      <c r="A8" s="4" t="s">
        <v>1</v>
      </c>
      <c r="B8" s="5">
        <v>60000</v>
      </c>
      <c r="C8" s="28"/>
      <c r="D8" s="28"/>
      <c r="E8" s="28"/>
      <c r="F8" s="28"/>
      <c r="G8" s="28"/>
      <c r="H8" s="28"/>
      <c r="I8" s="28"/>
      <c r="J8" s="28"/>
    </row>
    <row r="9" spans="1:10" ht="15.75">
      <c r="A9" s="4" t="s">
        <v>73</v>
      </c>
      <c r="B9" s="5">
        <v>8</v>
      </c>
      <c r="C9" s="28"/>
      <c r="D9" s="28"/>
      <c r="E9" s="28"/>
      <c r="F9" s="28" t="s">
        <v>143</v>
      </c>
      <c r="G9" s="28" t="s">
        <v>84</v>
      </c>
      <c r="H9" s="28" t="s">
        <v>85</v>
      </c>
      <c r="I9" s="28"/>
      <c r="J9" s="28"/>
    </row>
    <row r="10" spans="1:10" ht="15.75">
      <c r="A10" s="4" t="s">
        <v>3</v>
      </c>
      <c r="B10" s="5">
        <v>300000000</v>
      </c>
      <c r="C10" s="28"/>
      <c r="D10" s="28"/>
      <c r="E10" s="28"/>
      <c r="F10" s="28">
        <v>1</v>
      </c>
      <c r="G10" s="28">
        <f>8*INT(5120/(8*F10))</f>
        <v>5120</v>
      </c>
      <c r="H10" s="28">
        <f>8*INT(5120/(8*F10))</f>
        <v>5120</v>
      </c>
      <c r="I10" s="28" t="str">
        <f>"Input range from 64 to "&amp;G10&amp;",and is an integer multiple of 8"</f>
        <v>Input range from 64 to 5120,and is an integer multiple of 8</v>
      </c>
      <c r="J10" s="28" t="str">
        <f>"Input range from 64 to "&amp;H10&amp;",and is an integer multiple of 2"</f>
        <v>Input range from 64 to 5120,and is an integer multiple of 2</v>
      </c>
    </row>
    <row r="11" spans="1:10" ht="15.75">
      <c r="A11" s="4" t="s">
        <v>4</v>
      </c>
      <c r="B11" s="5">
        <v>380000000</v>
      </c>
      <c r="C11" s="28"/>
      <c r="D11" s="28"/>
      <c r="E11" s="28"/>
      <c r="F11" s="28">
        <v>2</v>
      </c>
      <c r="G11" s="28">
        <f>8*INT(5120/(8*F11))</f>
        <v>2560</v>
      </c>
      <c r="H11" s="28">
        <f>8*INT(5120/(8*F11))</f>
        <v>2560</v>
      </c>
      <c r="I11" s="28" t="str">
        <f>"Input range from 64 to "&amp;G11&amp;",and is an integer multiple of 8"</f>
        <v>Input range from 64 to 2560,and is an integer multiple of 8</v>
      </c>
      <c r="J11" s="28" t="str">
        <f>"Input range from 64 to "&amp;H11&amp;",and is an integer multiple of 2"</f>
        <v>Input range from 64 to 2560,and is an integer multiple of 2</v>
      </c>
    </row>
    <row r="12" spans="1:10" ht="15.75">
      <c r="A12" s="4" t="s">
        <v>8</v>
      </c>
      <c r="B12" s="5" t="s">
        <v>9</v>
      </c>
      <c r="C12" s="28"/>
      <c r="D12" s="28"/>
      <c r="E12" s="28"/>
      <c r="F12" s="28">
        <v>4</v>
      </c>
      <c r="G12" s="28">
        <f>8*INT(5120/(8*F12))</f>
        <v>1280</v>
      </c>
      <c r="H12" s="28">
        <f>8*INT(5120/(8*F12))</f>
        <v>1280</v>
      </c>
      <c r="I12" s="28" t="str">
        <f>"Input range from 64 to "&amp;G12&amp;",and is an integer multiple of 8"</f>
        <v>Input range from 64 to 1280,and is an integer multiple of 8</v>
      </c>
      <c r="J12" s="28" t="str">
        <f>"Input range from 64 to "&amp;H12&amp;",and is an integer multiple of 2"</f>
        <v>Input range from 64 to 1280,and is an integer multiple of 2</v>
      </c>
    </row>
    <row r="13" spans="1:10" ht="15.75">
      <c r="A13" s="4" t="s">
        <v>10</v>
      </c>
      <c r="B13" s="5">
        <v>15.1</v>
      </c>
      <c r="C13" s="28"/>
      <c r="D13" s="28"/>
      <c r="E13" s="28"/>
      <c r="F13" s="28"/>
      <c r="G13" s="28"/>
      <c r="H13" s="28"/>
      <c r="I13" s="28" t="s">
        <v>238</v>
      </c>
      <c r="J13" s="28"/>
    </row>
    <row r="14" spans="1:10" ht="15.75" hidden="1">
      <c r="A14" s="4"/>
      <c r="B14" s="5"/>
      <c r="C14" s="28"/>
      <c r="D14" s="28"/>
      <c r="E14" s="28"/>
      <c r="F14" s="28"/>
      <c r="G14" s="28">
        <f>5120/B6</f>
        <v>5120</v>
      </c>
      <c r="H14" s="28">
        <f>5120/B7</f>
        <v>5120</v>
      </c>
      <c r="I14" s="28"/>
      <c r="J14" s="28"/>
    </row>
    <row r="15" spans="1:10" ht="15.75" hidden="1">
      <c r="A15" s="4"/>
      <c r="B15" s="5">
        <f>IF(B9=8,124,248)</f>
        <v>124</v>
      </c>
      <c r="C15" s="28"/>
      <c r="D15" s="28"/>
      <c r="E15" s="28"/>
      <c r="F15" s="28"/>
      <c r="G15" s="28"/>
      <c r="H15" s="28"/>
      <c r="I15" s="28"/>
      <c r="J15" s="28"/>
    </row>
    <row r="16" spans="1:10" ht="15.75" hidden="1">
      <c r="A16" s="4"/>
      <c r="B16" s="5">
        <f>ROUNDUP(5*B17,0)</f>
        <v>51670</v>
      </c>
      <c r="C16" s="28"/>
      <c r="D16" s="28"/>
      <c r="E16" s="28"/>
      <c r="F16" s="28"/>
      <c r="G16" s="28"/>
      <c r="H16" s="28"/>
      <c r="I16" s="28"/>
      <c r="J16" s="28"/>
    </row>
    <row r="17" spans="1:10" ht="15.75" hidden="1">
      <c r="A17" s="4"/>
      <c r="B17" s="5">
        <f>ROUNDUP(48*B15/(72*8)*1000,0)</f>
        <v>10334</v>
      </c>
      <c r="C17" s="28"/>
      <c r="D17" s="28"/>
      <c r="E17" s="28"/>
      <c r="F17" s="28"/>
      <c r="G17" s="28"/>
      <c r="H17" s="28"/>
      <c r="I17" s="28"/>
      <c r="J17" s="28"/>
    </row>
    <row r="18" spans="1:10" ht="15.75" hidden="1">
      <c r="A18" s="4" t="s">
        <v>144</v>
      </c>
      <c r="B18" s="5">
        <f>ROUNDUP(((B3+14)*B17+B16)/1000,0)</f>
        <v>53107</v>
      </c>
      <c r="C18" s="28"/>
      <c r="D18" s="28"/>
      <c r="E18" s="28"/>
      <c r="F18" s="28"/>
      <c r="G18" s="28"/>
      <c r="H18" s="28"/>
      <c r="I18" s="28"/>
      <c r="J18" s="28"/>
    </row>
    <row r="19" spans="1:10" ht="15.75" hidden="1">
      <c r="A19" s="4"/>
      <c r="B19" s="5">
        <f>IF(MAX(B18,B33,B36,B41)=B18,1,0)</f>
        <v>0</v>
      </c>
      <c r="C19" s="28"/>
      <c r="D19" s="28"/>
      <c r="E19" s="28"/>
      <c r="F19" s="28"/>
      <c r="G19" s="28"/>
      <c r="H19" s="28"/>
      <c r="I19" s="28"/>
      <c r="J19" s="28"/>
    </row>
    <row r="20" spans="1:10" ht="15.75" hidden="1">
      <c r="A20" s="4" t="s">
        <v>145</v>
      </c>
      <c r="B20" s="5">
        <f>2*B17</f>
        <v>20668</v>
      </c>
      <c r="C20" s="28"/>
      <c r="D20" s="28"/>
      <c r="E20" s="28"/>
      <c r="F20" s="28"/>
      <c r="G20" s="28"/>
      <c r="H20" s="28"/>
      <c r="I20" s="28"/>
      <c r="J20" s="28"/>
    </row>
    <row r="21" spans="1:10" ht="15.75" hidden="1">
      <c r="A21" s="4" t="s">
        <v>146</v>
      </c>
      <c r="B21" s="5">
        <f>ROUNDUP(636/72*1000,0)</f>
        <v>8834</v>
      </c>
      <c r="C21" s="28"/>
      <c r="D21" s="28"/>
      <c r="E21" s="28"/>
      <c r="F21" s="28"/>
      <c r="G21" s="28"/>
      <c r="H21" s="28"/>
      <c r="I21" s="28"/>
      <c r="J21" s="28"/>
    </row>
    <row r="22" spans="1:10" ht="15.75" hidden="1">
      <c r="A22" s="4" t="s">
        <v>239</v>
      </c>
      <c r="B22" s="5">
        <f>ROUNDUP(((MAX(B18,B33,B36,B41))-(B3*B17+B16+B20-B21)/1000),0)</f>
        <v>34409</v>
      </c>
      <c r="C22" s="28"/>
      <c r="D22" s="28"/>
      <c r="E22" s="28"/>
      <c r="F22" s="28"/>
      <c r="G22" s="28"/>
      <c r="H22" s="28"/>
      <c r="I22" s="28"/>
      <c r="J22" s="28"/>
    </row>
    <row r="23" spans="1:10" ht="15.75" hidden="1">
      <c r="A23" s="4" t="s">
        <v>176</v>
      </c>
      <c r="B23" s="5">
        <f>ROUNDUP(((MAX(B18,B33,B36,B41))-(B3*B17+B16+B20-B21+12*B17)/1000),0)</f>
        <v>34285</v>
      </c>
      <c r="C23" s="28"/>
      <c r="D23" s="28"/>
      <c r="E23" s="28"/>
      <c r="F23" s="28"/>
      <c r="G23" s="28"/>
      <c r="H23" s="28"/>
      <c r="I23" s="28"/>
      <c r="J23" s="28"/>
    </row>
    <row r="24" spans="1:10" ht="15.75" hidden="1">
      <c r="A24" s="4" t="s">
        <v>240</v>
      </c>
      <c r="B24" s="5">
        <f>ROUNDUP(IF(B19=1,B22+10*B17/1000,B22+4*B17/1000),0)</f>
        <v>34451</v>
      </c>
      <c r="C24" s="28"/>
      <c r="D24" s="28"/>
      <c r="E24" s="28"/>
      <c r="F24" s="28"/>
      <c r="G24" s="28"/>
      <c r="H24" s="28"/>
      <c r="I24" s="28"/>
      <c r="J24" s="28"/>
    </row>
    <row r="25" spans="1:10" ht="15.75" hidden="1">
      <c r="A25" s="4" t="s">
        <v>147</v>
      </c>
      <c r="B25" s="5">
        <f>ROUNDUP(B23+6*B17/1000,0)</f>
        <v>34348</v>
      </c>
      <c r="C25" s="28"/>
      <c r="D25" s="28"/>
      <c r="E25" s="28"/>
      <c r="F25" s="28"/>
      <c r="G25" s="28"/>
      <c r="H25" s="28"/>
      <c r="I25" s="28"/>
      <c r="J25" s="28"/>
    </row>
    <row r="26" spans="1:10" ht="15.75" hidden="1">
      <c r="A26" s="4" t="s">
        <v>148</v>
      </c>
      <c r="B26" s="5">
        <f>ROUNDUP(B23+B17/1000,0)</f>
        <v>34296</v>
      </c>
      <c r="C26" s="28"/>
      <c r="D26" s="28"/>
      <c r="E26" s="28"/>
      <c r="F26" s="28"/>
      <c r="G26" s="28"/>
      <c r="H26" s="28"/>
      <c r="I26" s="28"/>
      <c r="J26" s="28"/>
    </row>
    <row r="27" spans="1:10" ht="15.75" hidden="1">
      <c r="A27" s="4" t="s">
        <v>149</v>
      </c>
      <c r="B27" s="5">
        <f>IF(B8&lt;B24,0,1)</f>
        <v>1</v>
      </c>
      <c r="C27" s="28"/>
      <c r="D27" s="28"/>
      <c r="E27" s="28"/>
      <c r="F27" s="28"/>
      <c r="G27" s="28"/>
      <c r="H27" s="28"/>
      <c r="I27" s="28"/>
      <c r="J27" s="28"/>
    </row>
    <row r="28" spans="1:10" ht="15.75" hidden="1">
      <c r="A28" s="4" t="s">
        <v>150</v>
      </c>
      <c r="B28" s="5">
        <f>ROUNDUP(((B3+14+6)*B17+B16)/1000,0)</f>
        <v>53169</v>
      </c>
      <c r="C28" s="28"/>
      <c r="D28" s="28"/>
      <c r="E28" s="28"/>
      <c r="F28" s="28"/>
      <c r="G28" s="28"/>
      <c r="H28" s="28"/>
      <c r="I28" s="28"/>
      <c r="J28" s="28"/>
    </row>
    <row r="29" spans="1:10" ht="15.75" hidden="1">
      <c r="A29" s="4" t="s">
        <v>151</v>
      </c>
      <c r="B29" s="5">
        <f>IF(AND(B26&lt;=B8,B8&lt;=B25),1,0)</f>
        <v>0</v>
      </c>
      <c r="C29" s="28"/>
      <c r="D29" s="28"/>
      <c r="E29" s="28"/>
      <c r="F29" s="28"/>
      <c r="G29" s="28"/>
      <c r="H29" s="28"/>
      <c r="I29" s="28"/>
      <c r="J29" s="28"/>
    </row>
    <row r="30" spans="1:10" ht="15.75" hidden="1">
      <c r="A30" s="4" t="s">
        <v>152</v>
      </c>
      <c r="B30" s="5">
        <f>IF(B29=1,(IF(MAX(B31,B33,B36,B41)=B33,0,(MAX(B31,B36,B41))+B8-B26+1)),0)</f>
        <v>0</v>
      </c>
      <c r="C30" s="28"/>
      <c r="D30" s="28"/>
      <c r="E30" s="28"/>
      <c r="F30" s="28"/>
      <c r="G30" s="28"/>
      <c r="H30" s="28"/>
      <c r="I30" s="28"/>
      <c r="J30" s="28"/>
    </row>
    <row r="31" spans="1:10" ht="15.75" hidden="1">
      <c r="A31" s="4"/>
      <c r="B31" s="26">
        <f>IF(B27=1,B28,B18)</f>
        <v>53169</v>
      </c>
      <c r="C31" s="28"/>
      <c r="D31" s="28"/>
      <c r="E31" s="28"/>
      <c r="F31" s="28"/>
      <c r="G31" s="28"/>
      <c r="H31" s="28"/>
      <c r="I31" s="28"/>
      <c r="J31" s="28"/>
    </row>
    <row r="32" spans="1:10" ht="15.75" hidden="1">
      <c r="A32" s="4"/>
      <c r="B32" s="5"/>
      <c r="C32" s="28"/>
      <c r="D32" s="28"/>
      <c r="E32" s="28"/>
      <c r="F32" s="28"/>
      <c r="G32" s="28"/>
      <c r="H32" s="28"/>
      <c r="I32" s="28"/>
      <c r="J32" s="28"/>
    </row>
    <row r="33" spans="1:10" ht="15.75" hidden="1">
      <c r="A33" s="4"/>
      <c r="B33" s="26">
        <f>ROUNDUP(B8-636/72+2*B17/1000+B16/1000,0)</f>
        <v>60064</v>
      </c>
      <c r="C33" s="28"/>
      <c r="D33" s="28"/>
      <c r="E33" s="28"/>
      <c r="F33" s="28"/>
      <c r="G33" s="28"/>
      <c r="H33" s="28"/>
      <c r="I33" s="28"/>
      <c r="J33" s="28"/>
    </row>
    <row r="34" spans="1:10" ht="15.75" hidden="1">
      <c r="A34" s="4"/>
      <c r="B34" s="5"/>
      <c r="C34" s="28"/>
      <c r="D34" s="28"/>
      <c r="E34" s="28"/>
      <c r="F34" s="28"/>
      <c r="G34" s="28"/>
      <c r="H34" s="28"/>
      <c r="I34" s="28"/>
      <c r="J34" s="28"/>
    </row>
    <row r="35" spans="1:10" ht="15.75" hidden="1">
      <c r="A35" s="4"/>
      <c r="B35" s="5">
        <f>IF(B12="off",0,1)</f>
        <v>0</v>
      </c>
      <c r="C35" s="28"/>
      <c r="D35" s="28"/>
      <c r="E35" s="28"/>
      <c r="F35" s="28"/>
      <c r="G35" s="28"/>
      <c r="H35" s="28"/>
      <c r="I35" s="28"/>
      <c r="J35" s="28"/>
    </row>
    <row r="36" spans="1:10" ht="15.75" hidden="1">
      <c r="A36" s="4"/>
      <c r="B36" s="26">
        <f>ROUNDUP((1000000/B13)*B35,0)</f>
        <v>0</v>
      </c>
      <c r="C36" s="28"/>
      <c r="D36" s="28"/>
      <c r="E36" s="28"/>
      <c r="F36" s="28"/>
      <c r="G36" s="28"/>
      <c r="H36" s="28"/>
      <c r="I36" s="28"/>
      <c r="J36" s="28"/>
    </row>
    <row r="37" spans="1:10" ht="15.75" hidden="1">
      <c r="A37" s="4"/>
      <c r="B37" s="5"/>
      <c r="C37" s="28"/>
      <c r="D37" s="28"/>
      <c r="E37" s="28"/>
      <c r="F37" s="28"/>
      <c r="G37" s="28"/>
      <c r="H37" s="28"/>
      <c r="I37" s="28"/>
      <c r="J37" s="28"/>
    </row>
    <row r="38" spans="1:10" ht="15.75" hidden="1">
      <c r="A38" s="3" t="s">
        <v>153</v>
      </c>
      <c r="B38" s="5">
        <v>3970</v>
      </c>
      <c r="C38" s="28"/>
      <c r="D38" s="28"/>
      <c r="E38" s="28"/>
      <c r="F38" s="28"/>
      <c r="G38" s="28"/>
      <c r="H38" s="28"/>
      <c r="I38" s="28"/>
      <c r="J38" s="28"/>
    </row>
    <row r="39" spans="1:10" ht="15.75" hidden="1">
      <c r="A39" s="3" t="s">
        <v>154</v>
      </c>
      <c r="B39" s="5">
        <f>B2*B3*IF(B9=8,1,2)</f>
        <v>26214400</v>
      </c>
      <c r="C39" s="28"/>
      <c r="D39" s="28"/>
      <c r="E39" s="28"/>
      <c r="F39" s="28"/>
      <c r="G39" s="28"/>
      <c r="H39" s="28"/>
      <c r="I39" s="28"/>
      <c r="J39" s="28"/>
    </row>
    <row r="40" spans="1:10" ht="15.75" hidden="1">
      <c r="A40" s="3" t="s">
        <v>155</v>
      </c>
      <c r="B40" s="5">
        <f>52+32+B39</f>
        <v>26214484</v>
      </c>
      <c r="C40" s="28"/>
      <c r="D40" s="28"/>
      <c r="E40" s="28"/>
      <c r="F40" s="28"/>
      <c r="G40" s="28"/>
      <c r="H40" s="28"/>
      <c r="I40" s="28"/>
      <c r="J40" s="28"/>
    </row>
    <row r="41" spans="1:10" ht="15.75" hidden="1">
      <c r="A41" s="4"/>
      <c r="B41" s="26">
        <f>ROUNDUP(MAX((B40*1000000/B10),B40*10/B38, B42),0)</f>
        <v>87382</v>
      </c>
      <c r="C41" s="28"/>
      <c r="D41" s="28"/>
      <c r="E41" s="28"/>
      <c r="F41" s="28"/>
      <c r="G41" s="28"/>
      <c r="H41" s="28"/>
      <c r="I41" s="28"/>
      <c r="J41" s="28"/>
    </row>
    <row r="42" spans="1:10" ht="15.75" hidden="1">
      <c r="A42" s="4"/>
      <c r="B42" s="5">
        <f>B40*1000000/B11</f>
        <v>68985.484210526309</v>
      </c>
      <c r="C42" s="28"/>
      <c r="D42" s="28"/>
      <c r="E42" s="28"/>
      <c r="F42" s="28"/>
      <c r="G42" s="28"/>
      <c r="H42" s="28"/>
      <c r="I42" s="28"/>
      <c r="J42" s="28"/>
    </row>
    <row r="43" spans="1:10" ht="15.75" hidden="1">
      <c r="A43" s="4"/>
      <c r="B43" s="5"/>
      <c r="C43" s="28"/>
      <c r="D43" s="28"/>
      <c r="E43" s="28"/>
      <c r="F43" s="28"/>
      <c r="G43" s="28"/>
      <c r="H43" s="28"/>
      <c r="I43" s="28"/>
      <c r="J43" s="28"/>
    </row>
    <row r="44" spans="1:10" ht="15.75" hidden="1">
      <c r="A44" s="3" t="s">
        <v>61</v>
      </c>
      <c r="B44" s="5">
        <f>IF(B29=0,IF(MAX(B31,B33,B36,B41)=B33,B33+1,(MAX(B31,B33,B36,B41))),B30)</f>
        <v>87382</v>
      </c>
      <c r="C44" s="10" t="str">
        <f>IF(OR(B3&gt;5120/B5,B3&lt;64,B2&gt;5120/B4,B2&lt;64),I6,"")</f>
        <v/>
      </c>
      <c r="D44" s="28"/>
      <c r="E44" s="28"/>
      <c r="F44" s="28"/>
      <c r="G44" s="28"/>
      <c r="H44" s="28"/>
      <c r="I44" s="28"/>
      <c r="J44" s="28"/>
    </row>
    <row r="45" spans="1:10" ht="15.75">
      <c r="A45" s="44" t="s">
        <v>157</v>
      </c>
      <c r="B45" s="45"/>
      <c r="D45" s="28"/>
      <c r="E45" s="28"/>
      <c r="F45" s="28"/>
      <c r="G45" s="28"/>
      <c r="H45" s="28"/>
      <c r="I45" s="28"/>
      <c r="J45" s="28"/>
    </row>
    <row r="46" spans="1:10" ht="27">
      <c r="A46" s="7" t="s">
        <v>57</v>
      </c>
      <c r="B46" s="8">
        <f>1000000/B44</f>
        <v>11.444004486049758</v>
      </c>
      <c r="D46" s="28"/>
      <c r="E46" s="28"/>
      <c r="F46" s="28"/>
      <c r="G46" s="28"/>
      <c r="H46" s="28"/>
      <c r="I46" s="28"/>
      <c r="J46" s="28"/>
    </row>
    <row r="47" spans="1:10">
      <c r="D47" s="28"/>
      <c r="E47" s="28"/>
      <c r="F47" s="28"/>
      <c r="G47" s="28"/>
      <c r="H47" s="28"/>
      <c r="I47" s="28"/>
      <c r="J47" s="28"/>
    </row>
    <row r="48" spans="1:10">
      <c r="D48" s="28"/>
      <c r="E48" s="28"/>
      <c r="F48" s="28"/>
      <c r="G48" s="28"/>
      <c r="H48" s="28"/>
      <c r="I48" s="28"/>
      <c r="J48" s="28"/>
    </row>
    <row r="49" spans="4:10">
      <c r="D49" s="28"/>
      <c r="E49" s="28"/>
      <c r="F49" s="28"/>
      <c r="G49" s="28"/>
      <c r="H49" s="28"/>
      <c r="I49" s="28"/>
      <c r="J49" s="28"/>
    </row>
  </sheetData>
  <sheetProtection algorithmName="SHA-512" hashValue="De29jcXYayJibl7eo2U8M8alSD1+ciPmbatsSl9Ai5KrrR2fjwa7o2RiHnROz9f+qs3CW8dt/5cJGcEzww4Wzg==" saltValue="wmvjEFscD8VsLA9DvfzT3g==" spinCount="100000" sheet="1" objects="1" scenarios="1" selectLockedCells="1"/>
  <dataConsolidate/>
  <mergeCells count="2">
    <mergeCell ref="A1:B1"/>
    <mergeCell ref="A45:B45"/>
  </mergeCells>
  <phoneticPr fontId="8" type="noConversion"/>
  <conditionalFormatting sqref="B2">
    <cfRule type="cellIs" dxfId="7" priority="6" operator="notBetween">
      <formula>64</formula>
      <formula>$G$14</formula>
    </cfRule>
    <cfRule type="cellIs" dxfId="6" priority="8" operator="notBetween">
      <formula>64</formula>
      <formula>$G$7</formula>
    </cfRule>
  </conditionalFormatting>
  <conditionalFormatting sqref="B3">
    <cfRule type="cellIs" dxfId="5" priority="5" operator="notBetween">
      <formula>64</formula>
      <formula>$H$7</formula>
    </cfRule>
    <cfRule type="cellIs" dxfId="4" priority="7" operator="notBetween">
      <formula>64</formula>
      <formula>$H$14</formula>
    </cfRule>
  </conditionalFormatting>
  <conditionalFormatting sqref="B4">
    <cfRule type="expression" dxfId="3" priority="4">
      <formula>AND(B6&gt;1,B4&gt;1)</formula>
    </cfRule>
  </conditionalFormatting>
  <conditionalFormatting sqref="B6">
    <cfRule type="expression" dxfId="2" priority="3">
      <formula>AND(B6&gt;1,B4&gt;1)</formula>
    </cfRule>
  </conditionalFormatting>
  <conditionalFormatting sqref="B5">
    <cfRule type="expression" dxfId="1" priority="2">
      <formula>AND(B5&gt;1,B7&gt;1)</formula>
    </cfRule>
  </conditionalFormatting>
  <conditionalFormatting sqref="B7">
    <cfRule type="expression" dxfId="0" priority="1">
      <formula>AND(B5&gt;1,B7&gt;1)</formula>
    </cfRule>
  </conditionalFormatting>
  <dataValidations count="8">
    <dataValidation type="custom" allowBlank="1" showInputMessage="1" showErrorMessage="1" errorTitle="Input parameter error" error="Input range from 0.1 to 10000,step 0.1" sqref="B13">
      <formula1>AND(MOD(10*B13,1)=0,B13&gt;=0.1,B13&lt;=10000)</formula1>
    </dataValidation>
    <dataValidation type="list" allowBlank="1" showInputMessage="1" showErrorMessage="1" errorTitle="Input parameter error" error="Input off or on" sqref="B12">
      <formula1>"on,off"</formula1>
    </dataValidation>
    <dataValidation type="custom" allowBlank="1" showInputMessage="1" showErrorMessage="1" errorTitle="Input parameter error" error="8bit mode range from 35000000 to 400000000,step 1000000;_x000a_12bit mode range from 70000000 to 400000000,step 1000000" sqref="B10">
      <formula1>OR(AND(B9=8,B10&gt;=35000000,B10&lt;=400000000,MOD(B10,1000000)=0),AND(B9=12,B10&gt;=70000000,B10&lt;=400000000,MOD(B10,1000000)=0))</formula1>
    </dataValidation>
    <dataValidation type="whole" allowBlank="1" showInputMessage="1" showErrorMessage="1" errorTitle="Input parameter error" error="Input range from 10 to 1000000" sqref="B8">
      <formula1>10</formula1>
      <formula2>1000000</formula2>
    </dataValidation>
    <dataValidation type="custom" allowBlank="1" showInputMessage="1" showErrorMessage="1" errorTitle="Input parameter error" error="Input range from 64 to 5120,and is an integer multiple of 2" sqref="B3">
      <formula1>AND(MOD(B3,2)=0,B3&gt;=64,B3&lt;=5120/B5)</formula1>
    </dataValidation>
    <dataValidation type="custom" allowBlank="1" showInputMessage="1" showErrorMessage="1" errorTitle="Input parameter error" error="Input range from 64 to 5120,and is an integer multiple of 8" sqref="B2">
      <formula1>AND(MOD(B2,8)=0,B2&gt;=64,B2&lt;=5120/B4)</formula1>
    </dataValidation>
    <dataValidation type="list" allowBlank="1" showInputMessage="1" showErrorMessage="1" errorTitle="Input parameter error" error="Input 8 or 12" sqref="B9">
      <formula1>"8,12"</formula1>
    </dataValidation>
    <dataValidation type="list" allowBlank="1" showInputMessage="1" showErrorMessage="1" errorTitle="参数输入错误" error="可输入的值为1,2,4" sqref="B4:B7">
      <formula1>"1,2,4"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3"/>
  <sheetViews>
    <sheetView workbookViewId="0">
      <selection activeCell="C36" sqref="C36"/>
    </sheetView>
  </sheetViews>
  <sheetFormatPr defaultRowHeight="13.5"/>
  <cols>
    <col min="1" max="1" width="39.25" customWidth="1"/>
    <col min="2" max="2" width="28.875" customWidth="1"/>
  </cols>
  <sheetData>
    <row r="1" spans="1:2" ht="15.75">
      <c r="A1" s="33" t="s">
        <v>172</v>
      </c>
      <c r="B1" s="34"/>
    </row>
    <row r="2" spans="1:2" ht="15.75">
      <c r="A2" s="4" t="s">
        <v>0</v>
      </c>
      <c r="B2" s="11">
        <v>1440</v>
      </c>
    </row>
    <row r="3" spans="1:2" ht="15.75">
      <c r="A3" s="4" t="s">
        <v>171</v>
      </c>
      <c r="B3" s="11">
        <v>1080</v>
      </c>
    </row>
    <row r="4" spans="1:2" ht="15.75">
      <c r="A4" s="4" t="s">
        <v>170</v>
      </c>
      <c r="B4" s="5">
        <v>10000</v>
      </c>
    </row>
    <row r="5" spans="1:2" ht="15.75">
      <c r="A5" s="4" t="s">
        <v>169</v>
      </c>
      <c r="B5" s="5">
        <v>8</v>
      </c>
    </row>
    <row r="6" spans="1:2" ht="15.75">
      <c r="A6" s="4" t="s">
        <v>3</v>
      </c>
      <c r="B6" s="5">
        <v>200000000</v>
      </c>
    </row>
    <row r="7" spans="1:2" ht="15.75">
      <c r="A7" s="4" t="s">
        <v>168</v>
      </c>
      <c r="B7" s="5">
        <v>380000000</v>
      </c>
    </row>
    <row r="8" spans="1:2" ht="15.75" hidden="1">
      <c r="A8" s="4" t="s">
        <v>5</v>
      </c>
      <c r="B8" s="5">
        <f>MAX(ROUNDUP((B4*1000-14260)/B11,0),1)</f>
        <v>679</v>
      </c>
    </row>
    <row r="9" spans="1:2" ht="15.75" hidden="1">
      <c r="A9" s="4" t="s">
        <v>6</v>
      </c>
      <c r="B9" s="5" t="str">
        <f>IF((B5&lt;=8),"1","2")</f>
        <v>1</v>
      </c>
    </row>
    <row r="10" spans="1:2" ht="15.75" hidden="1">
      <c r="A10" s="4" t="s">
        <v>167</v>
      </c>
      <c r="B10" s="5">
        <f>B2*B3*B9+84</f>
        <v>1555284</v>
      </c>
    </row>
    <row r="11" spans="1:2" ht="15.75" hidden="1">
      <c r="A11" s="4" t="s">
        <v>166</v>
      </c>
      <c r="B11" s="5">
        <f>MIN((IF(B33&lt;552,552,IF(B33&gt;1656,1656,B33))),B32)*1000000*B9/37500</f>
        <v>14720</v>
      </c>
    </row>
    <row r="12" spans="1:2" ht="15.75" hidden="1">
      <c r="A12" s="4" t="s">
        <v>7</v>
      </c>
      <c r="B12" s="5">
        <f>(B3+30)*B11</f>
        <v>16339200</v>
      </c>
    </row>
    <row r="13" spans="1:2" ht="15.75">
      <c r="A13" s="4" t="s">
        <v>8</v>
      </c>
      <c r="B13" s="5" t="s">
        <v>9</v>
      </c>
    </row>
    <row r="14" spans="1:2" ht="15.75">
      <c r="A14" s="4" t="s">
        <v>10</v>
      </c>
      <c r="B14" s="5">
        <v>61.3</v>
      </c>
    </row>
    <row r="15" spans="1:2" ht="15.75" hidden="1">
      <c r="A15" s="3" t="s">
        <v>165</v>
      </c>
      <c r="B15" s="6">
        <f>MAX(ROUNDUP((MAX((B10*1000000/B6),B10*1000000/B7)*1000)/B11,0)*B11,(B8+8)*B11,B12,B11*(IF(B13="off",0,1))*ROUNDUP(1000000000/(B11*B14),0))</f>
        <v>16339200</v>
      </c>
    </row>
    <row r="16" spans="1:2" ht="15.75">
      <c r="A16" s="35" t="s">
        <v>164</v>
      </c>
      <c r="B16" s="36"/>
    </row>
    <row r="17" spans="1:2" ht="27">
      <c r="A17" s="7" t="s">
        <v>163</v>
      </c>
      <c r="B17" s="8">
        <f>1000000000/B15</f>
        <v>61.20250685468077</v>
      </c>
    </row>
    <row r="30" spans="1:2" hidden="1">
      <c r="A30" s="29" t="s">
        <v>162</v>
      </c>
      <c r="B30" s="30">
        <f>ROUNDUP((MAX((B10*1000000/B6),B10*1000000/B7)*1000),0)</f>
        <v>7776420</v>
      </c>
    </row>
    <row r="31" spans="1:2" hidden="1">
      <c r="A31" s="29" t="s">
        <v>161</v>
      </c>
      <c r="B31" s="29">
        <f>ROUNDUP((1000000000/B14)*(IF(B13="off",0,1)),0)</f>
        <v>0</v>
      </c>
    </row>
    <row r="32" spans="1:2" hidden="1">
      <c r="A32" s="29" t="s">
        <v>160</v>
      </c>
      <c r="B32" s="29">
        <f>IF(ROUNDUP(((B4*1000-14260)*37500/1000000),0)&lt;552,552,ROUNDUP(((B4*1000-14260)*37500/1000000),0))</f>
        <v>374466</v>
      </c>
    </row>
    <row r="33" spans="1:2" hidden="1">
      <c r="A33" s="29" t="s">
        <v>159</v>
      </c>
      <c r="B33" s="29">
        <f>ROUNDUP(MAX(B30,B31)*37500/((B3+30)*1000000),0)</f>
        <v>263</v>
      </c>
    </row>
  </sheetData>
  <sheetProtection algorithmName="SHA-512" hashValue="judEQw1NcMPTcSfXfB7Vtw7mfODMNoqHfmF4hpD+W6FyGZiqtyWvT1+OhsBY1oMXyjWdVyKyoG2m8gzuxRejoA==" saltValue="hoKv2HpZ4SwetQPvZL6yCQ==" spinCount="100000" sheet="1" objects="1" scenarios="1"/>
  <mergeCells count="2">
    <mergeCell ref="A1:B1"/>
    <mergeCell ref="A16:B16"/>
  </mergeCells>
  <phoneticPr fontId="8" type="noConversion"/>
  <dataValidations count="7">
    <dataValidation type="custom" allowBlank="1" showInputMessage="1" showErrorMessage="1" errorTitle="Input parameter error" error="Input parameter error,Input range from 64 to 1440,and is an integer multiple of 4" sqref="B2">
      <formula1>AND(MOD(B2,4)=0,B2&gt;=64,B2&lt;=1440)</formula1>
    </dataValidation>
    <dataValidation type="custom" allowBlank="1" showInputMessage="1" showErrorMessage="1" errorTitle="Input parameter error" error="Input parameter error,Input range from 64 to 1080,and is an integer multiple of 2" sqref="B3">
      <formula1>AND(MOD(B3,2)=0,B3&gt;=64,B3&lt;=1080)</formula1>
    </dataValidation>
    <dataValidation type="list" allowBlank="1" showInputMessage="1" showErrorMessage="1" errorTitle="Input parameter error" error="Input 8 or 10" sqref="B5">
      <formula1>"8,10"</formula1>
    </dataValidation>
    <dataValidation type="whole" allowBlank="1" showInputMessage="1" showErrorMessage="1" errorTitle="Input parameter error" error="Input range is 20-1000000" sqref="B4">
      <formula1>20</formula1>
      <formula2>1000000</formula2>
    </dataValidation>
    <dataValidation type="custom" allowBlank="1" showInputMessage="1" showErrorMessage="1" errorTitle="Input parameter error" error="8bit mode range from 35000000 to 200000000,step 1000000;_x000a_10bit mode range from 70000000 to 200000000,step 1000000" sqref="B6">
      <formula1>OR(AND(B5=8,B6&gt;=35000000,B6&lt;=200000000,MOD(B6,1000000)=0),AND(B5=10,B6&gt;=70000000,B6&lt;=200000000,MOD(B6,1000000)=0))</formula1>
    </dataValidation>
    <dataValidation type="list" allowBlank="1" showInputMessage="1" showErrorMessage="1" errorTitle="Input parameter error" error="Input on or off" sqref="B13">
      <formula1>"on,off"</formula1>
    </dataValidation>
    <dataValidation type="custom" allowBlank="1" showInputMessage="1" showErrorMessage="1" errorTitle="Input parameter error" error="Input range from 0.1 to 10000,step 0.1" sqref="B14">
      <formula1>AND(MOD(10*B14,1)=0,B14&gt;=0.1,B14&lt;=10000)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selection activeCell="B2" sqref="B2"/>
    </sheetView>
  </sheetViews>
  <sheetFormatPr defaultColWidth="9" defaultRowHeight="13.5"/>
  <cols>
    <col min="1" max="1" width="35.5" style="9" customWidth="1"/>
    <col min="2" max="2" width="27.375" style="9" customWidth="1"/>
    <col min="3" max="16384" width="9" style="9"/>
  </cols>
  <sheetData>
    <row r="1" spans="1:2" ht="15.75">
      <c r="A1" s="33" t="s">
        <v>78</v>
      </c>
      <c r="B1" s="34"/>
    </row>
    <row r="2" spans="1:2" ht="15.75">
      <c r="A2" s="3" t="s">
        <v>0</v>
      </c>
      <c r="B2" s="5">
        <v>1920</v>
      </c>
    </row>
    <row r="3" spans="1:2" ht="15.75">
      <c r="A3" s="3" t="s">
        <v>72</v>
      </c>
      <c r="B3" s="5">
        <v>1200</v>
      </c>
    </row>
    <row r="4" spans="1:2" ht="15.75">
      <c r="A4" s="3" t="s">
        <v>1</v>
      </c>
      <c r="B4" s="5">
        <v>10000</v>
      </c>
    </row>
    <row r="5" spans="1:2" ht="15" customHeight="1">
      <c r="A5" s="3" t="s">
        <v>2</v>
      </c>
      <c r="B5" s="5">
        <v>8</v>
      </c>
    </row>
    <row r="6" spans="1:2" ht="15.75">
      <c r="A6" s="3" t="s">
        <v>3</v>
      </c>
      <c r="B6" s="5">
        <v>300000000</v>
      </c>
    </row>
    <row r="7" spans="1:2" ht="15.75">
      <c r="A7" s="3" t="s">
        <v>4</v>
      </c>
      <c r="B7" s="5">
        <v>380000000</v>
      </c>
    </row>
    <row r="8" spans="1:2" ht="15.75" hidden="1">
      <c r="A8" s="3"/>
      <c r="B8" s="5"/>
    </row>
    <row r="9" spans="1:2" ht="15.75" hidden="1">
      <c r="A9" s="3" t="s">
        <v>5</v>
      </c>
      <c r="B9" s="5">
        <f>MAX(INT((B4-13.73)/B12),1)</f>
        <v>2080</v>
      </c>
    </row>
    <row r="10" spans="1:2" ht="15.75" hidden="1">
      <c r="A10" s="3" t="s">
        <v>6</v>
      </c>
      <c r="B10" s="5" t="str">
        <f>IF((B5&lt;=8),"1","2")</f>
        <v>1</v>
      </c>
    </row>
    <row r="11" spans="1:2" ht="15.75" hidden="1">
      <c r="A11" s="3" t="s">
        <v>66</v>
      </c>
      <c r="B11" s="5">
        <f>B2*B3*B10+84</f>
        <v>2304084</v>
      </c>
    </row>
    <row r="12" spans="1:2" ht="15.75" hidden="1">
      <c r="A12" s="3" t="s">
        <v>64</v>
      </c>
      <c r="B12" s="5">
        <f>IF(B5=8,180/37.5,360/37.5)</f>
        <v>4.8</v>
      </c>
    </row>
    <row r="13" spans="1:2" ht="15.75" hidden="1">
      <c r="A13" s="3" t="s">
        <v>7</v>
      </c>
      <c r="B13" s="5">
        <f>(B3+38)*B12</f>
        <v>5942.4</v>
      </c>
    </row>
    <row r="14" spans="1:2" ht="15.75">
      <c r="A14" s="3" t="s">
        <v>8</v>
      </c>
      <c r="B14" s="5" t="s">
        <v>9</v>
      </c>
    </row>
    <row r="15" spans="1:2" ht="15.75">
      <c r="A15" s="3" t="s">
        <v>10</v>
      </c>
      <c r="B15" s="5">
        <v>168</v>
      </c>
    </row>
    <row r="16" spans="1:2" ht="15.75" hidden="1">
      <c r="A16" s="3" t="s">
        <v>61</v>
      </c>
      <c r="B16" s="6">
        <f>MAX(B11*1000000/B7,B11*1000000/B6,(B9+14)*B12,B13,B12*(IF(B14="off",0,1))*INT(1000*1000/(B12*B15)))</f>
        <v>10051.199999999999</v>
      </c>
    </row>
    <row r="17" spans="1:2" ht="15.75">
      <c r="A17" s="35" t="s">
        <v>58</v>
      </c>
      <c r="B17" s="36"/>
    </row>
    <row r="18" spans="1:2" ht="27">
      <c r="A18" s="7" t="s">
        <v>57</v>
      </c>
      <c r="B18" s="8">
        <f>1000000/B16</f>
        <v>99.490608086596637</v>
      </c>
    </row>
  </sheetData>
  <sheetProtection algorithmName="SHA-512" hashValue="iJ8QR6naPTRjlPuBNNDubivKanyffR/QMTpUdQ8sVwPxaQF0oHwlnuI4m+kytWX1wBLMuXcaFUaagFGsdIbkeA==" saltValue="avvPVgLuAPM6xHG7c4loNQ==" spinCount="100000" sheet="1" objects="1" scenarios="1"/>
  <dataConsolidate/>
  <mergeCells count="2">
    <mergeCell ref="A1:B1"/>
    <mergeCell ref="A17:B17"/>
  </mergeCells>
  <phoneticPr fontId="8" type="noConversion"/>
  <dataValidations count="7">
    <dataValidation type="custom" allowBlank="1" showInputMessage="1" showErrorMessage="1" errorTitle="Input parameter error" error="Input range from 64 to 1920,and is an integer multiple of 8" sqref="B2">
      <formula1>AND(MOD(B2,8)=0,B2&gt;=64,B2&lt;=1920)</formula1>
    </dataValidation>
    <dataValidation type="custom" allowBlank="1" showInputMessage="1" showErrorMessage="1" errorTitle="Input parameter error" error="Input range from 64 to 1200,and is an integer multiple of 2" sqref="B3">
      <formula1>AND(MOD(B3,2)=0,B3&gt;=64,B3&lt;=1200)</formula1>
    </dataValidation>
    <dataValidation type="whole" allowBlank="1" showInputMessage="1" showErrorMessage="1" errorTitle="Input parameter error" error="Input range from 20 to 1000000" sqref="B4">
      <formula1>20</formula1>
      <formula2>1000000</formula2>
    </dataValidation>
    <dataValidation type="custom" allowBlank="1" showInputMessage="1" showErrorMessage="1" errorTitle="Input parameter error" error="8bit mode range from 35000000 to 400000000,step 1000000;_x000a_10bit mode range from 70000000 to 400000000,step 1000000" sqref="B6">
      <formula1>OR(AND(B5=8,B6&gt;=35000000,B6&lt;=400000000,MOD(B6,1000000)=0),AND(B5=10,B6&gt;=70000000,B6&lt;=400000000,MOD(B6,1000000)=0))</formula1>
    </dataValidation>
    <dataValidation type="list" allowBlank="1" showDropDown="1" showInputMessage="1" showErrorMessage="1" errorTitle="Input parameter error" error="Input 8 or 10" sqref="B5">
      <formula1>"8,10"</formula1>
    </dataValidation>
    <dataValidation type="list" allowBlank="1" showInputMessage="1" showErrorMessage="1" errorTitle="Input parameter error" error="Input off or on" sqref="B14">
      <formula1>"off,on"</formula1>
    </dataValidation>
    <dataValidation type="custom" allowBlank="1" showInputMessage="1" showErrorMessage="1" errorTitle="Input parameter error" error="Input range from 0.1 to 10000,step 0.1" sqref="B15">
      <formula1>AND(MOD(10*B15,1)=0,B15&gt;=0.1,B15&lt;=10000)</formula1>
    </dataValidation>
  </dataValidations>
  <pageMargins left="0.7" right="0.7" top="0.75" bottom="0.75" header="0.3" footer="0.3"/>
  <pageSetup orientation="portrait" horizontalDpi="200" verticalDpi="200" copies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selection activeCell="G20" sqref="G20"/>
    </sheetView>
  </sheetViews>
  <sheetFormatPr defaultColWidth="9" defaultRowHeight="13.5"/>
  <cols>
    <col min="1" max="1" width="35.875" style="9" customWidth="1"/>
    <col min="2" max="2" width="29.125" style="9" customWidth="1"/>
    <col min="3" max="16384" width="9" style="9"/>
  </cols>
  <sheetData>
    <row r="1" spans="1:2" ht="15.75">
      <c r="A1" s="33" t="s">
        <v>78</v>
      </c>
      <c r="B1" s="34"/>
    </row>
    <row r="2" spans="1:2" ht="15.75">
      <c r="A2" s="3" t="s">
        <v>0</v>
      </c>
      <c r="B2" s="5">
        <v>1920</v>
      </c>
    </row>
    <row r="3" spans="1:2" ht="15.75">
      <c r="A3" s="3" t="s">
        <v>72</v>
      </c>
      <c r="B3" s="5">
        <v>1200</v>
      </c>
    </row>
    <row r="4" spans="1:2" ht="15.75">
      <c r="A4" s="3" t="s">
        <v>1</v>
      </c>
      <c r="B4" s="5">
        <v>10000</v>
      </c>
    </row>
    <row r="5" spans="1:2" ht="15.75">
      <c r="A5" s="3" t="s">
        <v>2</v>
      </c>
      <c r="B5" s="5">
        <v>8</v>
      </c>
    </row>
    <row r="6" spans="1:2" ht="15.75">
      <c r="A6" s="3" t="s">
        <v>3</v>
      </c>
      <c r="B6" s="5">
        <v>400000000</v>
      </c>
    </row>
    <row r="7" spans="1:2" ht="15.75">
      <c r="A7" s="3" t="s">
        <v>4</v>
      </c>
      <c r="B7" s="5">
        <v>380000000</v>
      </c>
    </row>
    <row r="8" spans="1:2" ht="15.75" hidden="1">
      <c r="A8" s="3"/>
      <c r="B8" s="5"/>
    </row>
    <row r="9" spans="1:2" ht="15.75" hidden="1">
      <c r="A9" s="3" t="s">
        <v>5</v>
      </c>
      <c r="B9" s="5">
        <f>MAX(INT((B4-13.73)/B12),1)</f>
        <v>501</v>
      </c>
    </row>
    <row r="10" spans="1:2" ht="15.75" hidden="1">
      <c r="A10" s="3" t="s">
        <v>6</v>
      </c>
      <c r="B10" s="5" t="str">
        <f>IF((B5&lt;=8),"1","2")</f>
        <v>1</v>
      </c>
    </row>
    <row r="11" spans="1:2" ht="15.75" hidden="1">
      <c r="A11" s="3" t="s">
        <v>66</v>
      </c>
      <c r="B11" s="5">
        <f>B2*B3*B10+84</f>
        <v>2304084</v>
      </c>
    </row>
    <row r="12" spans="1:2" ht="15.75" hidden="1">
      <c r="A12" s="3" t="s">
        <v>64</v>
      </c>
      <c r="B12" s="5">
        <f>746/37.5</f>
        <v>19.893333333333334</v>
      </c>
    </row>
    <row r="13" spans="1:2" ht="15.75" hidden="1">
      <c r="A13" s="3" t="s">
        <v>7</v>
      </c>
      <c r="B13" s="5">
        <f>(B3+38)*B12</f>
        <v>24627.946666666667</v>
      </c>
    </row>
    <row r="14" spans="1:2" ht="15.75">
      <c r="A14" s="3" t="s">
        <v>8</v>
      </c>
      <c r="B14" s="5" t="s">
        <v>9</v>
      </c>
    </row>
    <row r="15" spans="1:2" ht="15.75">
      <c r="A15" s="3" t="s">
        <v>10</v>
      </c>
      <c r="B15" s="5">
        <v>41</v>
      </c>
    </row>
    <row r="16" spans="1:2" ht="15.75" hidden="1">
      <c r="A16" s="3" t="s">
        <v>61</v>
      </c>
      <c r="B16" s="6">
        <f>MAX(B11*1000000/B7,B11*1000000/B6,(B9+14)*B12,B13,B12*(IF(B14="off",0,1))*INT(1000*1000/(B12*B15)))</f>
        <v>24627.946666666667</v>
      </c>
    </row>
    <row r="17" spans="1:2" ht="15.75">
      <c r="A17" s="35" t="s">
        <v>58</v>
      </c>
      <c r="B17" s="36"/>
    </row>
    <row r="18" spans="1:2" ht="27">
      <c r="A18" s="7" t="s">
        <v>57</v>
      </c>
      <c r="B18" s="8">
        <f>1000000/B16</f>
        <v>40.604278283316084</v>
      </c>
    </row>
  </sheetData>
  <sheetProtection algorithmName="SHA-512" hashValue="dmPxlNeKnmZlKravieu5KKnuHTMQZxieLVUDWP0+r5Esq5r84+J7/ioYY2mEisl7Yo7EbGgW9/74SD+8epNLCw==" saltValue="+O0Lokgb212eDBvL03tKiQ==" spinCount="100000" sheet="1" objects="1" scenarios="1"/>
  <mergeCells count="2">
    <mergeCell ref="A1:B1"/>
    <mergeCell ref="A17:B17"/>
  </mergeCells>
  <phoneticPr fontId="8" type="noConversion"/>
  <dataValidations count="7">
    <dataValidation type="list" allowBlank="1" showDropDown="1" showInputMessage="1" showErrorMessage="1" errorTitle="Input parameter error" error="Input 8 or 10" sqref="B5">
      <formula1>"8,10"</formula1>
    </dataValidation>
    <dataValidation type="custom" allowBlank="1" showInputMessage="1" showErrorMessage="1" errorTitle="Input parameter error" error="8bit mode range from 35000000 to 400000000,step 1000000;_x000a_10bit mode range from 70000000 to 400000000,step 1000000" sqref="B6">
      <formula1>OR(AND(B5=8,B6&gt;=35000000,B6&lt;=400000000,MOD(B6,1000000)=0),AND(B5=10,B6&gt;=70000000,B6&lt;=400000000,MOD(B6,1000000)=0))</formula1>
    </dataValidation>
    <dataValidation type="whole" allowBlank="1" showInputMessage="1" showErrorMessage="1" errorTitle="Input parameter error" error="Input range from 20 to 1000000" sqref="B4">
      <formula1>20</formula1>
      <formula2>1000000</formula2>
    </dataValidation>
    <dataValidation type="custom" allowBlank="1" showInputMessage="1" showErrorMessage="1" errorTitle="Input parameter error" error="Input range from 64 to 1200,and is an integer multiple of 2" sqref="B3">
      <formula1>AND(MOD(B3,2)=0,B3&gt;=64,B3&lt;=1200)</formula1>
    </dataValidation>
    <dataValidation type="custom" allowBlank="1" showInputMessage="1" showErrorMessage="1" errorTitle="Input parameter error" error="Input range from 64 to 1920,and is an integer multiple of 8" sqref="B2">
      <formula1>AND(MOD(B2,8)=0,B2&gt;=64,B2&lt;=1920)</formula1>
    </dataValidation>
    <dataValidation type="list" allowBlank="1" showInputMessage="1" showErrorMessage="1" errorTitle="Input parameter error" error="Input off or on" sqref="B14">
      <formula1>"off,on"</formula1>
    </dataValidation>
    <dataValidation type="custom" allowBlank="1" showInputMessage="1" showErrorMessage="1" errorTitle="Input parameter error" error="Input range from 0.1 to 10000,step 0.1" sqref="B15">
      <formula1>AND(MOD(10*B15,1)=0,B15&gt;=0.1,B15&lt;=10000)</formula1>
    </dataValidation>
  </dataValidations>
  <pageMargins left="0.7" right="0.7" top="0.75" bottom="0.75" header="0.3" footer="0.3"/>
  <pageSetup orientation="portrait" horizontalDpi="200" verticalDpi="200" copies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workbookViewId="0">
      <selection activeCell="C25" sqref="C25"/>
    </sheetView>
  </sheetViews>
  <sheetFormatPr defaultColWidth="9" defaultRowHeight="13.5"/>
  <cols>
    <col min="1" max="1" width="38.75" style="9" bestFit="1" customWidth="1"/>
    <col min="2" max="2" width="20.125" style="9" customWidth="1"/>
    <col min="3" max="3" width="73.125" style="9" bestFit="1" customWidth="1"/>
    <col min="4" max="5" width="9" style="9"/>
    <col min="6" max="6" width="0" style="9" hidden="1" customWidth="1"/>
    <col min="7" max="7" width="12.75" style="9" hidden="1" customWidth="1"/>
    <col min="8" max="8" width="9.5" style="9" hidden="1" customWidth="1"/>
    <col min="9" max="9" width="9" style="9" hidden="1" customWidth="1"/>
    <col min="10" max="10" width="73.125" style="9" hidden="1" customWidth="1"/>
    <col min="11" max="11" width="65.5" style="9" hidden="1" customWidth="1"/>
    <col min="12" max="12" width="0" style="9" hidden="1" customWidth="1"/>
    <col min="13" max="16384" width="9" style="9"/>
  </cols>
  <sheetData>
    <row r="1" spans="1:11" ht="15.75">
      <c r="A1" s="33" t="s">
        <v>78</v>
      </c>
      <c r="B1" s="34"/>
    </row>
    <row r="2" spans="1:11" ht="15.75">
      <c r="A2" s="3" t="s">
        <v>0</v>
      </c>
      <c r="B2" s="5">
        <v>2048</v>
      </c>
      <c r="C2" s="9" t="str">
        <f>IF(OR(B2&gt;2048/B4,B2&lt;64),LOOKUP(B4,G3:G5,J3:J5),"")</f>
        <v/>
      </c>
      <c r="G2" s="9" t="s">
        <v>83</v>
      </c>
      <c r="H2" s="9" t="s">
        <v>84</v>
      </c>
      <c r="I2" s="9" t="s">
        <v>85</v>
      </c>
    </row>
    <row r="3" spans="1:11" ht="15.75">
      <c r="A3" s="3" t="s">
        <v>72</v>
      </c>
      <c r="B3" s="5">
        <v>1536</v>
      </c>
      <c r="C3" s="9" t="str">
        <f>IF(OR(B3&gt;1536/B5,B3&lt;2),LOOKUP(B5,G3:G5,K3:K5),"")</f>
        <v/>
      </c>
      <c r="G3" s="9">
        <v>1</v>
      </c>
      <c r="H3" s="9">
        <f>8*INT(2048/(8*G3))</f>
        <v>2048</v>
      </c>
      <c r="I3" s="9">
        <f>2*INT(1536/(2*G3))</f>
        <v>1536</v>
      </c>
      <c r="J3" s="9" t="s">
        <v>185</v>
      </c>
      <c r="K3" s="9" t="s">
        <v>182</v>
      </c>
    </row>
    <row r="4" spans="1:11" ht="15.75">
      <c r="A4" s="3" t="s">
        <v>88</v>
      </c>
      <c r="B4" s="5">
        <v>1</v>
      </c>
      <c r="G4" s="9">
        <v>2</v>
      </c>
      <c r="H4" s="9">
        <f>8*INT(2048/(8*G4))</f>
        <v>1024</v>
      </c>
      <c r="I4" s="9">
        <f>2*INT(1536/(2*G4))</f>
        <v>768</v>
      </c>
      <c r="J4" s="9" t="s">
        <v>186</v>
      </c>
      <c r="K4" s="9" t="s">
        <v>183</v>
      </c>
    </row>
    <row r="5" spans="1:11" ht="15.75">
      <c r="A5" s="3" t="s">
        <v>91</v>
      </c>
      <c r="B5" s="5">
        <v>1</v>
      </c>
      <c r="G5" s="9">
        <v>4</v>
      </c>
      <c r="H5" s="9">
        <f>8*INT(2048/(8*G5))</f>
        <v>512</v>
      </c>
      <c r="I5" s="9">
        <f>2*INT(1536/(2*G5))</f>
        <v>384</v>
      </c>
      <c r="J5" s="9" t="s">
        <v>187</v>
      </c>
      <c r="K5" s="9" t="s">
        <v>184</v>
      </c>
    </row>
    <row r="6" spans="1:11" ht="15.75">
      <c r="A6" s="3" t="s">
        <v>1</v>
      </c>
      <c r="B6" s="5">
        <v>10000</v>
      </c>
      <c r="J6" s="9" t="s">
        <v>94</v>
      </c>
    </row>
    <row r="7" spans="1:11" ht="15.75">
      <c r="A7" s="3" t="s">
        <v>2</v>
      </c>
      <c r="B7" s="5">
        <v>8</v>
      </c>
      <c r="H7" s="9">
        <f>2048/B4</f>
        <v>2048</v>
      </c>
      <c r="I7" s="9">
        <f>1536/B5</f>
        <v>1536</v>
      </c>
    </row>
    <row r="8" spans="1:11" ht="15.75">
      <c r="A8" s="3" t="s">
        <v>3</v>
      </c>
      <c r="B8" s="5">
        <v>300000000</v>
      </c>
    </row>
    <row r="9" spans="1:11" ht="15.75">
      <c r="A9" s="16" t="s">
        <v>4</v>
      </c>
      <c r="B9" s="5">
        <v>380000000</v>
      </c>
    </row>
    <row r="10" spans="1:11" ht="15.75" hidden="1">
      <c r="A10" s="3"/>
      <c r="B10" s="5"/>
    </row>
    <row r="11" spans="1:11" ht="15.75" hidden="1">
      <c r="A11" s="3" t="s">
        <v>5</v>
      </c>
      <c r="B11" s="5">
        <f>MAX(INT((B6-13.73)/B14),1)</f>
        <v>1970</v>
      </c>
    </row>
    <row r="12" spans="1:11" ht="15.75" hidden="1">
      <c r="A12" s="3" t="s">
        <v>6</v>
      </c>
      <c r="B12" s="5" t="str">
        <f>IF((B7&lt;=8),"1","2")</f>
        <v>1</v>
      </c>
    </row>
    <row r="13" spans="1:11" ht="15.75" hidden="1">
      <c r="A13" s="3" t="s">
        <v>66</v>
      </c>
      <c r="B13" s="5">
        <f>B2*B3*B12+84</f>
        <v>3145812</v>
      </c>
    </row>
    <row r="14" spans="1:11" ht="15.75" hidden="1">
      <c r="A14" s="3" t="s">
        <v>64</v>
      </c>
      <c r="B14" s="5">
        <f>IF(B7=8,190/37.5,380/37.5)</f>
        <v>5.0666666666666664</v>
      </c>
    </row>
    <row r="15" spans="1:11" ht="15.75" hidden="1">
      <c r="A15" s="3" t="s">
        <v>7</v>
      </c>
      <c r="B15" s="5">
        <f>(B3*B5+38)*B14</f>
        <v>7974.9333333333334</v>
      </c>
    </row>
    <row r="16" spans="1:11" ht="15.75">
      <c r="A16" s="3" t="s">
        <v>8</v>
      </c>
      <c r="B16" s="5" t="s">
        <v>9</v>
      </c>
    </row>
    <row r="17" spans="1:3" ht="15.75">
      <c r="A17" s="3" t="s">
        <v>10</v>
      </c>
      <c r="B17" s="5">
        <v>125</v>
      </c>
    </row>
    <row r="18" spans="1:3" ht="15.75" hidden="1">
      <c r="A18" s="3" t="s">
        <v>61</v>
      </c>
      <c r="B18" s="6">
        <f>MAX(B13*1000000/B9,B13*1000000/B8,(B11+14)*B14,B15,B14*(IF(B16="off",0,1))*INT(1000*1000/(B14*B17)))</f>
        <v>10486.04</v>
      </c>
    </row>
    <row r="19" spans="1:3" ht="15.75">
      <c r="A19" s="35" t="s">
        <v>58</v>
      </c>
      <c r="B19" s="36"/>
    </row>
    <row r="20" spans="1:3" ht="27">
      <c r="A20" s="7" t="s">
        <v>57</v>
      </c>
      <c r="B20" s="8">
        <f>1000000/B18</f>
        <v>95.364885123459374</v>
      </c>
      <c r="C20" s="9" t="str">
        <f>IF(OR(B3&gt;1536/B5,B3&lt;2,B2&gt;2048/B4,B2&lt;64),J6,"")</f>
        <v/>
      </c>
    </row>
  </sheetData>
  <sheetProtection algorithmName="SHA-512" hashValue="PNuEAPSmI8f19pNeVSw1LsDPz44dKcs5fGF6uqgtq0LEly6dTdKWcGmdw0oQP+zzvkHvQ5UFtzJuhzo8zBQVNw==" saltValue="f25rmx/G6pHP6YjDM1i7Kw==" spinCount="100000" sheet="1" objects="1" scenarios="1"/>
  <mergeCells count="2">
    <mergeCell ref="A1:B1"/>
    <mergeCell ref="A19:B19"/>
  </mergeCells>
  <phoneticPr fontId="8" type="noConversion"/>
  <conditionalFormatting sqref="B2">
    <cfRule type="cellIs" dxfId="56" priority="2" operator="notBetween">
      <formula>64</formula>
      <formula>$H$7</formula>
    </cfRule>
  </conditionalFormatting>
  <conditionalFormatting sqref="B3">
    <cfRule type="cellIs" dxfId="55" priority="1" operator="notBetween">
      <formula>2</formula>
      <formula>$I$7</formula>
    </cfRule>
  </conditionalFormatting>
  <dataValidations count="8">
    <dataValidation type="list" allowBlank="1" showInputMessage="1" showErrorMessage="1" errorTitle="Input parameter error" error="Input range is 1,2,4" sqref="B4:B5">
      <formula1>"1,2,4"</formula1>
    </dataValidation>
    <dataValidation type="list" allowBlank="1" showDropDown="1" showInputMessage="1" showErrorMessage="1" errorTitle="Input parameter error" error="Input 8 or 10" sqref="B7">
      <formula1>"8,10"</formula1>
    </dataValidation>
    <dataValidation type="custom" allowBlank="1" showInputMessage="1" showErrorMessage="1" errorTitle="Input parameter error" error="8bit mode range from 35000000 to 400000000,step 1000000;_x000a_10bit mode range from 70000000 to 400000000,step 1000000" sqref="B8">
      <formula1>OR(AND(B7=8,B8&gt;=35000000,B8&lt;=400000000,MOD(B8,1000000)=0),AND(B7=10,B8&gt;=70000000,B8&lt;=400000000,MOD(B8,1000000)=0))</formula1>
    </dataValidation>
    <dataValidation type="whole" allowBlank="1" showInputMessage="1" showErrorMessage="1" errorTitle="Input parameter error" error="Input range from 20 to 1000000" sqref="B6">
      <formula1>20</formula1>
      <formula2>1000000</formula2>
    </dataValidation>
    <dataValidation type="custom" allowBlank="1" showInputMessage="1" showErrorMessage="1" errorTitle="Input parameter error" error="Input parameter error" sqref="B3">
      <formula1>AND(MOD(B3,2)=0,B3&gt;=2,B3&lt;=1536/B5)</formula1>
    </dataValidation>
    <dataValidation type="custom" allowBlank="1" showInputMessage="1" showErrorMessage="1" errorTitle="Input parameter error" error="Input parameter error" sqref="B2">
      <formula1>AND(MOD(B2,8)=0,B2&gt;=64,B2&lt;=2048/B4)</formula1>
    </dataValidation>
    <dataValidation type="list" allowBlank="1" showInputMessage="1" showErrorMessage="1" errorTitle="Input parameter error" error="Input off or on" sqref="B16">
      <formula1>"off,on"</formula1>
    </dataValidation>
    <dataValidation type="custom" allowBlank="1" showInputMessage="1" showErrorMessage="1" errorTitle="Input parameter error" error="Input range from 0.1 to 10000,step 0.1" sqref="B17">
      <formula1>AND(MOD(10*B17,1)=0,B17&gt;=0.1,B17&lt;=10000)</formula1>
    </dataValidation>
  </dataValidations>
  <pageMargins left="0.7" right="0.7" top="0.75" bottom="0.75" header="0.3" footer="0.3"/>
  <pageSetup orientation="portrait" horizontalDpi="200" verticalDpi="200" copies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workbookViewId="0">
      <selection activeCell="A8" sqref="A8"/>
    </sheetView>
  </sheetViews>
  <sheetFormatPr defaultColWidth="9" defaultRowHeight="13.5"/>
  <cols>
    <col min="1" max="1" width="35.625" style="9" customWidth="1"/>
    <col min="2" max="2" width="12.75" style="9" bestFit="1" customWidth="1"/>
    <col min="3" max="3" width="73.125" style="9" bestFit="1" customWidth="1"/>
    <col min="4" max="6" width="9" style="9"/>
    <col min="7" max="7" width="12.75" style="9" hidden="1" customWidth="1"/>
    <col min="8" max="9" width="9.5" style="9" hidden="1" customWidth="1"/>
    <col min="10" max="10" width="73.125" style="9" hidden="1" customWidth="1"/>
    <col min="11" max="11" width="65.5" style="9" hidden="1" customWidth="1"/>
    <col min="12" max="16384" width="9" style="9"/>
  </cols>
  <sheetData>
    <row r="1" spans="1:11" ht="15.75">
      <c r="A1" s="33" t="s">
        <v>78</v>
      </c>
      <c r="B1" s="34"/>
    </row>
    <row r="2" spans="1:11" ht="15.75">
      <c r="A2" s="3" t="s">
        <v>0</v>
      </c>
      <c r="B2" s="5">
        <v>2048</v>
      </c>
      <c r="C2" s="9" t="str">
        <f>IF(OR(B2&gt;2048/B4,B2&lt;64),LOOKUP(B4,G3:G5,J3:J5),"")</f>
        <v/>
      </c>
      <c r="G2" s="9" t="s">
        <v>83</v>
      </c>
      <c r="H2" s="9" t="s">
        <v>84</v>
      </c>
      <c r="I2" s="9" t="s">
        <v>85</v>
      </c>
    </row>
    <row r="3" spans="1:11" ht="15.75">
      <c r="A3" s="3" t="s">
        <v>72</v>
      </c>
      <c r="B3" s="5">
        <v>1536</v>
      </c>
      <c r="C3" s="9" t="str">
        <f>IF(OR(B3&gt;1536/B5,B3&lt;64),LOOKUP(B5,G3:G5,K3:K5),"")</f>
        <v/>
      </c>
      <c r="G3" s="9">
        <v>1</v>
      </c>
      <c r="H3" s="9">
        <f>8*INT(2048/(8*G3))</f>
        <v>2048</v>
      </c>
      <c r="I3" s="9">
        <f>2*INT(1536/(2*G3))</f>
        <v>1536</v>
      </c>
      <c r="J3" s="9" t="s">
        <v>86</v>
      </c>
      <c r="K3" s="9" t="s">
        <v>87</v>
      </c>
    </row>
    <row r="4" spans="1:11" ht="15.75">
      <c r="A4" s="3" t="s">
        <v>88</v>
      </c>
      <c r="B4" s="5">
        <v>1</v>
      </c>
      <c r="G4" s="9">
        <v>2</v>
      </c>
      <c r="H4" s="9">
        <f>8*INT(2048/(8*G4))</f>
        <v>1024</v>
      </c>
      <c r="I4" s="9">
        <f>2*INT(1536/(2*G4))</f>
        <v>768</v>
      </c>
      <c r="J4" s="9" t="s">
        <v>89</v>
      </c>
      <c r="K4" s="9" t="s">
        <v>90</v>
      </c>
    </row>
    <row r="5" spans="1:11" ht="15.75">
      <c r="A5" s="3" t="s">
        <v>91</v>
      </c>
      <c r="B5" s="5">
        <v>1</v>
      </c>
      <c r="G5" s="9">
        <v>4</v>
      </c>
      <c r="H5" s="9">
        <f>8*INT(2048/(8*G5))</f>
        <v>512</v>
      </c>
      <c r="I5" s="9">
        <f>2*INT(1536/(2*G5))</f>
        <v>384</v>
      </c>
      <c r="J5" s="9" t="s">
        <v>92</v>
      </c>
      <c r="K5" s="9" t="s">
        <v>93</v>
      </c>
    </row>
    <row r="6" spans="1:11" ht="15.75">
      <c r="A6" s="3" t="s">
        <v>1</v>
      </c>
      <c r="B6" s="5">
        <v>10000</v>
      </c>
      <c r="J6" s="9" t="s">
        <v>94</v>
      </c>
    </row>
    <row r="7" spans="1:11" ht="15.75">
      <c r="A7" s="3" t="s">
        <v>2</v>
      </c>
      <c r="B7" s="5">
        <v>8</v>
      </c>
      <c r="H7" s="9">
        <f>2048/B4</f>
        <v>2048</v>
      </c>
      <c r="I7" s="9">
        <f>1536/B5</f>
        <v>1536</v>
      </c>
    </row>
    <row r="8" spans="1:11" ht="15.75">
      <c r="A8" s="3" t="s">
        <v>3</v>
      </c>
      <c r="B8" s="5">
        <v>300000000</v>
      </c>
    </row>
    <row r="9" spans="1:11" ht="15.75">
      <c r="A9" s="3" t="s">
        <v>4</v>
      </c>
      <c r="B9" s="5">
        <v>380000000</v>
      </c>
    </row>
    <row r="10" spans="1:11" ht="15.75" hidden="1">
      <c r="A10" s="3"/>
      <c r="B10" s="5"/>
    </row>
    <row r="11" spans="1:11" ht="15.75" hidden="1">
      <c r="A11" s="3" t="s">
        <v>5</v>
      </c>
      <c r="B11" s="5">
        <f>MAX(INT((B6-13.73)/B14),1)</f>
        <v>885</v>
      </c>
    </row>
    <row r="12" spans="1:11" ht="15.75" hidden="1">
      <c r="A12" s="3" t="s">
        <v>6</v>
      </c>
      <c r="B12" s="5" t="str">
        <f>IF((B7&lt;=8),"1","2")</f>
        <v>1</v>
      </c>
    </row>
    <row r="13" spans="1:11" ht="15.75" hidden="1">
      <c r="A13" s="3" t="s">
        <v>66</v>
      </c>
      <c r="B13" s="5">
        <f>B2*B3*B12+84</f>
        <v>3145812</v>
      </c>
    </row>
    <row r="14" spans="1:11" ht="15.75" hidden="1">
      <c r="A14" s="3" t="s">
        <v>64</v>
      </c>
      <c r="B14" s="5">
        <f>423/37.5</f>
        <v>11.28</v>
      </c>
    </row>
    <row r="15" spans="1:11" ht="15.75" hidden="1">
      <c r="A15" s="3" t="s">
        <v>7</v>
      </c>
      <c r="B15" s="5">
        <f>(B3*B5+32)*B14</f>
        <v>17687.039999999997</v>
      </c>
    </row>
    <row r="16" spans="1:11" ht="15.75">
      <c r="A16" s="3" t="s">
        <v>8</v>
      </c>
      <c r="B16" s="5" t="s">
        <v>9</v>
      </c>
    </row>
    <row r="17" spans="1:3" ht="15.75">
      <c r="A17" s="3" t="s">
        <v>10</v>
      </c>
      <c r="B17" s="5">
        <v>56</v>
      </c>
    </row>
    <row r="18" spans="1:3" ht="15.75" hidden="1">
      <c r="A18" s="3" t="s">
        <v>61</v>
      </c>
      <c r="B18" s="6">
        <f>MAX(B13*1000000/B9,B13*1000000/B8,(B11+12)*B14,B15,B14*(IF(B16="off",0,1))*INT(1000*1000/(B14*B17)))</f>
        <v>17687.039999999997</v>
      </c>
    </row>
    <row r="19" spans="1:3" ht="15.75">
      <c r="A19" s="35" t="s">
        <v>58</v>
      </c>
      <c r="B19" s="36"/>
    </row>
    <row r="20" spans="1:3" ht="27">
      <c r="A20" s="7" t="s">
        <v>57</v>
      </c>
      <c r="B20" s="8">
        <f>1000000/B18</f>
        <v>56.538572875958906</v>
      </c>
      <c r="C20" s="9" t="str">
        <f>IF(OR(B3&gt;1536/B5,B3&lt;64,B2&gt;2048/B4,B2&lt;64),J6,"")</f>
        <v/>
      </c>
    </row>
  </sheetData>
  <sheetProtection algorithmName="SHA-512" hashValue="qic2uIWx4rF+sBC6mhhILB5Dhg1WmU9nydfCp67vZNzXYrl3vFe9l0Sp6juhIglBrT2vTkCkV65ts1NlBAofLg==" saltValue="+vaU0XHesIHrbHyAN7yhTQ==" spinCount="100000" sheet="1" objects="1" scenarios="1"/>
  <mergeCells count="2">
    <mergeCell ref="A1:B1"/>
    <mergeCell ref="A19:B19"/>
  </mergeCells>
  <phoneticPr fontId="8" type="noConversion"/>
  <conditionalFormatting sqref="B2">
    <cfRule type="cellIs" dxfId="54" priority="2" operator="notBetween">
      <formula>64</formula>
      <formula>$H$7</formula>
    </cfRule>
  </conditionalFormatting>
  <conditionalFormatting sqref="B3">
    <cfRule type="cellIs" dxfId="53" priority="1" operator="notBetween">
      <formula>64</formula>
      <formula>$I$7</formula>
    </cfRule>
  </conditionalFormatting>
  <dataValidations count="8">
    <dataValidation type="list" allowBlank="1" showInputMessage="1" showErrorMessage="1" errorTitle="Input parameter error" error="Input range is 1,2" sqref="B4:B5">
      <formula1>"1,2"</formula1>
    </dataValidation>
    <dataValidation type="custom" allowBlank="1" showInputMessage="1" showErrorMessage="1" errorTitle="Input parameter error" error="Input parameter error" sqref="B2">
      <formula1>AND(MOD(B2,8)=0,B2&gt;=64,B2&lt;=2048/B4)</formula1>
    </dataValidation>
    <dataValidation type="custom" allowBlank="1" showInputMessage="1" showErrorMessage="1" errorTitle="Input parameter error" error="Input parameter error" sqref="B3">
      <formula1>AND(MOD(B3,2)=0,B3&gt;=64,B3&lt;=1536/B5)</formula1>
    </dataValidation>
    <dataValidation type="custom" allowBlank="1" showInputMessage="1" showErrorMessage="1" errorTitle="Input parameter error" error="Input range from 0.1 to 10000,step 0.1" sqref="B17">
      <formula1>AND(MOD(10*B17,1)=0,B17&gt;=0.1,B17&lt;=10000)</formula1>
    </dataValidation>
    <dataValidation type="list" allowBlank="1" showInputMessage="1" showErrorMessage="1" errorTitle="Input parameter error" error="Input off or on" sqref="B16">
      <formula1>"off,on"</formula1>
    </dataValidation>
    <dataValidation type="list" allowBlank="1" showDropDown="1" showInputMessage="1" showErrorMessage="1" errorTitle="Input parameter error" error="Input 8 or 10" sqref="B7">
      <formula1>"8,10"</formula1>
    </dataValidation>
    <dataValidation type="custom" allowBlank="1" showInputMessage="1" showErrorMessage="1" errorTitle="Input parameter error" error="8bit mode range from 35000000 to 400000000,step 1000000;_x000a_10bit mode range from 70000000 to 400000000,step 1000000" sqref="B8">
      <formula1>OR(AND(B7=8,B8&gt;=35000000,B8&lt;=400000000,MOD(B8,1000000)=0),AND(B7=10,B8&gt;=70000000,B8&lt;=400000000,MOD(B8,1000000)=0))</formula1>
    </dataValidation>
    <dataValidation type="whole" allowBlank="1" showInputMessage="1" showErrorMessage="1" errorTitle="Input parameter error" error="Input range from 20 to 1000000" sqref="B6">
      <formula1>20</formula1>
      <formula2>1000000</formula2>
    </dataValidation>
  </dataValidations>
  <pageMargins left="0.7" right="0.7" top="0.75" bottom="0.75" header="0.3" footer="0.3"/>
  <pageSetup orientation="portrait" horizontalDpi="200" verticalDpi="200" copies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workbookViewId="0">
      <selection activeCell="B2" sqref="B2"/>
    </sheetView>
  </sheetViews>
  <sheetFormatPr defaultRowHeight="13.5"/>
  <cols>
    <col min="1" max="1" width="36.75" customWidth="1"/>
    <col min="2" max="2" width="17.125" customWidth="1"/>
    <col min="4" max="4" width="9" customWidth="1"/>
    <col min="5" max="5" width="20" customWidth="1"/>
    <col min="6" max="8" width="9" hidden="1" customWidth="1"/>
    <col min="9" max="9" width="32.375" hidden="1" customWidth="1"/>
    <col min="10" max="10" width="24.625" hidden="1" customWidth="1"/>
  </cols>
  <sheetData>
    <row r="1" spans="1:10" ht="15.75">
      <c r="A1" s="33" t="s">
        <v>30</v>
      </c>
      <c r="B1" s="34"/>
      <c r="C1" s="9"/>
      <c r="D1" s="9"/>
      <c r="E1" s="9"/>
      <c r="F1" s="9"/>
      <c r="G1" s="9"/>
      <c r="H1" s="9"/>
      <c r="I1" s="9"/>
      <c r="J1" s="9"/>
    </row>
    <row r="2" spans="1:10" ht="15.75">
      <c r="A2" s="4" t="s">
        <v>0</v>
      </c>
      <c r="B2" s="11">
        <v>2448</v>
      </c>
      <c r="C2" s="10" t="str">
        <f>IF(OR(B2&gt;2448/B4,B2&lt;64),LOOKUP(B4,F3:F5,I3:I5),IF(OR(B2&gt;2448/B6,B2&lt;64),LOOKUP(B6,F10:F12,I10:I12),""))</f>
        <v/>
      </c>
      <c r="D2" s="9"/>
      <c r="E2" s="9"/>
      <c r="F2" s="9" t="s">
        <v>11</v>
      </c>
      <c r="G2" s="9" t="s">
        <v>12</v>
      </c>
      <c r="H2" s="9" t="s">
        <v>20</v>
      </c>
      <c r="I2" s="9"/>
      <c r="J2" s="9"/>
    </row>
    <row r="3" spans="1:10" ht="15.75">
      <c r="A3" s="4" t="s">
        <v>17</v>
      </c>
      <c r="B3" s="11">
        <v>2048</v>
      </c>
      <c r="C3" s="10" t="str">
        <f>IF(OR(B3&gt;2048/B5,B3&lt;64),LOOKUP(B5,F3:F5,J3:J5),IF(OR(B3&gt;2048/B7,B3&lt;64),LOOKUP(B7,F10:F12,J10:J12),""))</f>
        <v/>
      </c>
      <c r="D3" s="9"/>
      <c r="E3" s="9"/>
      <c r="F3" s="9">
        <v>1</v>
      </c>
      <c r="G3" s="9">
        <v>2448</v>
      </c>
      <c r="H3" s="9">
        <v>2048</v>
      </c>
      <c r="I3" s="9" t="s">
        <v>37</v>
      </c>
      <c r="J3" s="9" t="s">
        <v>34</v>
      </c>
    </row>
    <row r="4" spans="1:10" ht="15.75">
      <c r="A4" s="3" t="s">
        <v>13</v>
      </c>
      <c r="B4" s="5">
        <v>1</v>
      </c>
      <c r="C4" s="12" t="str">
        <f>IF(AND(B4&gt;1,B6&gt;1),"The binning and skipping levels are not set to be greater than 2 at the same time","")</f>
        <v/>
      </c>
      <c r="D4" s="9"/>
      <c r="E4" s="9"/>
      <c r="F4" s="9">
        <v>2</v>
      </c>
      <c r="G4" s="9">
        <v>1224</v>
      </c>
      <c r="H4" s="9">
        <v>1024</v>
      </c>
      <c r="I4" s="9" t="s">
        <v>38</v>
      </c>
      <c r="J4" s="9" t="s">
        <v>35</v>
      </c>
    </row>
    <row r="5" spans="1:10" ht="15.75">
      <c r="A5" s="3" t="s">
        <v>14</v>
      </c>
      <c r="B5" s="5">
        <v>1</v>
      </c>
      <c r="C5" s="12" t="str">
        <f>IF(AND(B5&gt;1,B7&gt;1),"The vertical binning and skipping are not set to be greater than 2 at the same time","")</f>
        <v/>
      </c>
      <c r="D5" s="9"/>
      <c r="E5" s="9"/>
      <c r="F5" s="9">
        <v>4</v>
      </c>
      <c r="G5" s="9">
        <v>608</v>
      </c>
      <c r="H5" s="9">
        <v>512</v>
      </c>
      <c r="I5" s="9" t="s">
        <v>39</v>
      </c>
      <c r="J5" s="9" t="s">
        <v>36</v>
      </c>
    </row>
    <row r="6" spans="1:10" ht="15.75">
      <c r="A6" s="3" t="s">
        <v>22</v>
      </c>
      <c r="B6" s="5">
        <v>1</v>
      </c>
      <c r="C6" s="12" t="str">
        <f>IF(AND(B4&gt;1,B6&gt;1),"The binning and skipping levels are not set to be greater than 2 at the same time","")</f>
        <v/>
      </c>
      <c r="D6" s="9"/>
      <c r="E6" s="9"/>
      <c r="F6" s="9"/>
      <c r="G6" s="9"/>
      <c r="H6" s="9"/>
      <c r="I6" s="9" t="s">
        <v>32</v>
      </c>
      <c r="J6" s="9"/>
    </row>
    <row r="7" spans="1:10" ht="15.75">
      <c r="A7" s="3" t="s">
        <v>25</v>
      </c>
      <c r="B7" s="5">
        <v>1</v>
      </c>
      <c r="C7" s="12" t="str">
        <f>IF(AND(B5&gt;1,B7&gt;1),"The vertical binning and skipping are not set to be greater than 2 at the same time","")</f>
        <v/>
      </c>
      <c r="D7" s="9"/>
      <c r="E7" s="9"/>
      <c r="F7" s="9"/>
      <c r="G7" s="9">
        <v>2448</v>
      </c>
      <c r="H7" s="9">
        <v>2048</v>
      </c>
      <c r="I7" s="9"/>
      <c r="J7" s="9"/>
    </row>
    <row r="8" spans="1:10" ht="15.75">
      <c r="A8" s="4" t="s">
        <v>1</v>
      </c>
      <c r="B8" s="5">
        <v>10000</v>
      </c>
      <c r="C8" s="9"/>
      <c r="D8" s="9"/>
      <c r="E8" s="9"/>
      <c r="F8" s="9"/>
      <c r="G8" s="9"/>
      <c r="H8" s="9"/>
      <c r="I8" s="9"/>
      <c r="J8" s="9"/>
    </row>
    <row r="9" spans="1:10" ht="15.75">
      <c r="A9" s="4" t="s">
        <v>2</v>
      </c>
      <c r="B9" s="5">
        <v>8</v>
      </c>
      <c r="C9" s="9"/>
      <c r="D9" s="9"/>
      <c r="E9" s="9"/>
      <c r="F9" s="9" t="s">
        <v>21</v>
      </c>
      <c r="G9" s="9" t="s">
        <v>19</v>
      </c>
      <c r="H9" s="9" t="s">
        <v>20</v>
      </c>
      <c r="I9" s="9"/>
      <c r="J9" s="9"/>
    </row>
    <row r="10" spans="1:10" ht="15.75">
      <c r="A10" s="4" t="s">
        <v>3</v>
      </c>
      <c r="B10" s="5">
        <v>300000000</v>
      </c>
      <c r="C10" s="9"/>
      <c r="D10" s="9"/>
      <c r="E10" s="9"/>
      <c r="F10" s="9">
        <v>1</v>
      </c>
      <c r="G10" s="9">
        <v>2448</v>
      </c>
      <c r="H10" s="9">
        <v>2048</v>
      </c>
      <c r="I10" s="9" t="s">
        <v>40</v>
      </c>
      <c r="J10" s="9" t="s">
        <v>34</v>
      </c>
    </row>
    <row r="11" spans="1:10" ht="15.75">
      <c r="A11" s="4" t="s">
        <v>4</v>
      </c>
      <c r="B11" s="5">
        <v>380000000</v>
      </c>
      <c r="C11" s="9"/>
      <c r="D11" s="9"/>
      <c r="E11" s="9"/>
      <c r="F11" s="9">
        <v>2</v>
      </c>
      <c r="G11" s="9">
        <v>1224</v>
      </c>
      <c r="H11" s="9">
        <v>1024</v>
      </c>
      <c r="I11" s="9" t="s">
        <v>41</v>
      </c>
      <c r="J11" s="9" t="s">
        <v>43</v>
      </c>
    </row>
    <row r="12" spans="1:10" ht="15.75" hidden="1">
      <c r="A12" s="4" t="s">
        <v>5</v>
      </c>
      <c r="B12" s="5">
        <f>MAX(ROUNDUP((B8-13.73)/B15,0),1)</f>
        <v>1650</v>
      </c>
      <c r="C12" s="9"/>
      <c r="D12" s="9"/>
      <c r="E12" s="9"/>
      <c r="F12" s="9">
        <v>4</v>
      </c>
      <c r="G12" s="9">
        <v>608</v>
      </c>
      <c r="H12" s="9">
        <v>512</v>
      </c>
      <c r="I12" s="9" t="s">
        <v>42</v>
      </c>
      <c r="J12" s="9" t="s">
        <v>44</v>
      </c>
    </row>
    <row r="13" spans="1:10" ht="15.75" hidden="1">
      <c r="A13" s="4" t="s">
        <v>6</v>
      </c>
      <c r="B13" s="5" t="str">
        <f>IF((B9&lt;=8),"1","2")</f>
        <v>1</v>
      </c>
      <c r="C13" s="9"/>
      <c r="D13" s="9"/>
      <c r="E13" s="9"/>
      <c r="F13" s="9"/>
      <c r="G13" s="9"/>
      <c r="H13" s="9"/>
      <c r="I13" s="9" t="s">
        <v>32</v>
      </c>
      <c r="J13" s="9"/>
    </row>
    <row r="14" spans="1:10" ht="15.75" hidden="1">
      <c r="A14" s="4" t="s">
        <v>18</v>
      </c>
      <c r="B14" s="5">
        <f>B2*B3*B13+84</f>
        <v>5013588</v>
      </c>
      <c r="C14" s="9"/>
      <c r="D14" s="9"/>
      <c r="E14" s="9"/>
      <c r="F14" s="9"/>
      <c r="G14" s="9">
        <v>2448</v>
      </c>
      <c r="H14" s="9">
        <v>2048</v>
      </c>
      <c r="I14" s="9"/>
      <c r="J14" s="9"/>
    </row>
    <row r="15" spans="1:10" ht="15.75" hidden="1">
      <c r="A15" s="4" t="s">
        <v>24</v>
      </c>
      <c r="B15" s="5">
        <f>ROUNDUP(IF(B9=8,227/37.5,454/37.5)*1000,10)/1000</f>
        <v>6.0533333333334003</v>
      </c>
      <c r="C15" s="9"/>
      <c r="D15" s="9"/>
      <c r="E15" s="9"/>
      <c r="F15" s="9"/>
      <c r="G15" s="9"/>
      <c r="H15" s="9"/>
      <c r="I15" s="9"/>
      <c r="J15" s="9"/>
    </row>
    <row r="16" spans="1:10" ht="15.75" hidden="1">
      <c r="A16" s="4" t="s">
        <v>7</v>
      </c>
      <c r="B16" s="5">
        <f>(B3*B5*B7+38)*B15</f>
        <v>12627.253333333472</v>
      </c>
      <c r="C16" s="9"/>
      <c r="D16" s="9"/>
      <c r="E16" s="9"/>
      <c r="F16" s="9"/>
      <c r="G16" s="9"/>
      <c r="H16" s="9"/>
      <c r="I16" s="9"/>
      <c r="J16" s="9"/>
    </row>
    <row r="17" spans="1:10" ht="15.75">
      <c r="A17" s="4" t="s">
        <v>8</v>
      </c>
      <c r="B17" s="5" t="s">
        <v>9</v>
      </c>
      <c r="C17" s="9"/>
      <c r="D17" s="9"/>
      <c r="E17" s="9"/>
      <c r="F17" s="9"/>
      <c r="G17" s="9"/>
      <c r="H17" s="9"/>
      <c r="I17" s="9"/>
      <c r="J17" s="9"/>
    </row>
    <row r="18" spans="1:10" ht="15.75">
      <c r="A18" s="4" t="s">
        <v>10</v>
      </c>
      <c r="B18" s="5">
        <v>79.099999999999994</v>
      </c>
      <c r="C18" s="9"/>
      <c r="D18" s="9"/>
      <c r="E18" s="9"/>
      <c r="F18" s="9"/>
      <c r="G18" s="9"/>
      <c r="H18" s="9"/>
      <c r="I18" s="9"/>
      <c r="J18" s="9"/>
    </row>
    <row r="19" spans="1:10" ht="15.75" hidden="1">
      <c r="A19" s="3" t="s">
        <v>15</v>
      </c>
      <c r="B19" s="6">
        <f>MAX(B14*1000000/B11,ROUNDUP(B14*1000000/B10/B15,0)*B15,(B12+14)*B15,B16,B15*(IF(B17="off",0,1))*ROUNDUP(1000*1000/(B15*B18),0))</f>
        <v>16713.25333333352</v>
      </c>
      <c r="C19" s="10" t="str">
        <f>IF(OR(B3&gt;3000/B5,B3&lt;64,B2&gt;4096/B4,B2&lt;64),I6,"")</f>
        <v/>
      </c>
      <c r="D19" s="9"/>
      <c r="E19" s="9"/>
      <c r="F19" s="9"/>
      <c r="G19" s="9"/>
      <c r="H19" s="9"/>
      <c r="I19" s="9"/>
      <c r="J19" s="9"/>
    </row>
    <row r="20" spans="1:10" ht="15.75">
      <c r="A20" s="35" t="s">
        <v>31</v>
      </c>
      <c r="B20" s="36"/>
    </row>
    <row r="21" spans="1:10" ht="27">
      <c r="A21" s="7" t="s">
        <v>16</v>
      </c>
      <c r="B21" s="8">
        <f>1000000/B19</f>
        <v>59.83275548187639</v>
      </c>
    </row>
  </sheetData>
  <sheetProtection algorithmName="SHA-512" hashValue="IDSZJciq8OuI1l7wYznms6pk5c1UK1gE9UPZs+gWghX2MJqCvD+Pq2/3QnDgZj1tK4HhwVinWKKVMNeYoNOXEw==" saltValue="PBdiajH+c0AcG8e9nLS2DA==" spinCount="100000" sheet="1" objects="1" scenarios="1"/>
  <mergeCells count="2">
    <mergeCell ref="A1:B1"/>
    <mergeCell ref="A20:B20"/>
  </mergeCells>
  <phoneticPr fontId="8" type="noConversion"/>
  <conditionalFormatting sqref="B2">
    <cfRule type="cellIs" dxfId="52" priority="6" operator="notBetween">
      <formula>64</formula>
      <formula>$G$14</formula>
    </cfRule>
    <cfRule type="cellIs" dxfId="51" priority="9" operator="notBetween">
      <formula>64</formula>
      <formula>$G$7</formula>
    </cfRule>
  </conditionalFormatting>
  <conditionalFormatting sqref="B3">
    <cfRule type="cellIs" dxfId="50" priority="5" operator="notBetween">
      <formula>64</formula>
      <formula>$H$7</formula>
    </cfRule>
    <cfRule type="cellIs" dxfId="49" priority="7" operator="notBetween">
      <formula>64</formula>
      <formula>$H$14</formula>
    </cfRule>
  </conditionalFormatting>
  <conditionalFormatting sqref="B4">
    <cfRule type="expression" dxfId="48" priority="4">
      <formula>AND(B6&gt;1,B4&gt;1)</formula>
    </cfRule>
  </conditionalFormatting>
  <conditionalFormatting sqref="B6">
    <cfRule type="expression" dxfId="47" priority="3">
      <formula>AND(B6&gt;1,B4&gt;1)</formula>
    </cfRule>
  </conditionalFormatting>
  <conditionalFormatting sqref="B5">
    <cfRule type="expression" dxfId="46" priority="2">
      <formula>AND(B5&gt;1,B7&gt;1)</formula>
    </cfRule>
  </conditionalFormatting>
  <conditionalFormatting sqref="B7">
    <cfRule type="expression" dxfId="45" priority="1">
      <formula>AND(B5&gt;1,B7&gt;1)</formula>
    </cfRule>
  </conditionalFormatting>
  <dataValidations count="10">
    <dataValidation type="custom" allowBlank="1" showInputMessage="1" showErrorMessage="1" errorTitle="Input parameter error" error="Input range from 0.1 to 10000,step 0.1" sqref="B18">
      <formula1>AND(MOD(10*B18,1)=0,B18&gt;=0.1,B18&lt;=10000)</formula1>
    </dataValidation>
    <dataValidation type="list" allowBlank="1" showInputMessage="1" showErrorMessage="1" errorTitle="Input parameter error" error="Input on or off" sqref="B17">
      <formula1>"on,off"</formula1>
    </dataValidation>
    <dataValidation type="custom" allowBlank="1" showInputMessage="1" showErrorMessage="1" errorTitle="Input parameter error" error="8bit mode range from 35000000 to 400000000,step 1000000;_x000a_10bit mode range from 70000000 to 400000000,step 1000000" sqref="B10">
      <formula1>OR(AND(B9=8,B10&gt;=35000000,B10&lt;=400000000,MOD(B10,1000000)=0),AND(B9=10,B10&gt;=70000000,B10&lt;=400000000,MOD(B10,1000000)=0))</formula1>
    </dataValidation>
    <dataValidation type="whole" allowBlank="1" showInputMessage="1" showErrorMessage="1" errorTitle="Input parameter error" error="Input range is 20-1000000" sqref="B8">
      <formula1>20</formula1>
      <formula2>1000000</formula2>
    </dataValidation>
    <dataValidation type="custom" allowBlank="1" showInputMessage="1" showErrorMessage="1" errorTitle="Input parameter error" error="Input parameter error,Input range from 64 to 2048,and is an integer multiple of 2" sqref="B3">
      <formula1>AND(MOD(B3,2)=0,B3&gt;=64,B3&lt;=2048/B5)</formula1>
    </dataValidation>
    <dataValidation type="custom" allowBlank="1" showInputMessage="1" showErrorMessage="1" errorTitle="Input parameter error" error="Input parameter error,Input range from 64 to 2448,and is an integer multiple of 8" sqref="B2">
      <formula1>AND(MOD(B2,8)=0,B2&gt;=64,B2&lt;=2448/B4)</formula1>
    </dataValidation>
    <dataValidation type="list" allowBlank="1" showInputMessage="1" showErrorMessage="1" errorTitle="Input parameter error" error="Input 8 or 10" sqref="B9">
      <formula1>"8,10"</formula1>
    </dataValidation>
    <dataValidation type="list" allowBlank="1" showInputMessage="1" showErrorMessage="1" errorTitle="Input parameter error" error="Input range is 1,2,4" sqref="B7">
      <formula1>"1,2,4"</formula1>
    </dataValidation>
    <dataValidation type="list" allowBlank="1" showInputMessage="1" showErrorMessage="1" errorTitle="Input parameter error" error="Input range is 1,2,4" sqref="B4:B5">
      <formula1>"1,2,4"</formula1>
    </dataValidation>
    <dataValidation type="list" allowBlank="1" showInputMessage="1" showErrorMessage="1" errorTitle="Input parameter error" error="Input range is 1,2,4" sqref="B6">
      <formula1>"1,2,4"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30</vt:i4>
      </vt:variant>
    </vt:vector>
  </HeadingPairs>
  <TitlesOfParts>
    <vt:vector size="30" baseType="lpstr">
      <vt:lpstr>版本历史</vt:lpstr>
      <vt:lpstr>MER2-041-436U3X</vt:lpstr>
      <vt:lpstr>MER2-160-227U3X</vt:lpstr>
      <vt:lpstr>ME2L-161-61U3X</vt:lpstr>
      <vt:lpstr>MER2-230-168U3X</vt:lpstr>
      <vt:lpstr>MER2-231-41U3X</vt:lpstr>
      <vt:lpstr>MER2-301-125U3X</vt:lpstr>
      <vt:lpstr>MER2-302-56U3X</vt:lpstr>
      <vt:lpstr>MER2-502-79U3X</vt:lpstr>
      <vt:lpstr>MER2-503-36U3X</vt:lpstr>
      <vt:lpstr>MER2-630-60U3X(W90)</vt:lpstr>
      <vt:lpstr>MER2-1220-32U3X(W90)</vt:lpstr>
      <vt:lpstr>MER2-2000-19U3X(W90)</vt:lpstr>
      <vt:lpstr>ME2P-1230-23U3X</vt:lpstr>
      <vt:lpstr>ME2P-2621-15U3X</vt:lpstr>
      <vt:lpstr>Dummy_for_Comparison1</vt:lpstr>
      <vt:lpstr>Dummy_for_Comparison2</vt:lpstr>
      <vt:lpstr>Dummy_for_Comparison3</vt:lpstr>
      <vt:lpstr>Dummy_for_Comparison4</vt:lpstr>
      <vt:lpstr>Dummy_for_Comparison5</vt:lpstr>
      <vt:lpstr>Dummy_for_Comparison6</vt:lpstr>
      <vt:lpstr>Dummy_for_Comparison7</vt:lpstr>
      <vt:lpstr>Dummy_for_Comparison8</vt:lpstr>
      <vt:lpstr>Dummy_for_Comparison9</vt:lpstr>
      <vt:lpstr>Dummy_for_Comparison10</vt:lpstr>
      <vt:lpstr>Dummy_for_Comparison11</vt:lpstr>
      <vt:lpstr>Dummy_for_Comparison12</vt:lpstr>
      <vt:lpstr>Dummy_for_Comparison13</vt:lpstr>
      <vt:lpstr>Dummy_for_Comparison14</vt:lpstr>
      <vt:lpstr>Dummy_for_Comparison15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2020-06-24T10:17:12Z</dcterms:modified>
</cp:coreProperties>
</file>