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svn\rd_mer_gige\doc\usermanual\帧率计算工具\"/>
    </mc:Choice>
  </mc:AlternateContent>
  <bookViews>
    <workbookView xWindow="6720" yWindow="2115" windowWidth="19320" windowHeight="6495" tabRatio="868"/>
  </bookViews>
  <sheets>
    <sheet name="Revision History" sheetId="15" r:id="rId1"/>
    <sheet name="MER-200-14GX" sheetId="1" r:id="rId2"/>
    <sheet name="MER-200-20GX（POE）" sheetId="6" r:id="rId3"/>
    <sheet name="MER-030-120GX（POE）" sheetId="2" r:id="rId4"/>
    <sheet name="MER-032-120GX（POE）" sheetId="5" r:id="rId5"/>
    <sheet name="MER-125-30GX（POE）" sheetId="3" r:id="rId6"/>
    <sheet name="MER-132-30GX" sheetId="4" r:id="rId7"/>
    <sheet name="MER-132-43GX（POE）" sheetId="10" r:id="rId8"/>
    <sheet name="MER-504-10GX（POE）" sheetId="16" r:id="rId9"/>
    <sheet name="MER-131-75GX（POE、NIR）" sheetId="38" r:id="rId10"/>
    <sheet name="MER-031-300GX（POE、NIR）" sheetId="8" r:id="rId11"/>
    <sheet name="MER-050-200GX（POE、NIR）" sheetId="9" r:id="rId12"/>
    <sheet name="MER-500-14GX（POE）" sheetId="11" r:id="rId13"/>
    <sheet name="MER-1520-7GX（POE）" sheetId="12" r:id="rId14"/>
    <sheet name="MER-1070-10GX（POE）" sheetId="13" r:id="rId15"/>
    <sheet name="MER-231-41GX(POE)" sheetId="14" r:id="rId16"/>
    <sheet name="MER-503-20GX（POE）" sheetId="17" r:id="rId17"/>
    <sheet name="MER-530-20GX（POE、NIR）" sheetId="20" r:id="rId18"/>
    <sheet name="MER-531-20GX（POE）" sheetId="18" r:id="rId19"/>
    <sheet name="MER-130-30GX（POE)" sheetId="21" r:id="rId20"/>
    <sheet name="MER-051-120GX(POE)" sheetId="23" r:id="rId21"/>
    <sheet name="MER-133-54GX(POE)" sheetId="25" r:id="rId22"/>
    <sheet name="MER-232-48GX(POE NIR)" sheetId="26" r:id="rId23"/>
    <sheet name="MER-2000-5GX(POE)" sheetId="32" r:id="rId24"/>
    <sheet name="MER-630-16GX(POE)" sheetId="34" r:id="rId25"/>
    <sheet name="MER-201-25GX(POE)" sheetId="36" r:id="rId26"/>
    <sheet name="MER-1220-9GX(POE)" sheetId="40" r:id="rId27"/>
    <sheet name="MER-041-302GX(POE)" sheetId="42" r:id="rId28"/>
  </sheets>
  <definedNames>
    <definedName name="Z_9F73C155_CDDB_4969_BDA6_6B1932D3C988_.wvu.Rows" localSheetId="3" hidden="1">'MER-030-120GX（POE）'!$11:$19</definedName>
    <definedName name="Z_9F73C155_CDDB_4969_BDA6_6B1932D3C988_.wvu.Rows" localSheetId="10" hidden="1">'MER-031-300GX（POE、NIR）'!$18:$33</definedName>
    <definedName name="Z_9F73C155_CDDB_4969_BDA6_6B1932D3C988_.wvu.Rows" localSheetId="4" hidden="1">'MER-032-120GX（POE）'!#REF!</definedName>
    <definedName name="Z_9F73C155_CDDB_4969_BDA6_6B1932D3C988_.wvu.Rows" localSheetId="11" hidden="1">'MER-050-200GX（POE、NIR）'!$18:$33</definedName>
    <definedName name="Z_9F73C155_CDDB_4969_BDA6_6B1932D3C988_.wvu.Rows" localSheetId="14" hidden="1">'MER-1070-10GX（POE）'!#REF!</definedName>
    <definedName name="Z_9F73C155_CDDB_4969_BDA6_6B1932D3C988_.wvu.Rows" localSheetId="5" hidden="1">'MER-125-30GX（POE）'!#REF!</definedName>
    <definedName name="Z_9F73C155_CDDB_4969_BDA6_6B1932D3C988_.wvu.Rows" localSheetId="9" hidden="1">'MER-131-75GX（POE、NIR）'!$14:$32</definedName>
    <definedName name="Z_9F73C155_CDDB_4969_BDA6_6B1932D3C988_.wvu.Rows" localSheetId="6" hidden="1">'MER-132-30GX'!$16:$24</definedName>
    <definedName name="Z_9F73C155_CDDB_4969_BDA6_6B1932D3C988_.wvu.Rows" localSheetId="7" hidden="1">'MER-132-43GX（POE）'!$17:$32</definedName>
    <definedName name="Z_9F73C155_CDDB_4969_BDA6_6B1932D3C988_.wvu.Rows" localSheetId="13" hidden="1">'MER-1520-7GX（POE）'!$13:$24</definedName>
    <definedName name="Z_9F73C155_CDDB_4969_BDA6_6B1932D3C988_.wvu.Rows" localSheetId="1" hidden="1">'MER-200-14GX'!#REF!</definedName>
    <definedName name="Z_9F73C155_CDDB_4969_BDA6_6B1932D3C988_.wvu.Rows" localSheetId="2" hidden="1">'MER-200-20GX（POE）'!$17:$32</definedName>
    <definedName name="Z_9F73C155_CDDB_4969_BDA6_6B1932D3C988_.wvu.Rows" localSheetId="25" hidden="1">'MER-201-25GX(POE)'!$16:$27</definedName>
    <definedName name="Z_9F73C155_CDDB_4969_BDA6_6B1932D3C988_.wvu.Rows" localSheetId="15" hidden="1">'MER-231-41GX(POE)'!$18:$34</definedName>
    <definedName name="Z_9F73C155_CDDB_4969_BDA6_6B1932D3C988_.wvu.Rows" localSheetId="12" hidden="1">'MER-500-14GX（POE）'!$17:$36</definedName>
  </definedNames>
  <calcPr calcId="152511"/>
  <customWorkbookViews>
    <customWorkbookView name="administrator - 个人视图" guid="{9F73C155-CDDB-4969-BDA6-6B1932D3C988}" mergeInterval="0" personalView="1" maximized="1" windowWidth="1440" windowHeight="631" tabRatio="957" activeSheetId="14"/>
  </customWorkbookViews>
</workbook>
</file>

<file path=xl/calcChain.xml><?xml version="1.0" encoding="utf-8"?>
<calcChain xmlns="http://schemas.openxmlformats.org/spreadsheetml/2006/main">
  <c r="C39" i="13" l="1"/>
  <c r="C31" i="17" l="1"/>
  <c r="C49" i="34" l="1"/>
  <c r="C18" i="42" l="1"/>
  <c r="C49" i="42" s="1"/>
  <c r="C21" i="42"/>
  <c r="C26" i="42"/>
  <c r="C27" i="42" s="1"/>
  <c r="C30" i="42"/>
  <c r="C34" i="42"/>
  <c r="C40" i="42"/>
  <c r="C43" i="42"/>
  <c r="C47" i="42"/>
  <c r="C48" i="42"/>
  <c r="C28" i="42" l="1"/>
  <c r="C29" i="42" s="1"/>
  <c r="C32" i="42" s="1"/>
  <c r="C23" i="42"/>
  <c r="C22" i="42"/>
  <c r="C36" i="42"/>
  <c r="C35" i="36"/>
  <c r="C42" i="42" l="1"/>
  <c r="C44" i="42" s="1"/>
  <c r="C11" i="42" s="1"/>
  <c r="C41" i="42"/>
  <c r="C8" i="42" s="1"/>
  <c r="C31" i="42"/>
  <c r="C33" i="42" s="1"/>
  <c r="C35" i="42" s="1"/>
  <c r="C37" i="42" s="1"/>
  <c r="C51" i="42" s="1"/>
  <c r="C29" i="3"/>
  <c r="C29" i="5"/>
  <c r="C52" i="42" l="1"/>
  <c r="C53" i="42"/>
  <c r="C29" i="16"/>
  <c r="C29" i="10"/>
  <c r="C29" i="4"/>
  <c r="C29" i="2"/>
  <c r="C29" i="6"/>
  <c r="C29" i="1"/>
  <c r="C50" i="42" l="1"/>
  <c r="C54" i="42"/>
  <c r="C57" i="42"/>
  <c r="C18" i="40"/>
  <c r="C28" i="40" s="1"/>
  <c r="C27" i="40"/>
  <c r="C33" i="40"/>
  <c r="C34" i="40" s="1"/>
  <c r="C37" i="40"/>
  <c r="C41" i="40"/>
  <c r="C47" i="40"/>
  <c r="C50" i="40"/>
  <c r="C54" i="40"/>
  <c r="C55" i="40"/>
  <c r="C56" i="40"/>
  <c r="C35" i="40" l="1"/>
  <c r="C36" i="40" s="1"/>
  <c r="C39" i="40" s="1"/>
  <c r="C43" i="40"/>
  <c r="C29" i="40"/>
  <c r="C30" i="40" s="1"/>
  <c r="C38" i="40" l="1"/>
  <c r="C40" i="40" s="1"/>
  <c r="C42" i="40" s="1"/>
  <c r="C44" i="40" s="1"/>
  <c r="C59" i="40" s="1"/>
  <c r="C48" i="40"/>
  <c r="C8" i="40" s="1"/>
  <c r="C49" i="40"/>
  <c r="C51" i="40" s="1"/>
  <c r="C11" i="40" s="1"/>
  <c r="C73" i="38"/>
  <c r="C70" i="38"/>
  <c r="C67" i="38"/>
  <c r="C63" i="38"/>
  <c r="C54" i="38"/>
  <c r="C56" i="38" s="1"/>
  <c r="C49" i="38"/>
  <c r="C50" i="38" s="1"/>
  <c r="C65" i="38" s="1"/>
  <c r="C42" i="38"/>
  <c r="C37" i="38"/>
  <c r="C39" i="38" s="1"/>
  <c r="C36" i="38"/>
  <c r="C40" i="38" s="1"/>
  <c r="C41" i="38" l="1"/>
  <c r="C44" i="38" s="1"/>
  <c r="C57" i="40"/>
  <c r="C60" i="40"/>
  <c r="C64" i="40" s="1"/>
  <c r="C61" i="40"/>
  <c r="C75" i="38"/>
  <c r="C72" i="38"/>
  <c r="C74" i="38" s="1"/>
  <c r="C14" i="38" s="1"/>
  <c r="C71" i="38"/>
  <c r="C9" i="38" s="1"/>
  <c r="C38" i="38"/>
  <c r="C43" i="38" s="1"/>
  <c r="C55" i="38"/>
  <c r="C57" i="38"/>
  <c r="C17" i="36"/>
  <c r="C19" i="36" s="1"/>
  <c r="C21" i="36"/>
  <c r="C22" i="36" s="1"/>
  <c r="C26" i="36"/>
  <c r="C27" i="36"/>
  <c r="C29" i="36"/>
  <c r="C30" i="36" s="1"/>
  <c r="C31" i="36" s="1"/>
  <c r="C32" i="36" s="1"/>
  <c r="C33" i="36" s="1"/>
  <c r="C37" i="36"/>
  <c r="C61" i="38" l="1"/>
  <c r="C60" i="38"/>
  <c r="C18" i="36"/>
  <c r="C20" i="36" s="1"/>
  <c r="C36" i="36" s="1"/>
  <c r="C25" i="36"/>
  <c r="C34" i="36" s="1"/>
  <c r="C12" i="36" s="1"/>
  <c r="C23" i="36"/>
  <c r="C24" i="36" s="1"/>
  <c r="C10" i="36" s="1"/>
  <c r="C18" i="34"/>
  <c r="C28" i="34" s="1"/>
  <c r="C27" i="34"/>
  <c r="C33" i="34"/>
  <c r="C34" i="34" s="1"/>
  <c r="C37" i="34"/>
  <c r="C41" i="34"/>
  <c r="C47" i="34"/>
  <c r="C51" i="34"/>
  <c r="C55" i="34"/>
  <c r="C56" i="34"/>
  <c r="C62" i="38" l="1"/>
  <c r="C64" i="38" s="1"/>
  <c r="C66" i="38" s="1"/>
  <c r="C68" i="38" s="1"/>
  <c r="C69" i="38" s="1"/>
  <c r="C78" i="38" s="1"/>
  <c r="C28" i="36"/>
  <c r="C38" i="36" s="1"/>
  <c r="C39" i="36" s="1"/>
  <c r="C40" i="36" s="1"/>
  <c r="C43" i="36" s="1"/>
  <c r="C57" i="34"/>
  <c r="C43" i="34"/>
  <c r="C35" i="34"/>
  <c r="C36" i="34" s="1"/>
  <c r="C39" i="34" s="1"/>
  <c r="C29" i="34"/>
  <c r="C30" i="34" s="1"/>
  <c r="A41" i="13"/>
  <c r="C31" i="13"/>
  <c r="C28" i="13"/>
  <c r="C25" i="13"/>
  <c r="C19" i="13"/>
  <c r="C20" i="13" s="1"/>
  <c r="C18" i="13"/>
  <c r="C16" i="13"/>
  <c r="C17" i="13" s="1"/>
  <c r="C48" i="34" l="1"/>
  <c r="C8" i="34" s="1"/>
  <c r="C76" i="38"/>
  <c r="C50" i="34"/>
  <c r="C52" i="34" s="1"/>
  <c r="C11" i="34" s="1"/>
  <c r="C38" i="34"/>
  <c r="C40" i="34" s="1"/>
  <c r="C42" i="34" s="1"/>
  <c r="C44" i="34" s="1"/>
  <c r="C60" i="34" s="1"/>
  <c r="C21" i="13"/>
  <c r="C22" i="13" s="1"/>
  <c r="C32" i="13" s="1"/>
  <c r="C33" i="13" s="1"/>
  <c r="C26" i="13"/>
  <c r="C8" i="13" s="1"/>
  <c r="C27" i="13"/>
  <c r="C29" i="13" s="1"/>
  <c r="C11" i="13" s="1"/>
  <c r="C18" i="32"/>
  <c r="C28" i="32" s="1"/>
  <c r="C27" i="32"/>
  <c r="C33" i="32"/>
  <c r="C34" i="32" s="1"/>
  <c r="C37" i="32"/>
  <c r="C41" i="32"/>
  <c r="C47" i="32"/>
  <c r="C50" i="32"/>
  <c r="C54" i="32"/>
  <c r="C55" i="32"/>
  <c r="C23" i="13" l="1"/>
  <c r="C35" i="13" s="1"/>
  <c r="C36" i="13" s="1"/>
  <c r="C37" i="13" s="1"/>
  <c r="C58" i="34"/>
  <c r="C61" i="34"/>
  <c r="C56" i="32"/>
  <c r="C29" i="32"/>
  <c r="C30" i="32" s="1"/>
  <c r="C43" i="32"/>
  <c r="C35" i="32"/>
  <c r="C36" i="32" s="1"/>
  <c r="C39" i="32" s="1"/>
  <c r="C73" i="26"/>
  <c r="C70" i="26"/>
  <c r="C67" i="26"/>
  <c r="C82" i="26" s="1"/>
  <c r="C63" i="26"/>
  <c r="C54" i="26"/>
  <c r="C49" i="26"/>
  <c r="C50" i="26" s="1"/>
  <c r="C65" i="26" s="1"/>
  <c r="C42" i="26"/>
  <c r="C37" i="26"/>
  <c r="C39" i="26" s="1"/>
  <c r="C36" i="26"/>
  <c r="C40" i="26" s="1"/>
  <c r="C17" i="26"/>
  <c r="C24" i="13" l="1"/>
  <c r="C41" i="13" s="1"/>
  <c r="C65" i="34"/>
  <c r="C62" i="34"/>
  <c r="C41" i="26"/>
  <c r="C44" i="26" s="1"/>
  <c r="C81" i="26" s="1"/>
  <c r="C56" i="26"/>
  <c r="C55" i="26" s="1"/>
  <c r="C61" i="26" s="1"/>
  <c r="C48" i="32"/>
  <c r="C8" i="32" s="1"/>
  <c r="C38" i="32"/>
  <c r="C40" i="32" s="1"/>
  <c r="C42" i="32" s="1"/>
  <c r="C44" i="32" s="1"/>
  <c r="C59" i="32" s="1"/>
  <c r="C61" i="32" s="1"/>
  <c r="C49" i="32"/>
  <c r="C51" i="32" s="1"/>
  <c r="C11" i="32" s="1"/>
  <c r="C38" i="26"/>
  <c r="C43" i="26" s="1"/>
  <c r="C64" i="25"/>
  <c r="C61" i="25"/>
  <c r="C56" i="25"/>
  <c r="C52" i="25"/>
  <c r="C42" i="25"/>
  <c r="C43" i="25" s="1"/>
  <c r="C40" i="25"/>
  <c r="C51" i="25" s="1"/>
  <c r="C32" i="25"/>
  <c r="C18" i="25"/>
  <c r="C19" i="25" s="1"/>
  <c r="C72" i="26" l="1"/>
  <c r="C74" i="26" s="1"/>
  <c r="C14" i="26" s="1"/>
  <c r="C71" i="26"/>
  <c r="C9" i="26" s="1"/>
  <c r="C26" i="25"/>
  <c r="C27" i="25" s="1"/>
  <c r="C29" i="25" s="1"/>
  <c r="C48" i="25"/>
  <c r="C75" i="26"/>
  <c r="C57" i="26"/>
  <c r="C60" i="26" s="1"/>
  <c r="C62" i="26" s="1"/>
  <c r="C64" i="26" s="1"/>
  <c r="C66" i="26" s="1"/>
  <c r="C60" i="32"/>
  <c r="C57" i="32"/>
  <c r="C80" i="26"/>
  <c r="C58" i="25"/>
  <c r="C47" i="25"/>
  <c r="C28" i="25" l="1"/>
  <c r="C30" i="25"/>
  <c r="C83" i="26"/>
  <c r="C68" i="26"/>
  <c r="C69" i="26" s="1"/>
  <c r="C79" i="26" s="1"/>
  <c r="C64" i="32"/>
  <c r="C49" i="25"/>
  <c r="C50" i="25" s="1"/>
  <c r="C53" i="25" s="1"/>
  <c r="C54" i="25"/>
  <c r="C55" i="25" l="1"/>
  <c r="C57" i="25" s="1"/>
  <c r="C59" i="25" s="1"/>
  <c r="C31" i="25" s="1"/>
  <c r="C17" i="25" s="1"/>
  <c r="C33" i="25" s="1"/>
  <c r="C68" i="25" s="1"/>
  <c r="C76" i="26"/>
  <c r="C62" i="25"/>
  <c r="C8" i="25" s="1"/>
  <c r="C63" i="25"/>
  <c r="C66" i="25" s="1"/>
  <c r="C11" i="25" s="1"/>
  <c r="C67" i="25"/>
  <c r="C34" i="25" l="1"/>
  <c r="C70" i="25" s="1"/>
  <c r="A54" i="21"/>
  <c r="C49" i="21"/>
  <c r="C50" i="21" s="1"/>
  <c r="C45" i="21"/>
  <c r="C43" i="21"/>
  <c r="C37" i="21"/>
  <c r="C31" i="21"/>
  <c r="C32" i="21" s="1"/>
  <c r="C33" i="21" s="1"/>
  <c r="C26" i="21"/>
  <c r="C22" i="21"/>
  <c r="C21" i="21"/>
  <c r="C73" i="23"/>
  <c r="C70" i="23"/>
  <c r="C67" i="23"/>
  <c r="C81" i="23" s="1"/>
  <c r="C63" i="23"/>
  <c r="C54" i="23"/>
  <c r="C49" i="23"/>
  <c r="C50" i="23" s="1"/>
  <c r="C65" i="23" s="1"/>
  <c r="C42" i="23"/>
  <c r="C37" i="23"/>
  <c r="C39" i="23" s="1"/>
  <c r="C36" i="23"/>
  <c r="C41" i="23" s="1"/>
  <c r="C44" i="23" s="1"/>
  <c r="C80" i="23" s="1"/>
  <c r="C17" i="23"/>
  <c r="C38" i="23" l="1"/>
  <c r="C41" i="21"/>
  <c r="C46" i="21"/>
  <c r="C23" i="21"/>
  <c r="C40" i="21" s="1"/>
  <c r="C40" i="23"/>
  <c r="C43" i="23" s="1"/>
  <c r="C56" i="23"/>
  <c r="C24" i="21" l="1"/>
  <c r="C42" i="21"/>
  <c r="C11" i="21" s="1"/>
  <c r="C79" i="23"/>
  <c r="C75" i="23"/>
  <c r="C71" i="23"/>
  <c r="C9" i="23" s="1"/>
  <c r="C55" i="23"/>
  <c r="C57" i="23"/>
  <c r="C72" i="23"/>
  <c r="C74" i="23" s="1"/>
  <c r="C14" i="23" s="1"/>
  <c r="C61" i="23" l="1"/>
  <c r="C60" i="23"/>
  <c r="C62" i="23" l="1"/>
  <c r="C64" i="23" s="1"/>
  <c r="C66" i="23" s="1"/>
  <c r="C82" i="23" l="1"/>
  <c r="C68" i="23"/>
  <c r="C76" i="23" l="1"/>
  <c r="C69" i="23"/>
  <c r="C78" i="23" s="1"/>
  <c r="C35" i="20" l="1"/>
  <c r="C37" i="20" s="1"/>
  <c r="C36" i="20"/>
  <c r="C38" i="20" s="1"/>
  <c r="C41" i="20"/>
  <c r="C43" i="20"/>
  <c r="C44" i="20"/>
  <c r="C48" i="20"/>
  <c r="C50" i="20"/>
  <c r="C51" i="20" s="1"/>
  <c r="C55" i="20"/>
  <c r="C57" i="20" s="1"/>
  <c r="C58" i="20" s="1"/>
  <c r="C68" i="20"/>
  <c r="C66" i="20" l="1"/>
  <c r="C40" i="20"/>
  <c r="C45" i="20" s="1"/>
  <c r="C73" i="20"/>
  <c r="C39" i="20"/>
  <c r="C42" i="20"/>
  <c r="C56" i="20"/>
  <c r="C61" i="20" s="1"/>
  <c r="C62" i="20" l="1"/>
  <c r="C63" i="20" s="1"/>
  <c r="C74" i="18" l="1"/>
  <c r="C71" i="18"/>
  <c r="C68" i="18"/>
  <c r="C64" i="18"/>
  <c r="C55" i="18"/>
  <c r="C50" i="18"/>
  <c r="C51" i="18" s="1"/>
  <c r="C48" i="18"/>
  <c r="C44" i="18"/>
  <c r="C43" i="18"/>
  <c r="C41" i="18"/>
  <c r="C36" i="18"/>
  <c r="C38" i="18" s="1"/>
  <c r="C35" i="18"/>
  <c r="C37" i="18" s="1"/>
  <c r="C66" i="18" l="1"/>
  <c r="C39" i="18"/>
  <c r="C42" i="18" s="1"/>
  <c r="C57" i="18"/>
  <c r="C73" i="18" s="1"/>
  <c r="C75" i="18" s="1"/>
  <c r="C14" i="18" s="1"/>
  <c r="C40" i="18"/>
  <c r="C45" i="18" s="1"/>
  <c r="C72" i="18" l="1"/>
  <c r="C9" i="18" s="1"/>
  <c r="C56" i="18"/>
  <c r="C58" i="18"/>
  <c r="C76" i="18"/>
  <c r="C61" i="18" l="1"/>
  <c r="C62" i="18"/>
  <c r="C63" i="18" l="1"/>
  <c r="C65" i="18" s="1"/>
  <c r="C67" i="18" s="1"/>
  <c r="C69" i="18" s="1"/>
  <c r="C70" i="18" l="1"/>
  <c r="C80" i="18" s="1"/>
  <c r="C77" i="18"/>
  <c r="C26" i="4" l="1"/>
  <c r="C31" i="11" l="1"/>
  <c r="C27" i="11"/>
  <c r="C28" i="12" l="1"/>
  <c r="C14" i="12" l="1"/>
  <c r="A34" i="12" l="1"/>
  <c r="C24" i="12" l="1"/>
  <c r="C21" i="12"/>
  <c r="C15" i="12"/>
  <c r="C16" i="12" l="1"/>
  <c r="C22" i="12" s="1"/>
  <c r="C26" i="12" s="1"/>
  <c r="C8" i="12" s="1"/>
  <c r="C23" i="12" l="1"/>
  <c r="C25" i="12" s="1"/>
  <c r="C11" i="12" s="1"/>
  <c r="C17" i="12"/>
  <c r="C18" i="12" s="1"/>
  <c r="C29" i="12" l="1"/>
  <c r="C30" i="12" s="1"/>
  <c r="C19" i="12"/>
  <c r="C20" i="12" s="1"/>
  <c r="C34" i="12" l="1"/>
  <c r="C27" i="4"/>
  <c r="C17" i="4" l="1"/>
  <c r="C24" i="4" l="1"/>
  <c r="C23" i="4"/>
  <c r="C18" i="4"/>
  <c r="C19" i="4" s="1"/>
  <c r="C20" i="4" l="1"/>
  <c r="C21" i="4" s="1"/>
  <c r="C10" i="4" s="1"/>
  <c r="C22" i="4"/>
  <c r="C25" i="4" s="1"/>
  <c r="C30" i="4" s="1"/>
  <c r="C31" i="4" s="1"/>
  <c r="C26" i="3"/>
  <c r="C27" i="3" s="1"/>
  <c r="C26" i="5"/>
  <c r="C27" i="5" s="1"/>
  <c r="C18" i="3"/>
  <c r="C19" i="3" s="1"/>
  <c r="C17" i="3"/>
  <c r="C28" i="4" l="1"/>
  <c r="C12" i="4" s="1"/>
  <c r="C22" i="3"/>
  <c r="C25" i="3" s="1"/>
  <c r="C32" i="4" l="1"/>
  <c r="C35" i="4" s="1"/>
  <c r="C24" i="3"/>
  <c r="C23" i="3"/>
  <c r="C20" i="3" s="1"/>
  <c r="C17" i="5"/>
  <c r="C21" i="3" l="1"/>
  <c r="C10" i="3" s="1"/>
  <c r="C24" i="5"/>
  <c r="C23" i="5"/>
  <c r="C18" i="5"/>
  <c r="C30" i="3" l="1"/>
  <c r="C28" i="3"/>
  <c r="C12" i="3" s="1"/>
  <c r="C19" i="5"/>
  <c r="C22" i="5" s="1"/>
  <c r="C32" i="3" l="1"/>
  <c r="C35" i="3" s="1"/>
  <c r="C31" i="3"/>
  <c r="C25" i="5"/>
  <c r="C30" i="5" s="1"/>
  <c r="C28" i="5"/>
  <c r="C12" i="5" s="1"/>
  <c r="C20" i="5"/>
  <c r="C21" i="5" s="1"/>
  <c r="C10" i="5" s="1"/>
  <c r="C17" i="1" l="1"/>
  <c r="C31" i="5" l="1"/>
  <c r="C32" i="5"/>
  <c r="C36" i="5" s="1"/>
  <c r="C26" i="1"/>
  <c r="C27" i="1" s="1"/>
  <c r="C24" i="1"/>
  <c r="C23" i="1"/>
  <c r="C18" i="1"/>
  <c r="C19" i="1" l="1"/>
  <c r="C22" i="1" s="1"/>
  <c r="C25" i="1" s="1"/>
  <c r="C20" i="1" l="1"/>
  <c r="C21" i="1" s="1"/>
  <c r="C10" i="1" s="1"/>
  <c r="C30" i="1"/>
  <c r="C28" i="1"/>
  <c r="C12" i="1" s="1"/>
  <c r="C24" i="6"/>
  <c r="C24" i="2"/>
  <c r="C23" i="6"/>
  <c r="C23" i="2"/>
  <c r="C31" i="1" l="1"/>
  <c r="C32" i="1" s="1"/>
  <c r="C38" i="1" s="1"/>
  <c r="C20" i="17"/>
  <c r="C19" i="17"/>
  <c r="C18" i="17"/>
  <c r="C33" i="17" l="1"/>
  <c r="C29" i="17"/>
  <c r="C23" i="17"/>
  <c r="C21" i="17"/>
  <c r="C17" i="17"/>
  <c r="C26" i="17" s="1"/>
  <c r="C24" i="17" l="1"/>
  <c r="C35" i="17" s="1"/>
  <c r="C26" i="16"/>
  <c r="C30" i="17" l="1"/>
  <c r="C9" i="17" s="1"/>
  <c r="C25" i="17"/>
  <c r="C32" i="17"/>
  <c r="C34" i="17" s="1"/>
  <c r="C14" i="17" s="1"/>
  <c r="C26" i="2"/>
  <c r="C27" i="2" s="1"/>
  <c r="C17" i="2"/>
  <c r="C18" i="2"/>
  <c r="C19" i="2" s="1"/>
  <c r="C20" i="2" l="1"/>
  <c r="C21" i="2" s="1"/>
  <c r="C10" i="2" s="1"/>
  <c r="C22" i="2"/>
  <c r="C28" i="2" s="1"/>
  <c r="C27" i="17"/>
  <c r="C17" i="16"/>
  <c r="C27" i="16"/>
  <c r="C24" i="16"/>
  <c r="C23" i="16"/>
  <c r="C18" i="16"/>
  <c r="C25" i="2" l="1"/>
  <c r="C30" i="2" s="1"/>
  <c r="C31" i="2" s="1"/>
  <c r="C28" i="17"/>
  <c r="C39" i="17" s="1"/>
  <c r="C12" i="2"/>
  <c r="C19" i="16"/>
  <c r="C22" i="16" s="1"/>
  <c r="C25" i="16" s="1"/>
  <c r="C26" i="9"/>
  <c r="C25" i="8"/>
  <c r="C32" i="2" l="1"/>
  <c r="C36" i="2" s="1"/>
  <c r="C30" i="16"/>
  <c r="C31" i="16" s="1"/>
  <c r="C28" i="16"/>
  <c r="C12" i="16" s="1"/>
  <c r="C20" i="16"/>
  <c r="C21" i="16" s="1"/>
  <c r="C10" i="16" s="1"/>
  <c r="C17" i="10"/>
  <c r="C24" i="10"/>
  <c r="C23" i="10"/>
  <c r="C32" i="16" l="1"/>
  <c r="C36" i="16" s="1"/>
  <c r="C18" i="9"/>
  <c r="C18" i="8"/>
  <c r="C16" i="8" l="1"/>
  <c r="C17" i="8" s="1"/>
  <c r="C16" i="9"/>
  <c r="C17" i="9" s="1"/>
  <c r="C16" i="11" l="1"/>
  <c r="C33" i="11" s="1"/>
  <c r="C17" i="14" l="1"/>
  <c r="C26" i="14" s="1"/>
  <c r="C23" i="14" l="1"/>
  <c r="C20" i="14"/>
  <c r="C29" i="14"/>
  <c r="C18" i="14"/>
  <c r="C19" i="14"/>
  <c r="C21" i="14" l="1"/>
  <c r="C24" i="14"/>
  <c r="C31" i="14" s="1"/>
  <c r="C33" i="14" s="1"/>
  <c r="C14" i="14" s="1"/>
  <c r="C32" i="14"/>
  <c r="C25" i="14" l="1"/>
  <c r="C19" i="11"/>
  <c r="C27" i="14" l="1"/>
  <c r="C28" i="14" s="1"/>
  <c r="C38" i="14" s="1"/>
  <c r="C34" i="14"/>
  <c r="C30" i="14"/>
  <c r="C9" i="14" s="1"/>
  <c r="C17" i="11"/>
  <c r="C18" i="11" s="1"/>
  <c r="C32" i="9" l="1"/>
  <c r="C28" i="9"/>
  <c r="C32" i="8"/>
  <c r="C28" i="8"/>
  <c r="C20" i="11" l="1"/>
  <c r="C26" i="11" s="1"/>
  <c r="C21" i="11" l="1"/>
  <c r="C26" i="10"/>
  <c r="C27" i="10" s="1"/>
  <c r="C18" i="10"/>
  <c r="C19" i="9"/>
  <c r="C19" i="8"/>
  <c r="C22" i="11" l="1"/>
  <c r="C19" i="10"/>
  <c r="C22" i="10" s="1"/>
  <c r="C20" i="9"/>
  <c r="C21" i="9" s="1"/>
  <c r="C20" i="8"/>
  <c r="C29" i="8" l="1"/>
  <c r="C30" i="8" s="1"/>
  <c r="C10" i="8" s="1"/>
  <c r="C21" i="8"/>
  <c r="C22" i="8" s="1"/>
  <c r="C28" i="10"/>
  <c r="C12" i="10" s="1"/>
  <c r="C25" i="10"/>
  <c r="C30" i="10" s="1"/>
  <c r="C20" i="10"/>
  <c r="C21" i="10" s="1"/>
  <c r="C10" i="10" s="1"/>
  <c r="C22" i="9"/>
  <c r="C29" i="9"/>
  <c r="C30" i="9" s="1"/>
  <c r="C10" i="9" s="1"/>
  <c r="C28" i="11"/>
  <c r="C29" i="11" s="1"/>
  <c r="C8" i="11" s="1"/>
  <c r="C30" i="11"/>
  <c r="C32" i="11" s="1"/>
  <c r="C11" i="11" s="1"/>
  <c r="C23" i="11"/>
  <c r="C24" i="11" s="1"/>
  <c r="C25" i="11" s="1"/>
  <c r="C31" i="9"/>
  <c r="C31" i="8"/>
  <c r="C33" i="8" s="1"/>
  <c r="C13" i="8" s="1"/>
  <c r="C24" i="9" l="1"/>
  <c r="C25" i="9" s="1"/>
  <c r="C23" i="9" s="1"/>
  <c r="C27" i="9" s="1"/>
  <c r="C37" i="9" s="1"/>
  <c r="C23" i="8"/>
  <c r="C24" i="8" s="1"/>
  <c r="C26" i="8" s="1"/>
  <c r="C31" i="10"/>
  <c r="C32" i="10"/>
  <c r="C36" i="10" s="1"/>
  <c r="C36" i="11"/>
  <c r="C42" i="11" s="1"/>
  <c r="C33" i="9"/>
  <c r="C13" i="9" s="1"/>
  <c r="C27" i="8" l="1"/>
  <c r="C37" i="8" s="1"/>
  <c r="C17" i="6" l="1"/>
  <c r="C26" i="6" l="1"/>
  <c r="C27" i="6" s="1"/>
  <c r="C18" i="6"/>
  <c r="C19" i="6" s="1"/>
  <c r="C22" i="6" l="1"/>
  <c r="C25" i="6" s="1"/>
  <c r="C20" i="6"/>
  <c r="C21" i="6" s="1"/>
  <c r="C10" i="6" s="1"/>
  <c r="C28" i="6" l="1"/>
  <c r="C12" i="6" s="1"/>
  <c r="C30" i="6"/>
  <c r="C31" i="6" s="1"/>
  <c r="C32" i="6" s="1"/>
  <c r="C38" i="6" s="1"/>
  <c r="C71" i="20"/>
  <c r="C76" i="20" s="1"/>
  <c r="C74" i="20"/>
  <c r="C75" i="20" s="1"/>
  <c r="C14" i="20" s="1"/>
  <c r="C64" i="20"/>
  <c r="C65" i="20" s="1"/>
  <c r="C67" i="20" s="1"/>
  <c r="C69" i="20" s="1"/>
  <c r="C72" i="20" l="1"/>
  <c r="C9" i="20" s="1"/>
  <c r="C77" i="20"/>
  <c r="C70" i="20"/>
  <c r="C80" i="20" s="1"/>
  <c r="C25" i="21"/>
  <c r="C28" i="21" s="1"/>
  <c r="C47" i="21" l="1"/>
  <c r="C48" i="21" s="1"/>
  <c r="C34" i="21"/>
  <c r="C35" i="21" s="1"/>
  <c r="C54" i="21" s="1"/>
  <c r="C51" i="21" s="1"/>
  <c r="C38" i="21"/>
  <c r="C39" i="21" s="1"/>
  <c r="C8" i="21" s="1"/>
</calcChain>
</file>

<file path=xl/sharedStrings.xml><?xml version="1.0" encoding="utf-8"?>
<sst xmlns="http://schemas.openxmlformats.org/spreadsheetml/2006/main" count="2032" uniqueCount="957">
  <si>
    <t>参数输入：</t>
    <phoneticPr fontId="1" type="noConversion"/>
  </si>
  <si>
    <t>图像宽度</t>
    <phoneticPr fontId="1" type="noConversion"/>
  </si>
  <si>
    <t>图像高度</t>
    <phoneticPr fontId="1" type="noConversion"/>
  </si>
  <si>
    <t>曝光时间</t>
    <phoneticPr fontId="1" type="noConversion"/>
  </si>
  <si>
    <t>像素格式</t>
    <phoneticPr fontId="1" type="noConversion"/>
  </si>
  <si>
    <t>包长</t>
    <phoneticPr fontId="1" type="noConversion"/>
  </si>
  <si>
    <t>包间隔</t>
    <phoneticPr fontId="1" type="noConversion"/>
  </si>
  <si>
    <t>Width</t>
    <phoneticPr fontId="1" type="noConversion"/>
  </si>
  <si>
    <t>Height</t>
    <phoneticPr fontId="1" type="noConversion"/>
  </si>
  <si>
    <t>ExposureTime(us)</t>
    <phoneticPr fontId="1" type="noConversion"/>
  </si>
  <si>
    <t>PixelFormat(8/12)</t>
    <phoneticPr fontId="1" type="noConversion"/>
  </si>
  <si>
    <t>GevSCPSPacketSize</t>
  </si>
  <si>
    <t>GevSCPD</t>
  </si>
  <si>
    <t>垂直偏移</t>
    <phoneticPr fontId="1" type="noConversion"/>
  </si>
  <si>
    <t>网络连接速度</t>
    <phoneticPr fontId="1" type="noConversion"/>
  </si>
  <si>
    <t>曝光行个数</t>
    <phoneticPr fontId="1" type="noConversion"/>
  </si>
  <si>
    <t>包个数</t>
    <phoneticPr fontId="1" type="noConversion"/>
  </si>
  <si>
    <t>残包大小</t>
    <phoneticPr fontId="1" type="noConversion"/>
  </si>
  <si>
    <t>图像传输数据大小</t>
    <phoneticPr fontId="1" type="noConversion"/>
  </si>
  <si>
    <t>图像传输周期</t>
    <phoneticPr fontId="1" type="noConversion"/>
  </si>
  <si>
    <t>ROI帧周期</t>
    <phoneticPr fontId="1" type="noConversion"/>
  </si>
  <si>
    <t>tailblankstart</t>
    <phoneticPr fontId="1" type="noConversion"/>
  </si>
  <si>
    <t>帧周期</t>
    <phoneticPr fontId="1" type="noConversion"/>
  </si>
  <si>
    <t>帧率</t>
    <phoneticPr fontId="1" type="noConversion"/>
  </si>
  <si>
    <t>计算结果：</t>
    <phoneticPr fontId="1" type="noConversion"/>
  </si>
  <si>
    <t>预留带宽</t>
    <phoneticPr fontId="1" type="noConversion"/>
  </si>
  <si>
    <t>T(readout)</t>
    <phoneticPr fontId="1" type="noConversion"/>
  </si>
  <si>
    <t>帧率</t>
    <phoneticPr fontId="1" type="noConversion"/>
  </si>
  <si>
    <t>BandwidthReserve</t>
  </si>
  <si>
    <t>BandwidthReserve</t>
    <phoneticPr fontId="1" type="noConversion"/>
  </si>
  <si>
    <t>PixelFormat(8/10)</t>
    <phoneticPr fontId="1" type="noConversion"/>
  </si>
  <si>
    <t>参数输入：</t>
    <phoneticPr fontId="1" type="noConversion"/>
  </si>
  <si>
    <t>图像宽度</t>
    <phoneticPr fontId="1" type="noConversion"/>
  </si>
  <si>
    <t>Width</t>
    <phoneticPr fontId="1" type="noConversion"/>
  </si>
  <si>
    <t>图像高度</t>
    <phoneticPr fontId="1" type="noConversion"/>
  </si>
  <si>
    <t>Height</t>
    <phoneticPr fontId="1" type="noConversion"/>
  </si>
  <si>
    <t>曝光时间</t>
    <phoneticPr fontId="1" type="noConversion"/>
  </si>
  <si>
    <t>像素格式</t>
    <phoneticPr fontId="1" type="noConversion"/>
  </si>
  <si>
    <t>PixelFormat(8/10)</t>
    <phoneticPr fontId="1" type="noConversion"/>
  </si>
  <si>
    <t>包长</t>
    <phoneticPr fontId="1" type="noConversion"/>
  </si>
  <si>
    <t>包间隔</t>
    <phoneticPr fontId="1" type="noConversion"/>
  </si>
  <si>
    <t>网络连接速度</t>
    <phoneticPr fontId="1" type="noConversion"/>
  </si>
  <si>
    <t>预留带宽</t>
    <phoneticPr fontId="1" type="noConversion"/>
  </si>
  <si>
    <t>包个数</t>
    <phoneticPr fontId="1" type="noConversion"/>
  </si>
  <si>
    <t>残包大小</t>
    <phoneticPr fontId="1" type="noConversion"/>
  </si>
  <si>
    <t>图像传输数据大小</t>
    <phoneticPr fontId="1" type="noConversion"/>
  </si>
  <si>
    <t>计算结果：</t>
    <phoneticPr fontId="1" type="noConversion"/>
  </si>
  <si>
    <t>VB</t>
    <phoneticPr fontId="1" type="noConversion"/>
  </si>
  <si>
    <t>frameperiod</t>
    <phoneticPr fontId="1" type="noConversion"/>
  </si>
  <si>
    <t>tRow</t>
    <phoneticPr fontId="1" type="noConversion"/>
  </si>
  <si>
    <t>SW</t>
    <phoneticPr fontId="1" type="noConversion"/>
  </si>
  <si>
    <t>帧率</t>
    <phoneticPr fontId="1" type="noConversion"/>
  </si>
  <si>
    <t>帧率</t>
    <phoneticPr fontId="1" type="noConversion"/>
  </si>
  <si>
    <t>帧率</t>
    <phoneticPr fontId="1" type="noConversion"/>
  </si>
  <si>
    <t>包间隔范围</t>
    <phoneticPr fontId="1" type="noConversion"/>
  </si>
  <si>
    <t>预留带宽范围</t>
    <phoneticPr fontId="1" type="noConversion"/>
  </si>
  <si>
    <t>传输数据最大值</t>
  </si>
  <si>
    <t>传输数据最大值</t>
    <phoneticPr fontId="1" type="noConversion"/>
  </si>
  <si>
    <t>带宽数据最大值</t>
  </si>
  <si>
    <t>包间隔最大值</t>
    <phoneticPr fontId="1" type="noConversion"/>
  </si>
  <si>
    <t>预留带宽最大值</t>
    <phoneticPr fontId="1" type="noConversion"/>
  </si>
  <si>
    <t>GevSCPDMaxValue</t>
    <phoneticPr fontId="1" type="noConversion"/>
  </si>
  <si>
    <t>BandwidthReserveMaxValue</t>
    <phoneticPr fontId="1" type="noConversion"/>
  </si>
  <si>
    <t>ExposureTime(us)</t>
    <phoneticPr fontId="1" type="noConversion"/>
  </si>
  <si>
    <t>曝光帧周期</t>
    <phoneticPr fontId="1" type="noConversion"/>
  </si>
  <si>
    <t>帧率</t>
    <phoneticPr fontId="1" type="noConversion"/>
  </si>
  <si>
    <t>曝光延迟</t>
    <phoneticPr fontId="1" type="noConversion"/>
  </si>
  <si>
    <t>ExposureDelay(us)</t>
    <phoneticPr fontId="1" type="noConversion"/>
  </si>
  <si>
    <t>采集帧率值</t>
    <phoneticPr fontId="1" type="noConversion"/>
  </si>
  <si>
    <t>采集帧率帧周期</t>
    <phoneticPr fontId="1" type="noConversion"/>
  </si>
  <si>
    <t>帧信息</t>
    <phoneticPr fontId="1" type="noConversion"/>
  </si>
  <si>
    <t>包间隔未限制</t>
    <phoneticPr fontId="1" type="noConversion"/>
  </si>
  <si>
    <t>曝光寄存器</t>
    <phoneticPr fontId="1" type="noConversion"/>
  </si>
  <si>
    <t>曝光延迟寄存器</t>
    <phoneticPr fontId="1" type="noConversion"/>
  </si>
  <si>
    <t>曝光帧周期</t>
    <phoneticPr fontId="1" type="noConversion"/>
  </si>
  <si>
    <t>GevSCPD</t>
    <phoneticPr fontId="1" type="noConversion"/>
  </si>
  <si>
    <t>采集帧率值</t>
    <phoneticPr fontId="1" type="noConversion"/>
  </si>
  <si>
    <t>采集帧率帧周期</t>
    <phoneticPr fontId="1" type="noConversion"/>
  </si>
  <si>
    <t>GevFramerateABS</t>
    <phoneticPr fontId="1" type="noConversion"/>
  </si>
  <si>
    <t>包间隔范围(限制)</t>
    <phoneticPr fontId="1" type="noConversion"/>
  </si>
  <si>
    <t>1.0.0</t>
    <phoneticPr fontId="1" type="noConversion"/>
  </si>
  <si>
    <t>采集帧率设置值</t>
    <phoneticPr fontId="1" type="noConversion"/>
  </si>
  <si>
    <t>采集帧率值（计算用）</t>
    <phoneticPr fontId="1" type="noConversion"/>
  </si>
  <si>
    <t>包间隔最大值</t>
    <phoneticPr fontId="1" type="noConversion"/>
  </si>
  <si>
    <t>预留带宽</t>
    <phoneticPr fontId="1" type="noConversion"/>
  </si>
  <si>
    <t>预留带宽最大值</t>
    <phoneticPr fontId="1" type="noConversion"/>
  </si>
  <si>
    <t>采集帧率设置值</t>
    <phoneticPr fontId="1" type="noConversion"/>
  </si>
  <si>
    <t>采集帧率设置使能</t>
    <phoneticPr fontId="1" type="noConversion"/>
  </si>
  <si>
    <t>GevFramerateAbsEn</t>
    <phoneticPr fontId="1" type="noConversion"/>
  </si>
  <si>
    <t>包间隔最大值</t>
    <phoneticPr fontId="1" type="noConversion"/>
  </si>
  <si>
    <t>传输数据最大值</t>
    <phoneticPr fontId="1" type="noConversion"/>
  </si>
  <si>
    <t>包间隔实际最大值</t>
    <phoneticPr fontId="1" type="noConversion"/>
  </si>
  <si>
    <t>带宽传输数据</t>
    <phoneticPr fontId="1" type="noConversion"/>
  </si>
  <si>
    <t>采集帧率帧周期</t>
    <phoneticPr fontId="1" type="noConversion"/>
  </si>
  <si>
    <t>帧周期值（行）</t>
    <phoneticPr fontId="1" type="noConversion"/>
  </si>
  <si>
    <t>采集帧率值使能</t>
    <phoneticPr fontId="1" type="noConversion"/>
  </si>
  <si>
    <t>Fr_length实际值</t>
    <phoneticPr fontId="1" type="noConversion"/>
  </si>
  <si>
    <t>Fr_length最小值</t>
    <phoneticPr fontId="1" type="noConversion"/>
  </si>
  <si>
    <t>Fr_length计算值</t>
    <phoneticPr fontId="1" type="noConversion"/>
  </si>
  <si>
    <t>采集帧率值使能</t>
    <phoneticPr fontId="1" type="noConversion"/>
  </si>
  <si>
    <t>Fr_length计算值</t>
    <phoneticPr fontId="1" type="noConversion"/>
  </si>
  <si>
    <t>包间隔最大值</t>
    <phoneticPr fontId="1" type="noConversion"/>
  </si>
  <si>
    <t>采集帧率设置值</t>
    <phoneticPr fontId="1" type="noConversion"/>
  </si>
  <si>
    <t>GevSCPDMaxValue</t>
    <phoneticPr fontId="1" type="noConversion"/>
  </si>
  <si>
    <t>采集帧率设置使能</t>
    <phoneticPr fontId="1" type="noConversion"/>
  </si>
  <si>
    <t>包间隔最大值</t>
    <phoneticPr fontId="1" type="noConversion"/>
  </si>
  <si>
    <t>预留带宽</t>
    <phoneticPr fontId="1" type="noConversion"/>
  </si>
  <si>
    <t>预留带宽最大值</t>
    <phoneticPr fontId="1" type="noConversion"/>
  </si>
  <si>
    <t>采集帧率设置值</t>
    <phoneticPr fontId="1" type="noConversion"/>
  </si>
  <si>
    <t>采集帧率设置使能</t>
    <phoneticPr fontId="1" type="noConversion"/>
  </si>
  <si>
    <t>包间隔实际最大值</t>
    <phoneticPr fontId="1" type="noConversion"/>
  </si>
  <si>
    <t>传输数据最大值</t>
    <phoneticPr fontId="1" type="noConversion"/>
  </si>
  <si>
    <t>带宽传输数据</t>
    <phoneticPr fontId="1" type="noConversion"/>
  </si>
  <si>
    <t>预留带宽最大值</t>
    <phoneticPr fontId="1" type="noConversion"/>
  </si>
  <si>
    <t>采集帧率帧周期</t>
    <phoneticPr fontId="1" type="noConversion"/>
  </si>
  <si>
    <t>帧周期值（行）</t>
    <phoneticPr fontId="1" type="noConversion"/>
  </si>
  <si>
    <t>ExposureTime(us)</t>
    <phoneticPr fontId="1" type="noConversion"/>
  </si>
  <si>
    <t>采集帧率设置使能</t>
    <phoneticPr fontId="1" type="noConversion"/>
  </si>
  <si>
    <t>参数输入：</t>
    <phoneticPr fontId="1" type="noConversion"/>
  </si>
  <si>
    <t>图像宽度</t>
    <phoneticPr fontId="1" type="noConversion"/>
  </si>
  <si>
    <t>Width</t>
    <phoneticPr fontId="1" type="noConversion"/>
  </si>
  <si>
    <t>图像高度</t>
    <phoneticPr fontId="1" type="noConversion"/>
  </si>
  <si>
    <t>Height</t>
    <phoneticPr fontId="1" type="noConversion"/>
  </si>
  <si>
    <t>曝光时间</t>
    <phoneticPr fontId="1" type="noConversion"/>
  </si>
  <si>
    <t>ExposureTime(us)</t>
    <phoneticPr fontId="1" type="noConversion"/>
  </si>
  <si>
    <t>像素格式</t>
    <phoneticPr fontId="1" type="noConversion"/>
  </si>
  <si>
    <t>PixelFormat(8/12)</t>
    <phoneticPr fontId="1" type="noConversion"/>
  </si>
  <si>
    <t>包长</t>
    <phoneticPr fontId="1" type="noConversion"/>
  </si>
  <si>
    <t>包间隔</t>
    <phoneticPr fontId="1" type="noConversion"/>
  </si>
  <si>
    <t>包间隔最大值</t>
    <phoneticPr fontId="1" type="noConversion"/>
  </si>
  <si>
    <t>GevSCPDMaxValue</t>
    <phoneticPr fontId="1" type="noConversion"/>
  </si>
  <si>
    <t>网络连接速度</t>
    <phoneticPr fontId="1" type="noConversion"/>
  </si>
  <si>
    <t>预留带宽</t>
    <phoneticPr fontId="1" type="noConversion"/>
  </si>
  <si>
    <t>预留带宽最大值</t>
    <phoneticPr fontId="1" type="noConversion"/>
  </si>
  <si>
    <t>BandwidthReserveMaxValue</t>
    <phoneticPr fontId="1" type="noConversion"/>
  </si>
  <si>
    <t>触发模式</t>
    <phoneticPr fontId="1" type="noConversion"/>
  </si>
  <si>
    <t>TriggerMode</t>
    <phoneticPr fontId="1" type="noConversion"/>
  </si>
  <si>
    <t>ROI帧周期</t>
    <phoneticPr fontId="1" type="noConversion"/>
  </si>
  <si>
    <t>包个数</t>
    <phoneticPr fontId="1" type="noConversion"/>
  </si>
  <si>
    <t>残包大小</t>
    <phoneticPr fontId="1" type="noConversion"/>
  </si>
  <si>
    <t>图像传输数据大小</t>
    <phoneticPr fontId="1" type="noConversion"/>
  </si>
  <si>
    <t>图像传输周期</t>
    <phoneticPr fontId="1" type="noConversion"/>
  </si>
  <si>
    <t>帧周期</t>
    <phoneticPr fontId="1" type="noConversion"/>
  </si>
  <si>
    <t>连续采集帧率</t>
    <phoneticPr fontId="1" type="noConversion"/>
  </si>
  <si>
    <t>传输数据最大值</t>
    <phoneticPr fontId="1" type="noConversion"/>
  </si>
  <si>
    <t>包间隔范围</t>
    <phoneticPr fontId="1" type="noConversion"/>
  </si>
  <si>
    <t>预留带宽范围</t>
    <phoneticPr fontId="1" type="noConversion"/>
  </si>
  <si>
    <t>包间隔实际范围</t>
    <phoneticPr fontId="1" type="noConversion"/>
  </si>
  <si>
    <t>Sensor复位时间</t>
    <phoneticPr fontId="1" type="noConversion"/>
  </si>
  <si>
    <t>触发理论帧周期</t>
    <phoneticPr fontId="1" type="noConversion"/>
  </si>
  <si>
    <t>触发最小帧周期</t>
    <phoneticPr fontId="1" type="noConversion"/>
  </si>
  <si>
    <t>计算结果：</t>
    <phoneticPr fontId="1" type="noConversion"/>
  </si>
  <si>
    <t>触发采集最大帧率</t>
    <phoneticPr fontId="1" type="noConversion"/>
  </si>
  <si>
    <t>帧周期</t>
    <phoneticPr fontId="1" type="noConversion"/>
  </si>
  <si>
    <t>参数输入：</t>
    <phoneticPr fontId="10" type="noConversion"/>
  </si>
  <si>
    <t>Width</t>
    <phoneticPr fontId="1" type="noConversion"/>
  </si>
  <si>
    <t>Height</t>
    <phoneticPr fontId="1" type="noConversion"/>
  </si>
  <si>
    <t>曝光时间</t>
    <phoneticPr fontId="1" type="noConversion"/>
  </si>
  <si>
    <t>ExposureTime(us)</t>
    <phoneticPr fontId="1" type="noConversion"/>
  </si>
  <si>
    <t>曝光延迟</t>
    <phoneticPr fontId="1" type="noConversion"/>
  </si>
  <si>
    <t>ExposureDelay(us)</t>
    <phoneticPr fontId="1" type="noConversion"/>
  </si>
  <si>
    <t>像素格式</t>
    <phoneticPr fontId="1" type="noConversion"/>
  </si>
  <si>
    <t>PixelFormat(8/10)</t>
    <phoneticPr fontId="1" type="noConversion"/>
  </si>
  <si>
    <t>包间隔</t>
    <phoneticPr fontId="1" type="noConversion"/>
  </si>
  <si>
    <t>包间隔最大值</t>
    <phoneticPr fontId="1" type="noConversion"/>
  </si>
  <si>
    <t>GevSCPDMaxValue</t>
    <phoneticPr fontId="1" type="noConversion"/>
  </si>
  <si>
    <t>采集帧率值</t>
    <phoneticPr fontId="1" type="noConversion"/>
  </si>
  <si>
    <t>采集帧率设置使能</t>
    <phoneticPr fontId="1" type="noConversion"/>
  </si>
  <si>
    <t>网络连接速度</t>
    <phoneticPr fontId="1" type="noConversion"/>
  </si>
  <si>
    <t>预留带宽最大值</t>
    <phoneticPr fontId="1" type="noConversion"/>
  </si>
  <si>
    <t>BandwidthReserveMaxValue</t>
    <phoneticPr fontId="1" type="noConversion"/>
  </si>
  <si>
    <t>channel_num</t>
    <phoneticPr fontId="1" type="noConversion"/>
  </si>
  <si>
    <t>像素时钟频率</t>
    <phoneticPr fontId="1" type="noConversion"/>
  </si>
  <si>
    <t>freq_pix_clk</t>
    <phoneticPr fontId="1" type="noConversion"/>
  </si>
  <si>
    <t>黑行个数</t>
    <phoneticPr fontId="1" type="noConversion"/>
  </si>
  <si>
    <t>black_lines</t>
    <phoneticPr fontId="1" type="noConversion"/>
  </si>
  <si>
    <t>哑行个数</t>
    <phoneticPr fontId="1" type="noConversion"/>
  </si>
  <si>
    <t>dummy_lines</t>
    <phoneticPr fontId="1" type="noConversion"/>
  </si>
  <si>
    <t>曝光前哑行个数</t>
    <phoneticPr fontId="1" type="noConversion"/>
  </si>
  <si>
    <t>dummy_lines_bf_exp</t>
    <phoneticPr fontId="1" type="noConversion"/>
  </si>
  <si>
    <t>图像行ROT像素个数</t>
    <phoneticPr fontId="1" type="noConversion"/>
  </si>
  <si>
    <t>rot_img</t>
    <phoneticPr fontId="1" type="noConversion"/>
  </si>
  <si>
    <t>黑行ROT像素个数</t>
    <phoneticPr fontId="1" type="noConversion"/>
  </si>
  <si>
    <t>rot_bl</t>
    <phoneticPr fontId="1" type="noConversion"/>
  </si>
  <si>
    <t>FOT时间</t>
    <phoneticPr fontId="1" type="noConversion"/>
  </si>
  <si>
    <t>fot</t>
    <phoneticPr fontId="1" type="noConversion"/>
  </si>
  <si>
    <t>曝光前的FOT时间</t>
    <phoneticPr fontId="1" type="noConversion"/>
  </si>
  <si>
    <t>fot_int</t>
    <phoneticPr fontId="1" type="noConversion"/>
  </si>
  <si>
    <t>图像行计算公式尾数</t>
    <phoneticPr fontId="1" type="noConversion"/>
  </si>
  <si>
    <t>img_rem</t>
    <phoneticPr fontId="1" type="noConversion"/>
  </si>
  <si>
    <t>黑行计算公式尾数</t>
    <phoneticPr fontId="1" type="noConversion"/>
  </si>
  <si>
    <t>bl_rem</t>
    <phoneticPr fontId="1" type="noConversion"/>
  </si>
  <si>
    <t>图像行计算公式尾数</t>
    <phoneticPr fontId="1" type="noConversion"/>
  </si>
  <si>
    <t>rot_img_rem</t>
    <phoneticPr fontId="1" type="noConversion"/>
  </si>
  <si>
    <t>黑行计算公式尾数</t>
    <phoneticPr fontId="1" type="noConversion"/>
  </si>
  <si>
    <t>rot_bl_rem</t>
    <phoneticPr fontId="1" type="noConversion"/>
  </si>
  <si>
    <t>行消隐的一部分</t>
    <phoneticPr fontId="1" type="noConversion"/>
  </si>
  <si>
    <t>xsm_delay_time</t>
    <phoneticPr fontId="1" type="noConversion"/>
  </si>
  <si>
    <t>Sensor内部一组数据位宽</t>
    <phoneticPr fontId="1" type="noConversion"/>
  </si>
  <si>
    <t>kernel</t>
    <phoneticPr fontId="1" type="noConversion"/>
  </si>
  <si>
    <t>前端带宽最大值</t>
    <phoneticPr fontId="1" type="noConversion"/>
  </si>
  <si>
    <t>bandwidth_max</t>
    <phoneticPr fontId="1" type="noConversion"/>
  </si>
  <si>
    <t>读出曝光的裕量</t>
    <phoneticPr fontId="1" type="noConversion"/>
  </si>
  <si>
    <t>readout_exp_margin</t>
    <phoneticPr fontId="1" type="noConversion"/>
  </si>
  <si>
    <t>宽度最大值</t>
  </si>
  <si>
    <t>黑行周期</t>
    <phoneticPr fontId="1" type="noConversion"/>
  </si>
  <si>
    <t>black_row_time</t>
    <phoneticPr fontId="1" type="noConversion"/>
  </si>
  <si>
    <t>图像行周期</t>
    <phoneticPr fontId="1" type="noConversion"/>
  </si>
  <si>
    <t>img_row_time_zrot</t>
    <phoneticPr fontId="1" type="noConversion"/>
  </si>
  <si>
    <t>black_line时间</t>
    <phoneticPr fontId="1" type="noConversion"/>
  </si>
  <si>
    <t>black_line_time</t>
    <phoneticPr fontId="1" type="noConversion"/>
  </si>
  <si>
    <t>图像行时间</t>
    <phoneticPr fontId="1" type="noConversion"/>
  </si>
  <si>
    <t>image_line_time</t>
    <phoneticPr fontId="1" type="noConversion"/>
  </si>
  <si>
    <t>dummy_line时间</t>
    <phoneticPr fontId="1" type="noConversion"/>
  </si>
  <si>
    <t>dummy_line_time</t>
    <phoneticPr fontId="1" type="noConversion"/>
  </si>
  <si>
    <t>曝光之前的dummy_line时间</t>
    <phoneticPr fontId="1" type="noConversion"/>
  </si>
  <si>
    <t>dummy_line_bf_time</t>
    <phoneticPr fontId="1" type="noConversion"/>
  </si>
  <si>
    <t>曝光帧周期</t>
    <phoneticPr fontId="1" type="noConversion"/>
  </si>
  <si>
    <t>帧信息</t>
    <phoneticPr fontId="1" type="noConversion"/>
  </si>
  <si>
    <t>最小帧间隔</t>
    <phoneticPr fontId="1" type="noConversion"/>
  </si>
  <si>
    <t>ifg_min</t>
    <phoneticPr fontId="1" type="noConversion"/>
  </si>
  <si>
    <t>leader长度</t>
    <phoneticPr fontId="1" type="noConversion"/>
  </si>
  <si>
    <t>leader size</t>
    <phoneticPr fontId="1" type="noConversion"/>
  </si>
  <si>
    <t>trailer长度</t>
    <phoneticPr fontId="1" type="noConversion"/>
  </si>
  <si>
    <t>trailer size</t>
    <phoneticPr fontId="1" type="noConversion"/>
  </si>
  <si>
    <t>传输图像大小</t>
    <phoneticPr fontId="1" type="noConversion"/>
  </si>
  <si>
    <t>image_size</t>
    <phoneticPr fontId="1" type="noConversion"/>
  </si>
  <si>
    <t>图像+chunk大小</t>
    <phoneticPr fontId="1" type="noConversion"/>
  </si>
  <si>
    <t>image_chunk_size</t>
    <phoneticPr fontId="1" type="noConversion"/>
  </si>
  <si>
    <t>以太网负载部分的协议开销</t>
    <phoneticPr fontId="1" type="noConversion"/>
  </si>
  <si>
    <t>header_in_payload</t>
    <phoneticPr fontId="1" type="noConversion"/>
  </si>
  <si>
    <t>以太网协议开销</t>
    <phoneticPr fontId="1" type="noConversion"/>
  </si>
  <si>
    <t>eth_protocol_byte</t>
    <phoneticPr fontId="1" type="noConversion"/>
  </si>
  <si>
    <t>数据包长最小值</t>
    <phoneticPr fontId="1" type="noConversion"/>
  </si>
  <si>
    <t>data_size_min</t>
    <phoneticPr fontId="1" type="noConversion"/>
  </si>
  <si>
    <t>完整包个数</t>
    <phoneticPr fontId="1" type="noConversion"/>
  </si>
  <si>
    <t>complete_packet_num</t>
    <phoneticPr fontId="1" type="noConversion"/>
  </si>
  <si>
    <t>残包个数</t>
    <phoneticPr fontId="1" type="noConversion"/>
  </si>
  <si>
    <t>incomplete_packet_num</t>
    <phoneticPr fontId="1" type="noConversion"/>
  </si>
  <si>
    <t>incomplete_packet_size</t>
    <phoneticPr fontId="1" type="noConversion"/>
  </si>
  <si>
    <t>经过最小包长判断之后的残包大小</t>
    <phoneticPr fontId="1" type="noConversion"/>
  </si>
  <si>
    <t>incomplete_packet_size_min</t>
    <phoneticPr fontId="1" type="noConversion"/>
  </si>
  <si>
    <t>以太网传输leader包的大小</t>
    <phoneticPr fontId="1" type="noConversion"/>
  </si>
  <si>
    <t>leader_packet_size</t>
    <phoneticPr fontId="1" type="noConversion"/>
  </si>
  <si>
    <t>以太网传输trailer包的大小</t>
    <phoneticPr fontId="1" type="noConversion"/>
  </si>
  <si>
    <t>trailer_packet_size</t>
    <phoneticPr fontId="1" type="noConversion"/>
  </si>
  <si>
    <t>以太网传输image和chunk的大小</t>
    <phoneticPr fontId="1" type="noConversion"/>
  </si>
  <si>
    <t>frame_packet_size</t>
    <phoneticPr fontId="1" type="noConversion"/>
  </si>
  <si>
    <t>所有的帧间隔</t>
    <phoneticPr fontId="1" type="noConversion"/>
  </si>
  <si>
    <t>all_packet_gap</t>
    <phoneticPr fontId="1" type="noConversion"/>
  </si>
  <si>
    <t>传输图像尺寸</t>
    <phoneticPr fontId="1" type="noConversion"/>
  </si>
  <si>
    <t>frame_size</t>
    <phoneticPr fontId="1" type="noConversion"/>
  </si>
  <si>
    <t>以太网有效传输带宽</t>
    <phoneticPr fontId="1" type="noConversion"/>
  </si>
  <si>
    <t>eth_valid_bandwidth</t>
    <phoneticPr fontId="1" type="noConversion"/>
  </si>
  <si>
    <t>后端传输限制的帧周期</t>
    <phoneticPr fontId="1" type="noConversion"/>
  </si>
  <si>
    <t>backend_limit_period_time</t>
    <phoneticPr fontId="1" type="noConversion"/>
  </si>
  <si>
    <t>前端最大带宽限制的帧周期</t>
    <phoneticPr fontId="1" type="noConversion"/>
  </si>
  <si>
    <t>frontend_limit_period_time</t>
    <phoneticPr fontId="1" type="noConversion"/>
  </si>
  <si>
    <t>图像传输周期</t>
    <phoneticPr fontId="1" type="noConversion"/>
  </si>
  <si>
    <t>采集帧率帧周期</t>
    <phoneticPr fontId="1" type="noConversion"/>
  </si>
  <si>
    <t>帧周期</t>
    <phoneticPr fontId="1" type="noConversion"/>
  </si>
  <si>
    <t>帧率</t>
    <phoneticPr fontId="1" type="noConversion"/>
  </si>
  <si>
    <t>传输数据最大值</t>
    <phoneticPr fontId="1" type="noConversion"/>
  </si>
  <si>
    <t>包间隔范围</t>
    <phoneticPr fontId="1" type="noConversion"/>
  </si>
  <si>
    <t>预留带宽范围</t>
    <phoneticPr fontId="1" type="noConversion"/>
  </si>
  <si>
    <t>包间隔未限制</t>
    <phoneticPr fontId="1" type="noConversion"/>
  </si>
  <si>
    <t>预估带宽</t>
    <phoneticPr fontId="1" type="noConversion"/>
  </si>
  <si>
    <t>计算结果：</t>
    <phoneticPr fontId="1" type="noConversion"/>
  </si>
  <si>
    <t>图像宽度</t>
    <phoneticPr fontId="10" type="noConversion"/>
  </si>
  <si>
    <t>Width</t>
    <phoneticPr fontId="10" type="noConversion"/>
  </si>
  <si>
    <t>图像高度</t>
    <phoneticPr fontId="10" type="noConversion"/>
  </si>
  <si>
    <t>Height</t>
    <phoneticPr fontId="10" type="noConversion"/>
  </si>
  <si>
    <t>曝光时间</t>
    <phoneticPr fontId="10" type="noConversion"/>
  </si>
  <si>
    <t>ExposureTime(us)</t>
    <phoneticPr fontId="10" type="noConversion"/>
  </si>
  <si>
    <t>曝光延迟</t>
    <phoneticPr fontId="10" type="noConversion"/>
  </si>
  <si>
    <t>像素格式</t>
    <phoneticPr fontId="10" type="noConversion"/>
  </si>
  <si>
    <t>PixelFormat(8/10)</t>
    <phoneticPr fontId="10" type="noConversion"/>
  </si>
  <si>
    <t>包长</t>
    <phoneticPr fontId="10" type="noConversion"/>
  </si>
  <si>
    <t>包间隔</t>
    <phoneticPr fontId="10" type="noConversion"/>
  </si>
  <si>
    <t>GevSCPD</t>
    <phoneticPr fontId="10" type="noConversion"/>
  </si>
  <si>
    <t>包间隔最大值</t>
    <phoneticPr fontId="10" type="noConversion"/>
  </si>
  <si>
    <t>GevSCPDMaxValue</t>
    <phoneticPr fontId="10" type="noConversion"/>
  </si>
  <si>
    <t>采集帧率值</t>
    <phoneticPr fontId="10" type="noConversion"/>
  </si>
  <si>
    <t>采集帧率设置使能</t>
    <phoneticPr fontId="10" type="noConversion"/>
  </si>
  <si>
    <t>网络连接速度</t>
    <phoneticPr fontId="10" type="noConversion"/>
  </si>
  <si>
    <t>预留带宽</t>
    <phoneticPr fontId="10" type="noConversion"/>
  </si>
  <si>
    <t>预留带宽最大值</t>
    <phoneticPr fontId="10" type="noConversion"/>
  </si>
  <si>
    <t>BandwidthReserveMaxValue</t>
    <phoneticPr fontId="10" type="noConversion"/>
  </si>
  <si>
    <t>black_lines</t>
    <phoneticPr fontId="10" type="noConversion"/>
  </si>
  <si>
    <t>宽度最大值</t>
    <phoneticPr fontId="10" type="noConversion"/>
  </si>
  <si>
    <t>黑行周期</t>
    <phoneticPr fontId="10" type="noConversion"/>
  </si>
  <si>
    <t>black_row_time</t>
    <phoneticPr fontId="10" type="noConversion"/>
  </si>
  <si>
    <t>图像行周期</t>
    <phoneticPr fontId="10" type="noConversion"/>
  </si>
  <si>
    <t>img_row_time</t>
    <phoneticPr fontId="10" type="noConversion"/>
  </si>
  <si>
    <t>black_line时间</t>
  </si>
  <si>
    <t>black_line_time</t>
    <phoneticPr fontId="10" type="noConversion"/>
  </si>
  <si>
    <t>图像行时间</t>
    <phoneticPr fontId="10" type="noConversion"/>
  </si>
  <si>
    <t>image_line_time</t>
    <phoneticPr fontId="10" type="noConversion"/>
  </si>
  <si>
    <t>dummy_line时间</t>
  </si>
  <si>
    <t>dummy_line_time</t>
    <phoneticPr fontId="10" type="noConversion"/>
  </si>
  <si>
    <t>采集帧率设置值</t>
    <phoneticPr fontId="10" type="noConversion"/>
  </si>
  <si>
    <t>ROI帧周期</t>
    <phoneticPr fontId="10" type="noConversion"/>
  </si>
  <si>
    <t>曝光帧周期</t>
    <phoneticPr fontId="10" type="noConversion"/>
  </si>
  <si>
    <t>帧信息</t>
    <phoneticPr fontId="10" type="noConversion"/>
  </si>
  <si>
    <t>最小帧间隔</t>
    <phoneticPr fontId="10" type="noConversion"/>
  </si>
  <si>
    <t>ifg_min</t>
    <phoneticPr fontId="10" type="noConversion"/>
  </si>
  <si>
    <t>FPS</t>
    <phoneticPr fontId="1" type="noConversion"/>
  </si>
  <si>
    <t>FPS</t>
    <phoneticPr fontId="1" type="noConversion"/>
  </si>
  <si>
    <t>FPS</t>
    <phoneticPr fontId="1" type="noConversion"/>
  </si>
  <si>
    <t>Version</t>
    <phoneticPr fontId="1" type="noConversion"/>
  </si>
  <si>
    <t>Revision</t>
    <phoneticPr fontId="1" type="noConversion"/>
  </si>
  <si>
    <t>Date</t>
    <phoneticPr fontId="1" type="noConversion"/>
  </si>
  <si>
    <t>2017.6.28</t>
    <phoneticPr fontId="1" type="noConversion"/>
  </si>
  <si>
    <t>translated from the chinese version SVNVersion:7100  FileVersion:1.0.20</t>
    <phoneticPr fontId="1" type="noConversion"/>
  </si>
  <si>
    <t>OffsetY</t>
    <phoneticPr fontId="1" type="noConversion"/>
  </si>
  <si>
    <t>GevLinkSpeed(Mbps)</t>
    <phoneticPr fontId="1" type="noConversion"/>
  </si>
  <si>
    <t>AcquisitionFrameRate</t>
  </si>
  <si>
    <t>AcquisitionFrameRate</t>
    <phoneticPr fontId="1" type="noConversion"/>
  </si>
  <si>
    <t>AcquisitionFrameRateMode</t>
  </si>
  <si>
    <t>AcquisitionFrameRateMode</t>
    <phoneticPr fontId="1" type="noConversion"/>
  </si>
  <si>
    <t>ExposureDelay(us)</t>
    <phoneticPr fontId="10" type="noConversion"/>
  </si>
  <si>
    <t>AcquisitionFrameRateMode</t>
    <phoneticPr fontId="1" type="noConversion"/>
  </si>
  <si>
    <t>1.0.1</t>
  </si>
  <si>
    <t>2017.6.29</t>
  </si>
  <si>
    <t>1.0.2</t>
    <phoneticPr fontId="1" type="noConversion"/>
  </si>
  <si>
    <t>2017.9.7</t>
    <phoneticPr fontId="1" type="noConversion"/>
  </si>
  <si>
    <t>LinkSpeed(Mbps)</t>
    <phoneticPr fontId="10" type="noConversion"/>
  </si>
  <si>
    <t>trailer长度</t>
    <phoneticPr fontId="10" type="noConversion"/>
  </si>
  <si>
    <t>trailer size</t>
    <phoneticPr fontId="10" type="noConversion"/>
  </si>
  <si>
    <t>传输图像大小</t>
    <phoneticPr fontId="10" type="noConversion"/>
  </si>
  <si>
    <t>image_size</t>
    <phoneticPr fontId="10" type="noConversion"/>
  </si>
  <si>
    <t>图像+chunk大小</t>
    <phoneticPr fontId="10" type="noConversion"/>
  </si>
  <si>
    <t>image_chunk_size</t>
    <phoneticPr fontId="10" type="noConversion"/>
  </si>
  <si>
    <t>以太网负载部分的协议开销</t>
    <phoneticPr fontId="10" type="noConversion"/>
  </si>
  <si>
    <t>header_in_payload</t>
    <phoneticPr fontId="10" type="noConversion"/>
  </si>
  <si>
    <t>以太网协议开销</t>
    <phoneticPr fontId="10" type="noConversion"/>
  </si>
  <si>
    <t>eth_protocol_byte</t>
    <phoneticPr fontId="10" type="noConversion"/>
  </si>
  <si>
    <t>数据包长最小值</t>
    <phoneticPr fontId="10" type="noConversion"/>
  </si>
  <si>
    <t>data_size_min</t>
    <phoneticPr fontId="10" type="noConversion"/>
  </si>
  <si>
    <t>完整包个数</t>
    <phoneticPr fontId="10" type="noConversion"/>
  </si>
  <si>
    <t>complete_packet_num</t>
    <phoneticPr fontId="10" type="noConversion"/>
  </si>
  <si>
    <t>残包个数</t>
    <phoneticPr fontId="10" type="noConversion"/>
  </si>
  <si>
    <t>incomplete_packet_num</t>
    <phoneticPr fontId="10" type="noConversion"/>
  </si>
  <si>
    <t>残包大小</t>
    <phoneticPr fontId="10" type="noConversion"/>
  </si>
  <si>
    <t>incomplete_packet_size</t>
    <phoneticPr fontId="10" type="noConversion"/>
  </si>
  <si>
    <t>经过最小包长判断之后的残包大小</t>
    <phoneticPr fontId="10" type="noConversion"/>
  </si>
  <si>
    <t>incomplete_packet_size_min</t>
    <phoneticPr fontId="10" type="noConversion"/>
  </si>
  <si>
    <t>以太网传输leader包的大小</t>
    <phoneticPr fontId="10" type="noConversion"/>
  </si>
  <si>
    <t>leader_packet_size</t>
    <phoneticPr fontId="10" type="noConversion"/>
  </si>
  <si>
    <t>以太网传输trailer包的大小</t>
    <phoneticPr fontId="10" type="noConversion"/>
  </si>
  <si>
    <t>trailer_packet_size</t>
    <phoneticPr fontId="10" type="noConversion"/>
  </si>
  <si>
    <t>以太网传输image和chunk的大小</t>
    <phoneticPr fontId="10" type="noConversion"/>
  </si>
  <si>
    <t>frame_packet_size</t>
    <phoneticPr fontId="10" type="noConversion"/>
  </si>
  <si>
    <t>所有的帧间隔</t>
    <phoneticPr fontId="10" type="noConversion"/>
  </si>
  <si>
    <t>all_packet_gap</t>
    <phoneticPr fontId="10" type="noConversion"/>
  </si>
  <si>
    <t>传输图像尺寸</t>
    <phoneticPr fontId="10" type="noConversion"/>
  </si>
  <si>
    <t>frame_size</t>
    <phoneticPr fontId="10" type="noConversion"/>
  </si>
  <si>
    <t>以太网有效传输带宽</t>
    <phoneticPr fontId="10" type="noConversion"/>
  </si>
  <si>
    <t>eth_valid_bandwidth</t>
    <phoneticPr fontId="10" type="noConversion"/>
  </si>
  <si>
    <t>后端传输限制的帧周期</t>
    <phoneticPr fontId="10" type="noConversion"/>
  </si>
  <si>
    <t>backend_limit_period_time</t>
    <phoneticPr fontId="10" type="noConversion"/>
  </si>
  <si>
    <t>前端最大带宽限制的帧周期</t>
    <phoneticPr fontId="10" type="noConversion"/>
  </si>
  <si>
    <t>frontend_limit_period_time</t>
    <phoneticPr fontId="10" type="noConversion"/>
  </si>
  <si>
    <t>图像传输周期</t>
    <phoneticPr fontId="10" type="noConversion"/>
  </si>
  <si>
    <t>采集帧率帧周期</t>
    <phoneticPr fontId="10" type="noConversion"/>
  </si>
  <si>
    <t>帧周期</t>
    <phoneticPr fontId="10" type="noConversion"/>
  </si>
  <si>
    <t>帧率</t>
    <phoneticPr fontId="10" type="noConversion"/>
  </si>
  <si>
    <t>传输数据最大值</t>
    <phoneticPr fontId="10" type="noConversion"/>
  </si>
  <si>
    <t>包间隔范围</t>
    <phoneticPr fontId="10" type="noConversion"/>
  </si>
  <si>
    <t>预留带宽范围</t>
    <phoneticPr fontId="10" type="noConversion"/>
  </si>
  <si>
    <t>包间隔未限制</t>
    <phoneticPr fontId="10" type="noConversion"/>
  </si>
  <si>
    <t>预估带宽</t>
    <phoneticPr fontId="10" type="noConversion"/>
  </si>
  <si>
    <t>计算结果：</t>
    <phoneticPr fontId="10" type="noConversion"/>
  </si>
  <si>
    <t>ROI帧周期</t>
    <phoneticPr fontId="10" type="noConversion"/>
  </si>
  <si>
    <t>曝光帧周期</t>
    <phoneticPr fontId="10" type="noConversion"/>
  </si>
  <si>
    <t>参数输入：</t>
    <phoneticPr fontId="10" type="noConversion"/>
  </si>
  <si>
    <t>内置黑行个数</t>
    <phoneticPr fontId="1" type="noConversion"/>
  </si>
  <si>
    <t>black_lines_fix</t>
    <phoneticPr fontId="1" type="noConversion"/>
  </si>
  <si>
    <t>内置黑行行周期</t>
    <phoneticPr fontId="1" type="noConversion"/>
  </si>
  <si>
    <t>bl_row_time_fix</t>
    <phoneticPr fontId="1" type="noConversion"/>
  </si>
  <si>
    <t>channel_num</t>
    <phoneticPr fontId="10" type="noConversion"/>
  </si>
  <si>
    <t>像素时钟频率</t>
    <phoneticPr fontId="10" type="noConversion"/>
  </si>
  <si>
    <t>freq_pix_clk</t>
    <phoneticPr fontId="10" type="noConversion"/>
  </si>
  <si>
    <t>黑行个数</t>
    <phoneticPr fontId="10" type="noConversion"/>
  </si>
  <si>
    <t>black_lines</t>
    <phoneticPr fontId="10" type="noConversion"/>
  </si>
  <si>
    <t>哑行个数</t>
    <phoneticPr fontId="10" type="noConversion"/>
  </si>
  <si>
    <t>dummy_lines</t>
    <phoneticPr fontId="10" type="noConversion"/>
  </si>
  <si>
    <t>曝光前哑行个数</t>
    <phoneticPr fontId="10" type="noConversion"/>
  </si>
  <si>
    <t>dummy_lines_bf_exp</t>
    <phoneticPr fontId="10" type="noConversion"/>
  </si>
  <si>
    <t>图像行ROT像素个数</t>
    <phoneticPr fontId="10" type="noConversion"/>
  </si>
  <si>
    <t>rot_img</t>
    <phoneticPr fontId="10" type="noConversion"/>
  </si>
  <si>
    <t>黑行ROT像素个数</t>
    <phoneticPr fontId="10" type="noConversion"/>
  </si>
  <si>
    <t>rot_bl</t>
    <phoneticPr fontId="10" type="noConversion"/>
  </si>
  <si>
    <t>FOT时间</t>
    <phoneticPr fontId="10" type="noConversion"/>
  </si>
  <si>
    <t>fot</t>
    <phoneticPr fontId="10" type="noConversion"/>
  </si>
  <si>
    <t>曝光前的FOT时间</t>
    <phoneticPr fontId="10" type="noConversion"/>
  </si>
  <si>
    <t>fot_int</t>
    <phoneticPr fontId="10" type="noConversion"/>
  </si>
  <si>
    <t>图像行计算公式尾数</t>
    <phoneticPr fontId="10" type="noConversion"/>
  </si>
  <si>
    <t>img_rem</t>
    <phoneticPr fontId="10" type="noConversion"/>
  </si>
  <si>
    <t>黑行计算公式尾数</t>
    <phoneticPr fontId="10" type="noConversion"/>
  </si>
  <si>
    <t>bl_rem</t>
    <phoneticPr fontId="10" type="noConversion"/>
  </si>
  <si>
    <t>rot_img_rem</t>
    <phoneticPr fontId="10" type="noConversion"/>
  </si>
  <si>
    <t>rot_bl_rem</t>
    <phoneticPr fontId="10" type="noConversion"/>
  </si>
  <si>
    <t>行消隐的一部分</t>
    <phoneticPr fontId="10" type="noConversion"/>
  </si>
  <si>
    <t>xsm_delay_time</t>
    <phoneticPr fontId="10" type="noConversion"/>
  </si>
  <si>
    <t>Sensor内部一组数据位宽</t>
    <phoneticPr fontId="10" type="noConversion"/>
  </si>
  <si>
    <t>kernel</t>
    <phoneticPr fontId="10" type="noConversion"/>
  </si>
  <si>
    <t>前端带宽最大值</t>
    <phoneticPr fontId="10" type="noConversion"/>
  </si>
  <si>
    <t>bandwidth_max</t>
    <phoneticPr fontId="10" type="noConversion"/>
  </si>
  <si>
    <t>读出曝光的裕量</t>
    <phoneticPr fontId="10" type="noConversion"/>
  </si>
  <si>
    <t>readout_exp_margin</t>
    <phoneticPr fontId="10" type="noConversion"/>
  </si>
  <si>
    <t>曝光之前的dummy_line时间</t>
    <phoneticPr fontId="10" type="noConversion"/>
  </si>
  <si>
    <t>dummy_line_bf_time</t>
    <phoneticPr fontId="10" type="noConversion"/>
  </si>
  <si>
    <t>leader长度</t>
    <phoneticPr fontId="10" type="noConversion"/>
  </si>
  <si>
    <t>leader size</t>
    <phoneticPr fontId="10" type="noConversion"/>
  </si>
  <si>
    <t>FPS</t>
    <phoneticPr fontId="10" type="noConversion"/>
  </si>
  <si>
    <t>1.0.3</t>
    <phoneticPr fontId="1" type="noConversion"/>
  </si>
  <si>
    <t>2017.9.19</t>
    <phoneticPr fontId="1" type="noConversion"/>
  </si>
  <si>
    <t>LinkSpeed(Mbps)</t>
    <phoneticPr fontId="1" type="noConversion"/>
  </si>
  <si>
    <t>曝光行数</t>
    <phoneticPr fontId="1" type="noConversion"/>
  </si>
  <si>
    <t>曝光决定帧周期</t>
    <phoneticPr fontId="1" type="noConversion"/>
  </si>
  <si>
    <t>最大帧消隐</t>
    <phoneticPr fontId="1" type="noConversion"/>
  </si>
  <si>
    <t>最大传输帧周期</t>
    <phoneticPr fontId="1" type="noConversion"/>
  </si>
  <si>
    <t>传输数据最大值（包间隔范围）</t>
    <phoneticPr fontId="1" type="noConversion"/>
  </si>
  <si>
    <t>传输数据最大值(预留带宽范围)</t>
    <phoneticPr fontId="1" type="noConversion"/>
  </si>
  <si>
    <t>复位时间</t>
    <phoneticPr fontId="1" type="noConversion"/>
  </si>
  <si>
    <t>reset_time</t>
    <phoneticPr fontId="1" type="noConversion"/>
  </si>
  <si>
    <t>触发模式</t>
    <phoneticPr fontId="1" type="noConversion"/>
  </si>
  <si>
    <t>TriggerMode</t>
    <phoneticPr fontId="1" type="noConversion"/>
  </si>
  <si>
    <t>采集帧率值</t>
    <phoneticPr fontId="1" type="noConversion"/>
  </si>
  <si>
    <t>采集帧率设置使能</t>
    <phoneticPr fontId="1" type="noConversion"/>
  </si>
  <si>
    <t>像素时钟频率</t>
    <phoneticPr fontId="1" type="noConversion"/>
  </si>
  <si>
    <t>freq_pix_clk</t>
    <phoneticPr fontId="1" type="noConversion"/>
  </si>
  <si>
    <t>帧消隐默认值</t>
    <phoneticPr fontId="1" type="noConversion"/>
  </si>
  <si>
    <t>Vertical Blanking_default</t>
    <phoneticPr fontId="1" type="noConversion"/>
  </si>
  <si>
    <t>每行时钟数</t>
    <phoneticPr fontId="1" type="noConversion"/>
  </si>
  <si>
    <t>line_pix_clk</t>
    <phoneticPr fontId="1" type="noConversion"/>
  </si>
  <si>
    <t>行周期</t>
    <phoneticPr fontId="1" type="noConversion"/>
  </si>
  <si>
    <t>line_time</t>
    <phoneticPr fontId="1" type="noConversion"/>
  </si>
  <si>
    <t>ROI帧周期</t>
    <phoneticPr fontId="1" type="noConversion"/>
  </si>
  <si>
    <t>包个数</t>
    <phoneticPr fontId="1" type="noConversion"/>
  </si>
  <si>
    <t>残包大小</t>
    <phoneticPr fontId="1" type="noConversion"/>
  </si>
  <si>
    <t>图像传输数据大小</t>
    <phoneticPr fontId="1" type="noConversion"/>
  </si>
  <si>
    <t>以太网有效带宽</t>
    <phoneticPr fontId="1" type="noConversion"/>
  </si>
  <si>
    <t>以太网有效带宽（计算预留带宽范围使用）</t>
    <phoneticPr fontId="1" type="noConversion"/>
  </si>
  <si>
    <t>带宽最大值</t>
    <phoneticPr fontId="1" type="noConversion"/>
  </si>
  <si>
    <t>图像传输周期</t>
    <phoneticPr fontId="1" type="noConversion"/>
  </si>
  <si>
    <t>overheadtime</t>
    <phoneticPr fontId="1" type="noConversion"/>
  </si>
  <si>
    <t>Shutter Delay</t>
    <phoneticPr fontId="1" type="noConversion"/>
  </si>
  <si>
    <t>reset_delay</t>
    <phoneticPr fontId="1" type="noConversion"/>
  </si>
  <si>
    <t>头部黑行数</t>
    <phoneticPr fontId="1" type="noConversion"/>
  </si>
  <si>
    <t>head_black_rows</t>
    <phoneticPr fontId="1" type="noConversion"/>
  </si>
  <si>
    <t>读出时间</t>
    <phoneticPr fontId="1" type="noConversion"/>
  </si>
  <si>
    <t>readout_time</t>
    <phoneticPr fontId="1" type="noConversion"/>
  </si>
  <si>
    <t>触发理论帧周期</t>
    <phoneticPr fontId="1" type="noConversion"/>
  </si>
  <si>
    <t>触发最小帧周期</t>
    <phoneticPr fontId="1" type="noConversion"/>
  </si>
  <si>
    <t>触发采集最大帧率</t>
    <phoneticPr fontId="1" type="noConversion"/>
  </si>
  <si>
    <t>采集帧率值（计算用）</t>
    <phoneticPr fontId="1" type="noConversion"/>
  </si>
  <si>
    <t>采集帧率帧周期</t>
    <phoneticPr fontId="1" type="noConversion"/>
  </si>
  <si>
    <t>预估带宽</t>
    <phoneticPr fontId="1" type="noConversion"/>
  </si>
  <si>
    <t>计算结果：</t>
    <phoneticPr fontId="1" type="noConversion"/>
  </si>
  <si>
    <t>FPS</t>
    <phoneticPr fontId="1" type="noConversion"/>
  </si>
  <si>
    <t>AcquisitionFrameRate</t>
    <phoneticPr fontId="1" type="noConversion"/>
  </si>
  <si>
    <t>1.0.4</t>
    <phoneticPr fontId="1" type="noConversion"/>
  </si>
  <si>
    <t>1、add MER-130-30GX（POE)、MER-051-120GX-P(POE)</t>
    <phoneticPr fontId="1" type="noConversion"/>
  </si>
  <si>
    <t>1、add MER-133-54GX-P（POE)</t>
    <phoneticPr fontId="1" type="noConversion"/>
  </si>
  <si>
    <t>2017.10.12</t>
    <phoneticPr fontId="1" type="noConversion"/>
  </si>
  <si>
    <t>参数输入：</t>
    <phoneticPr fontId="1" type="noConversion"/>
  </si>
  <si>
    <t>图像宽度</t>
    <phoneticPr fontId="1" type="noConversion"/>
  </si>
  <si>
    <t>Width</t>
    <phoneticPr fontId="1" type="noConversion"/>
  </si>
  <si>
    <t>图像高度</t>
    <phoneticPr fontId="1" type="noConversion"/>
  </si>
  <si>
    <t>Height</t>
    <phoneticPr fontId="1" type="noConversion"/>
  </si>
  <si>
    <t>曝光时间</t>
    <phoneticPr fontId="1" type="noConversion"/>
  </si>
  <si>
    <t>ExposureTime(us)</t>
    <phoneticPr fontId="1" type="noConversion"/>
  </si>
  <si>
    <t>像素格式</t>
    <phoneticPr fontId="1" type="noConversion"/>
  </si>
  <si>
    <t>PixelFormat(8/10)</t>
    <phoneticPr fontId="1" type="noConversion"/>
  </si>
  <si>
    <t>包长</t>
    <phoneticPr fontId="1" type="noConversion"/>
  </si>
  <si>
    <t>包间隔</t>
    <phoneticPr fontId="1" type="noConversion"/>
  </si>
  <si>
    <t>包间隔最大值</t>
    <phoneticPr fontId="1" type="noConversion"/>
  </si>
  <si>
    <t>GevSCPDMaxValue</t>
    <phoneticPr fontId="1" type="noConversion"/>
  </si>
  <si>
    <t>网络连接速度</t>
    <phoneticPr fontId="1" type="noConversion"/>
  </si>
  <si>
    <t>LinkSpeed(Mbps)</t>
    <phoneticPr fontId="1" type="noConversion"/>
  </si>
  <si>
    <t>预留带宽</t>
    <phoneticPr fontId="1" type="noConversion"/>
  </si>
  <si>
    <t>预留带宽最大值</t>
    <phoneticPr fontId="1" type="noConversion"/>
  </si>
  <si>
    <t>BandwidthReserveMaxValue</t>
    <phoneticPr fontId="1" type="noConversion"/>
  </si>
  <si>
    <t>触发模式</t>
    <phoneticPr fontId="1" type="noConversion"/>
  </si>
  <si>
    <t>TriggerMode</t>
    <phoneticPr fontId="1" type="noConversion"/>
  </si>
  <si>
    <t>off</t>
  </si>
  <si>
    <t>采集帧率值</t>
    <phoneticPr fontId="1" type="noConversion"/>
  </si>
  <si>
    <t>采集帧率设置使能</t>
    <phoneticPr fontId="1" type="noConversion"/>
  </si>
  <si>
    <t>off</t>
    <phoneticPr fontId="1" type="noConversion"/>
  </si>
  <si>
    <t>sensor寄存器</t>
    <phoneticPr fontId="1" type="noConversion"/>
  </si>
  <si>
    <t>frame_length_lines</t>
    <phoneticPr fontId="1" type="noConversion"/>
  </si>
  <si>
    <t>line_length_pck</t>
    <phoneticPr fontId="1" type="noConversion"/>
  </si>
  <si>
    <t>coarse_integration_time</t>
  </si>
  <si>
    <t>fine_integration_time</t>
    <phoneticPr fontId="1" type="noConversion"/>
  </si>
  <si>
    <t>帧周期相关项</t>
    <phoneticPr fontId="1" type="noConversion"/>
  </si>
  <si>
    <t>VB</t>
    <phoneticPr fontId="1" type="noConversion"/>
  </si>
  <si>
    <t>tRestart</t>
    <phoneticPr fontId="1" type="noConversion"/>
  </si>
  <si>
    <t>时钟频率</t>
    <phoneticPr fontId="1" type="noConversion"/>
  </si>
  <si>
    <t>行周期tRow</t>
    <phoneticPr fontId="1" type="noConversion"/>
  </si>
  <si>
    <t>图像读出时间tRead</t>
    <phoneticPr fontId="1" type="noConversion"/>
  </si>
  <si>
    <t>ROI帧周期</t>
    <phoneticPr fontId="1" type="noConversion"/>
  </si>
  <si>
    <t>触发帧周期</t>
    <phoneticPr fontId="1" type="noConversion"/>
  </si>
  <si>
    <t>曝光帧周期</t>
    <phoneticPr fontId="1" type="noConversion"/>
  </si>
  <si>
    <t>图像传输帧周期</t>
    <phoneticPr fontId="1" type="noConversion"/>
  </si>
  <si>
    <t>采集帧率帧周期</t>
    <phoneticPr fontId="1" type="noConversion"/>
  </si>
  <si>
    <t>帧周期</t>
    <phoneticPr fontId="1" type="noConversion"/>
  </si>
  <si>
    <t>帧率</t>
    <phoneticPr fontId="1" type="noConversion"/>
  </si>
  <si>
    <t>传输带宽相关</t>
    <phoneticPr fontId="1" type="noConversion"/>
  </si>
  <si>
    <t>chunk</t>
    <phoneticPr fontId="1" type="noConversion"/>
  </si>
  <si>
    <t>前段最大带宽</t>
    <phoneticPr fontId="1" type="noConversion"/>
  </si>
  <si>
    <t>bandwidth_max</t>
  </si>
  <si>
    <t>最小帧间隔</t>
  </si>
  <si>
    <t>ifg_min</t>
  </si>
  <si>
    <t>leader长度</t>
  </si>
  <si>
    <t>leader size</t>
  </si>
  <si>
    <t>trailer长度</t>
  </si>
  <si>
    <t>trailer size</t>
  </si>
  <si>
    <t>传输图像大小</t>
  </si>
  <si>
    <t>image_size</t>
  </si>
  <si>
    <t>图像+chunk大小</t>
  </si>
  <si>
    <t>image_chunk_size</t>
  </si>
  <si>
    <t>以太网负载部分的协议开销</t>
  </si>
  <si>
    <t>header_in_payload</t>
  </si>
  <si>
    <t>以太网协议开销</t>
  </si>
  <si>
    <t>eth_protocol_byte</t>
  </si>
  <si>
    <t>数据包长最小值</t>
  </si>
  <si>
    <t>data_size_min</t>
  </si>
  <si>
    <t>完整包个数</t>
  </si>
  <si>
    <t>complete_packet_num</t>
  </si>
  <si>
    <t>残包个数</t>
  </si>
  <si>
    <t>incomplete_packet_num</t>
  </si>
  <si>
    <t>残包大小</t>
  </si>
  <si>
    <t>incomplete_packet_size</t>
  </si>
  <si>
    <t>经过最小包长判断之后的残包大小</t>
  </si>
  <si>
    <t>incomplete_packet_size_min</t>
  </si>
  <si>
    <t>以太网传输leader包的大小</t>
  </si>
  <si>
    <t>leader_packet_size</t>
  </si>
  <si>
    <t>以太网传输trailer包的大小</t>
  </si>
  <si>
    <t>trailer_packet_size</t>
  </si>
  <si>
    <t>以太网传输image和chunk的大小</t>
  </si>
  <si>
    <t>frame_packet_size</t>
  </si>
  <si>
    <t>所有的帧间隔</t>
  </si>
  <si>
    <t>all_packet_gap</t>
  </si>
  <si>
    <t>传输图像尺寸</t>
  </si>
  <si>
    <t>frame_size</t>
  </si>
  <si>
    <t>以太网有效传输带宽</t>
  </si>
  <si>
    <t>eth_valid_bandwidth</t>
  </si>
  <si>
    <t>后端传输限制的帧周期</t>
  </si>
  <si>
    <t>backend_limit_period_time</t>
  </si>
  <si>
    <t>前端最大带宽限制的帧周期</t>
  </si>
  <si>
    <t>frontend_limit_period_time</t>
  </si>
  <si>
    <t>图像传输周期</t>
  </si>
  <si>
    <t>包间隔范围</t>
  </si>
  <si>
    <t>带宽数据最大值</t>
    <phoneticPr fontId="1" type="noConversion"/>
  </si>
  <si>
    <t>传输数据最大值</t>
    <phoneticPr fontId="1" type="noConversion"/>
  </si>
  <si>
    <t>预留带宽范围</t>
  </si>
  <si>
    <t>包间隔未限制</t>
  </si>
  <si>
    <t>预估带宽</t>
  </si>
  <si>
    <t>计算结果：</t>
    <phoneticPr fontId="1" type="noConversion"/>
  </si>
  <si>
    <t>帧率</t>
    <phoneticPr fontId="1" type="noConversion"/>
  </si>
  <si>
    <t>FPS</t>
    <phoneticPr fontId="1" type="noConversion"/>
  </si>
  <si>
    <t>AcquisitionFrameRate</t>
    <phoneticPr fontId="1" type="noConversion"/>
  </si>
  <si>
    <t>1.0.5</t>
    <phoneticPr fontId="1" type="noConversion"/>
  </si>
  <si>
    <t xml:space="preserve">1、revise  MER-051-120GX-P（POE) to  MER-051-120GX(POE)                                           2、revise  MER-133-54GX-P（POE) to  MER-133-54GX(POE) </t>
    <phoneticPr fontId="1" type="noConversion"/>
  </si>
  <si>
    <t>2017.10.13</t>
    <phoneticPr fontId="1" type="noConversion"/>
  </si>
  <si>
    <t>1.0.6</t>
    <phoneticPr fontId="1" type="noConversion"/>
  </si>
  <si>
    <t>1、modify  MER-130-30GX（POE)、MER-051-120GX-P(POE)</t>
    <phoneticPr fontId="1" type="noConversion"/>
  </si>
  <si>
    <t>2017.11.21</t>
    <phoneticPr fontId="1" type="noConversion"/>
  </si>
  <si>
    <t>1、modify MER-030-120GX（POE）the exposure time range to 1000000us - 4us</t>
    <phoneticPr fontId="1" type="noConversion"/>
  </si>
  <si>
    <t>1.0.7</t>
    <phoneticPr fontId="1" type="noConversion"/>
  </si>
  <si>
    <t>1、add MER-232-48GX(POE NIR)</t>
    <phoneticPr fontId="1" type="noConversion"/>
  </si>
  <si>
    <t>2018.01.03</t>
    <phoneticPr fontId="1" type="noConversion"/>
  </si>
  <si>
    <t>参数输入：</t>
    <phoneticPr fontId="10" type="noConversion"/>
  </si>
  <si>
    <t>图像宽度</t>
    <phoneticPr fontId="10" type="noConversion"/>
  </si>
  <si>
    <t>Width</t>
    <phoneticPr fontId="10" type="noConversion"/>
  </si>
  <si>
    <t>图像高度</t>
    <phoneticPr fontId="10" type="noConversion"/>
  </si>
  <si>
    <t>Height</t>
    <phoneticPr fontId="10" type="noConversion"/>
  </si>
  <si>
    <t>曝光时间</t>
    <phoneticPr fontId="10" type="noConversion"/>
  </si>
  <si>
    <t>ExposureTime(us)</t>
    <phoneticPr fontId="10" type="noConversion"/>
  </si>
  <si>
    <t>曝光延迟</t>
    <phoneticPr fontId="10" type="noConversion"/>
  </si>
  <si>
    <t>ExposureDelay(us)</t>
    <phoneticPr fontId="10" type="noConversion"/>
  </si>
  <si>
    <t>像素格式</t>
    <phoneticPr fontId="10" type="noConversion"/>
  </si>
  <si>
    <t>PixelFormat(8/10)</t>
    <phoneticPr fontId="10" type="noConversion"/>
  </si>
  <si>
    <t>包长</t>
    <phoneticPr fontId="10" type="noConversion"/>
  </si>
  <si>
    <t>包间隔</t>
    <phoneticPr fontId="10" type="noConversion"/>
  </si>
  <si>
    <t>GevSCPD</t>
    <phoneticPr fontId="10" type="noConversion"/>
  </si>
  <si>
    <t>包间隔最大值</t>
    <phoneticPr fontId="10" type="noConversion"/>
  </si>
  <si>
    <t>GevSCPDMaxValue</t>
    <phoneticPr fontId="10" type="noConversion"/>
  </si>
  <si>
    <t>采集帧率值</t>
    <phoneticPr fontId="10" type="noConversion"/>
  </si>
  <si>
    <t>采集帧率设置使能</t>
    <phoneticPr fontId="10" type="noConversion"/>
  </si>
  <si>
    <t>网络连接速度</t>
    <phoneticPr fontId="10" type="noConversion"/>
  </si>
  <si>
    <t>LinkSpeed(Mbps)</t>
    <phoneticPr fontId="10" type="noConversion"/>
  </si>
  <si>
    <t>预留带宽</t>
    <phoneticPr fontId="10" type="noConversion"/>
  </si>
  <si>
    <t>预留带宽最大值</t>
    <phoneticPr fontId="10" type="noConversion"/>
  </si>
  <si>
    <t>BandwidthReserveMaxValue</t>
    <phoneticPr fontId="10" type="noConversion"/>
  </si>
  <si>
    <t>内置黑行个数</t>
    <phoneticPr fontId="1" type="noConversion"/>
  </si>
  <si>
    <t>black_lines_fix</t>
    <phoneticPr fontId="1" type="noConversion"/>
  </si>
  <si>
    <t>内置黑行行周期</t>
    <phoneticPr fontId="1" type="noConversion"/>
  </si>
  <si>
    <t>bl_row_time_fix</t>
    <phoneticPr fontId="1" type="noConversion"/>
  </si>
  <si>
    <t>channel_num</t>
    <phoneticPr fontId="10" type="noConversion"/>
  </si>
  <si>
    <t>像素时钟频率</t>
    <phoneticPr fontId="10" type="noConversion"/>
  </si>
  <si>
    <t>freq_pix_clk</t>
    <phoneticPr fontId="10" type="noConversion"/>
  </si>
  <si>
    <t>黑行个数</t>
    <phoneticPr fontId="10" type="noConversion"/>
  </si>
  <si>
    <t>哑行个数</t>
    <phoneticPr fontId="10" type="noConversion"/>
  </si>
  <si>
    <t>dummy_lines</t>
    <phoneticPr fontId="10" type="noConversion"/>
  </si>
  <si>
    <t>曝光前哑行个数</t>
    <phoneticPr fontId="10" type="noConversion"/>
  </si>
  <si>
    <t>dummy_lines_bf_exp</t>
    <phoneticPr fontId="10" type="noConversion"/>
  </si>
  <si>
    <t>图像行ROT像素个数</t>
    <phoneticPr fontId="10" type="noConversion"/>
  </si>
  <si>
    <t>rot_img</t>
    <phoneticPr fontId="10" type="noConversion"/>
  </si>
  <si>
    <t>黑行ROT像素个数</t>
    <phoneticPr fontId="10" type="noConversion"/>
  </si>
  <si>
    <t>rot_bl</t>
    <phoneticPr fontId="10" type="noConversion"/>
  </si>
  <si>
    <t>FOT时间</t>
    <phoneticPr fontId="10" type="noConversion"/>
  </si>
  <si>
    <t>fot</t>
    <phoneticPr fontId="10" type="noConversion"/>
  </si>
  <si>
    <t>曝光前的FOT时间</t>
    <phoneticPr fontId="10" type="noConversion"/>
  </si>
  <si>
    <t>fot_int</t>
    <phoneticPr fontId="10" type="noConversion"/>
  </si>
  <si>
    <t>图像行计算公式尾数</t>
    <phoneticPr fontId="10" type="noConversion"/>
  </si>
  <si>
    <t>img_rem</t>
    <phoneticPr fontId="10" type="noConversion"/>
  </si>
  <si>
    <t>黑行计算公式尾数</t>
    <phoneticPr fontId="10" type="noConversion"/>
  </si>
  <si>
    <t>bl_rem</t>
    <phoneticPr fontId="10" type="noConversion"/>
  </si>
  <si>
    <t>rot_img_rem</t>
    <phoneticPr fontId="10" type="noConversion"/>
  </si>
  <si>
    <t>rot_bl_rem</t>
    <phoneticPr fontId="10" type="noConversion"/>
  </si>
  <si>
    <t>行消隐的一部分</t>
    <phoneticPr fontId="10" type="noConversion"/>
  </si>
  <si>
    <t>xsm_delay_time</t>
    <phoneticPr fontId="10" type="noConversion"/>
  </si>
  <si>
    <t>Sensor内部一组数据位宽</t>
    <phoneticPr fontId="10" type="noConversion"/>
  </si>
  <si>
    <t>kernel</t>
    <phoneticPr fontId="10" type="noConversion"/>
  </si>
  <si>
    <t>前端带宽最大值</t>
    <phoneticPr fontId="10" type="noConversion"/>
  </si>
  <si>
    <t>bandwidth_max</t>
    <phoneticPr fontId="10" type="noConversion"/>
  </si>
  <si>
    <t>读出曝光的裕量</t>
    <phoneticPr fontId="10" type="noConversion"/>
  </si>
  <si>
    <t>readout_exp_margin</t>
    <phoneticPr fontId="10" type="noConversion"/>
  </si>
  <si>
    <t>宽度最大值</t>
    <phoneticPr fontId="10" type="noConversion"/>
  </si>
  <si>
    <t>黑行周期</t>
    <phoneticPr fontId="10" type="noConversion"/>
  </si>
  <si>
    <t>black_row_time</t>
    <phoneticPr fontId="10" type="noConversion"/>
  </si>
  <si>
    <t>图像行周期</t>
    <phoneticPr fontId="10" type="noConversion"/>
  </si>
  <si>
    <t>img_row_time</t>
    <phoneticPr fontId="10" type="noConversion"/>
  </si>
  <si>
    <t>black_line_time</t>
    <phoneticPr fontId="10" type="noConversion"/>
  </si>
  <si>
    <t>图像行时间</t>
    <phoneticPr fontId="10" type="noConversion"/>
  </si>
  <si>
    <t>image_line_time</t>
    <phoneticPr fontId="10" type="noConversion"/>
  </si>
  <si>
    <t>dummy_line_time</t>
    <phoneticPr fontId="10" type="noConversion"/>
  </si>
  <si>
    <t>曝光之前的dummy_line时间</t>
    <phoneticPr fontId="10" type="noConversion"/>
  </si>
  <si>
    <t>dummy_line_bf_time</t>
    <phoneticPr fontId="10" type="noConversion"/>
  </si>
  <si>
    <t>采集帧率设置值</t>
    <phoneticPr fontId="10" type="noConversion"/>
  </si>
  <si>
    <t>ROI帧周期</t>
    <phoneticPr fontId="10" type="noConversion"/>
  </si>
  <si>
    <t>曝光帧周期</t>
    <phoneticPr fontId="10" type="noConversion"/>
  </si>
  <si>
    <t>帧信息</t>
    <phoneticPr fontId="10" type="noConversion"/>
  </si>
  <si>
    <t>最小帧间隔</t>
    <phoneticPr fontId="10" type="noConversion"/>
  </si>
  <si>
    <t>ifg_min</t>
    <phoneticPr fontId="10" type="noConversion"/>
  </si>
  <si>
    <t>leader长度</t>
    <phoneticPr fontId="10" type="noConversion"/>
  </si>
  <si>
    <t>leader size</t>
    <phoneticPr fontId="10" type="noConversion"/>
  </si>
  <si>
    <t>trailer长度</t>
    <phoneticPr fontId="10" type="noConversion"/>
  </si>
  <si>
    <t>trailer size</t>
    <phoneticPr fontId="10" type="noConversion"/>
  </si>
  <si>
    <t>传输图像大小</t>
    <phoneticPr fontId="10" type="noConversion"/>
  </si>
  <si>
    <t>image_size</t>
    <phoneticPr fontId="10" type="noConversion"/>
  </si>
  <si>
    <t>图像+chunk大小</t>
    <phoneticPr fontId="10" type="noConversion"/>
  </si>
  <si>
    <t>image_chunk_size</t>
    <phoneticPr fontId="10" type="noConversion"/>
  </si>
  <si>
    <t>以太网负载部分的协议开销</t>
    <phoneticPr fontId="10" type="noConversion"/>
  </si>
  <si>
    <t>header_in_payload</t>
    <phoneticPr fontId="10" type="noConversion"/>
  </si>
  <si>
    <t>以太网协议开销</t>
    <phoneticPr fontId="10" type="noConversion"/>
  </si>
  <si>
    <t>eth_protocol_byte</t>
    <phoneticPr fontId="10" type="noConversion"/>
  </si>
  <si>
    <t>数据包长最小值</t>
    <phoneticPr fontId="10" type="noConversion"/>
  </si>
  <si>
    <t>data_size_min</t>
    <phoneticPr fontId="10" type="noConversion"/>
  </si>
  <si>
    <t>完整包个数</t>
    <phoneticPr fontId="10" type="noConversion"/>
  </si>
  <si>
    <t>complete_packet_num</t>
    <phoneticPr fontId="10" type="noConversion"/>
  </si>
  <si>
    <t>残包个数</t>
    <phoneticPr fontId="10" type="noConversion"/>
  </si>
  <si>
    <t>incomplete_packet_num</t>
    <phoneticPr fontId="10" type="noConversion"/>
  </si>
  <si>
    <t>残包大小</t>
    <phoneticPr fontId="10" type="noConversion"/>
  </si>
  <si>
    <t>incomplete_packet_size</t>
    <phoneticPr fontId="10" type="noConversion"/>
  </si>
  <si>
    <t>经过最小包长判断之后的残包大小</t>
    <phoneticPr fontId="10" type="noConversion"/>
  </si>
  <si>
    <t>incomplete_packet_size_min</t>
    <phoneticPr fontId="10" type="noConversion"/>
  </si>
  <si>
    <t>以太网传输leader包的大小</t>
    <phoneticPr fontId="10" type="noConversion"/>
  </si>
  <si>
    <t>leader_packet_size</t>
    <phoneticPr fontId="10" type="noConversion"/>
  </si>
  <si>
    <t>以太网传输trailer包的大小</t>
    <phoneticPr fontId="10" type="noConversion"/>
  </si>
  <si>
    <t>trailer_packet_size</t>
    <phoneticPr fontId="10" type="noConversion"/>
  </si>
  <si>
    <t>以太网传输image和chunk的大小</t>
    <phoneticPr fontId="10" type="noConversion"/>
  </si>
  <si>
    <t>frame_packet_size</t>
    <phoneticPr fontId="10" type="noConversion"/>
  </si>
  <si>
    <t>所有的帧间隔</t>
    <phoneticPr fontId="10" type="noConversion"/>
  </si>
  <si>
    <t>all_packet_gap</t>
    <phoneticPr fontId="10" type="noConversion"/>
  </si>
  <si>
    <t>传输图像尺寸</t>
    <phoneticPr fontId="10" type="noConversion"/>
  </si>
  <si>
    <t>frame_size</t>
    <phoneticPr fontId="10" type="noConversion"/>
  </si>
  <si>
    <t>以太网有效传输带宽</t>
    <phoneticPr fontId="10" type="noConversion"/>
  </si>
  <si>
    <t>eth_valid_bandwidth</t>
    <phoneticPr fontId="10" type="noConversion"/>
  </si>
  <si>
    <t>后端传输限制的帧周期</t>
    <phoneticPr fontId="10" type="noConversion"/>
  </si>
  <si>
    <t>backend_limit_period_time</t>
    <phoneticPr fontId="10" type="noConversion"/>
  </si>
  <si>
    <t>前端最大带宽限制的帧周期</t>
    <phoneticPr fontId="10" type="noConversion"/>
  </si>
  <si>
    <t>frontend_limit_period_time</t>
    <phoneticPr fontId="10" type="noConversion"/>
  </si>
  <si>
    <t>图像传输周期</t>
    <phoneticPr fontId="10" type="noConversion"/>
  </si>
  <si>
    <t>采集帧率帧周期</t>
    <phoneticPr fontId="10" type="noConversion"/>
  </si>
  <si>
    <t>帧周期</t>
    <phoneticPr fontId="10" type="noConversion"/>
  </si>
  <si>
    <t>传输数据最大值</t>
    <phoneticPr fontId="10" type="noConversion"/>
  </si>
  <si>
    <t>包间隔范围</t>
    <phoneticPr fontId="10" type="noConversion"/>
  </si>
  <si>
    <t>预留带宽范围</t>
    <phoneticPr fontId="10" type="noConversion"/>
  </si>
  <si>
    <t>包间隔未限制</t>
    <phoneticPr fontId="10" type="noConversion"/>
  </si>
  <si>
    <t>预估带宽</t>
    <phoneticPr fontId="10" type="noConversion"/>
  </si>
  <si>
    <t>计算结果：</t>
    <phoneticPr fontId="10" type="noConversion"/>
  </si>
  <si>
    <t>帧率</t>
    <phoneticPr fontId="10" type="noConversion"/>
  </si>
  <si>
    <t>ROI帧周期</t>
    <phoneticPr fontId="10" type="noConversion"/>
  </si>
  <si>
    <t>曝光帧周期</t>
    <phoneticPr fontId="10" type="noConversion"/>
  </si>
  <si>
    <t>采集帧率帧周期</t>
    <phoneticPr fontId="10" type="noConversion"/>
  </si>
  <si>
    <t>FPS</t>
    <phoneticPr fontId="10" type="noConversion"/>
  </si>
  <si>
    <t>0x7760165c</t>
  </si>
  <si>
    <t>0x77601658</t>
  </si>
  <si>
    <t>0x77601650</t>
  </si>
  <si>
    <t>sensor_height_min</t>
  </si>
  <si>
    <t>BandWidthMax</t>
  </si>
  <si>
    <t>tConfig</t>
  </si>
  <si>
    <t>SHS1</t>
  </si>
  <si>
    <t>Txvs2cpp</t>
  </si>
  <si>
    <t>Txvs2rd</t>
  </si>
  <si>
    <t>Vbmin</t>
  </si>
  <si>
    <t>tRow</t>
  </si>
  <si>
    <t>Hmax</t>
  </si>
  <si>
    <t>Finck</t>
  </si>
  <si>
    <t>GevFramerateAbsEn</t>
  </si>
  <si>
    <t>GevFramerateABS</t>
  </si>
  <si>
    <t>TriggerMode</t>
  </si>
  <si>
    <t>BandwidthReserveMaxValue</t>
  </si>
  <si>
    <t>LinkSpeed(Mbps)</t>
  </si>
  <si>
    <t>GevSCPDMaxValue</t>
  </si>
  <si>
    <t>PixelFormat(8/12)</t>
  </si>
  <si>
    <t>ExposureTime(us)</t>
  </si>
  <si>
    <t>Height</t>
  </si>
  <si>
    <t>Width</t>
  </si>
  <si>
    <t>帧率</t>
  </si>
  <si>
    <t>计算结果：</t>
  </si>
  <si>
    <t>帧周期[单位：us]</t>
  </si>
  <si>
    <t>帧周期[单位：行]</t>
  </si>
  <si>
    <t>帧周期寄存器</t>
  </si>
  <si>
    <t>曝光寄存器</t>
  </si>
  <si>
    <t>曝光延迟寄存器</t>
  </si>
  <si>
    <t>FPGA行周期</t>
  </si>
  <si>
    <t>带宽限制帧周期</t>
  </si>
  <si>
    <t>以太网传输image和chunk的大小（包含全部协议开销）</t>
  </si>
  <si>
    <t>图像+Chunk大小</t>
  </si>
  <si>
    <t>帧信息使能</t>
  </si>
  <si>
    <t>触发帧周期</t>
  </si>
  <si>
    <t>曝光帧周期</t>
  </si>
  <si>
    <t>采集帧率帧周期</t>
  </si>
  <si>
    <t>ROI帧周期</t>
  </si>
  <si>
    <t>tolerance_line</t>
  </si>
  <si>
    <t>sensor最小设置高度</t>
  </si>
  <si>
    <t>前段带宽最大值</t>
  </si>
  <si>
    <t>配置sensor的时间【us】</t>
  </si>
  <si>
    <t>从xvs信号下降沿到communication prohibited period结束</t>
  </si>
  <si>
    <t>从xvs信号下降沿到开始读出一行的间隔时间</t>
  </si>
  <si>
    <t>最小行消音</t>
  </si>
  <si>
    <t>行周期，单位为ns</t>
  </si>
  <si>
    <t>行周期，单位时钟个数</t>
  </si>
  <si>
    <t>Sensor时钟</t>
  </si>
  <si>
    <t>采集帧率设置使能</t>
  </si>
  <si>
    <t>采集帧率值</t>
  </si>
  <si>
    <t>触发模式</t>
  </si>
  <si>
    <t>预留带宽最大值</t>
  </si>
  <si>
    <t>预留带宽</t>
  </si>
  <si>
    <t>网络连接速度</t>
  </si>
  <si>
    <t>包间隔最大值</t>
  </si>
  <si>
    <t>包间隔</t>
  </si>
  <si>
    <t>包长</t>
  </si>
  <si>
    <t>像素格式</t>
  </si>
  <si>
    <t>曝光时间</t>
  </si>
  <si>
    <t>图像高度</t>
  </si>
  <si>
    <t>图像宽度</t>
  </si>
  <si>
    <t>参数输入：</t>
  </si>
  <si>
    <t>FPS</t>
    <phoneticPr fontId="1" type="noConversion"/>
  </si>
  <si>
    <t>1.0.8</t>
    <phoneticPr fontId="1" type="noConversion"/>
  </si>
  <si>
    <t>1、add MER-2000-5GX(POE)</t>
    <phoneticPr fontId="1" type="noConversion"/>
  </si>
  <si>
    <t>2018.02.06</t>
    <phoneticPr fontId="1" type="noConversion"/>
  </si>
  <si>
    <t>1.0.9</t>
    <phoneticPr fontId="1" type="noConversion"/>
  </si>
  <si>
    <t>2018.02.11</t>
    <phoneticPr fontId="1" type="noConversion"/>
  </si>
  <si>
    <t>1.0.10</t>
    <phoneticPr fontId="1" type="noConversion"/>
  </si>
  <si>
    <t>1、delete blank Sheet1</t>
    <phoneticPr fontId="1" type="noConversion"/>
  </si>
  <si>
    <t>2018.03.01</t>
    <phoneticPr fontId="1" type="noConversion"/>
  </si>
  <si>
    <t>1.0.11</t>
    <phoneticPr fontId="1" type="noConversion"/>
  </si>
  <si>
    <t>2018.03.06</t>
    <phoneticPr fontId="1" type="noConversion"/>
  </si>
  <si>
    <t>1、modify MER-051-120GX（POE）the exposure time range to 1000000us - 1us               2、modify MER-232-48GX（POE NIR）the exposure time range to 1000000us - 1us</t>
    <phoneticPr fontId="1" type="noConversion"/>
  </si>
  <si>
    <t>网络连接速度</t>
    <phoneticPr fontId="1" type="noConversion"/>
  </si>
  <si>
    <t>LinkSpeed(Mbps)</t>
    <phoneticPr fontId="1" type="noConversion"/>
  </si>
  <si>
    <t>预留带宽</t>
    <phoneticPr fontId="1" type="noConversion"/>
  </si>
  <si>
    <t>预留带宽最大值</t>
    <phoneticPr fontId="1" type="noConversion"/>
  </si>
  <si>
    <t>BandwidthReserveMaxValue</t>
    <phoneticPr fontId="1" type="noConversion"/>
  </si>
  <si>
    <t>采集帧率值使能</t>
    <phoneticPr fontId="1" type="noConversion"/>
  </si>
  <si>
    <t>采集帧率设置值</t>
    <phoneticPr fontId="1" type="noConversion"/>
  </si>
  <si>
    <t>采集帧率帧周期</t>
    <phoneticPr fontId="1" type="noConversion"/>
  </si>
  <si>
    <t>ROI帧周期</t>
    <phoneticPr fontId="1" type="noConversion"/>
  </si>
  <si>
    <t>包个数</t>
    <phoneticPr fontId="1" type="noConversion"/>
  </si>
  <si>
    <t>残包大小</t>
    <phoneticPr fontId="1" type="noConversion"/>
  </si>
  <si>
    <t>图像传输数据大小</t>
    <phoneticPr fontId="1" type="noConversion"/>
  </si>
  <si>
    <t>图像传输周期</t>
    <phoneticPr fontId="1" type="noConversion"/>
  </si>
  <si>
    <t>帧周期</t>
    <phoneticPr fontId="1" type="noConversion"/>
  </si>
  <si>
    <t>连续采集帧率</t>
    <phoneticPr fontId="1" type="noConversion"/>
  </si>
  <si>
    <t>传输数据最大值</t>
    <phoneticPr fontId="1" type="noConversion"/>
  </si>
  <si>
    <t>包间隔范围</t>
    <phoneticPr fontId="1" type="noConversion"/>
  </si>
  <si>
    <t>预留带宽范围</t>
    <phoneticPr fontId="1" type="noConversion"/>
  </si>
  <si>
    <t>Sensor复位时间</t>
    <phoneticPr fontId="1" type="noConversion"/>
  </si>
  <si>
    <t>触发理论帧周期</t>
    <phoneticPr fontId="1" type="noConversion"/>
  </si>
  <si>
    <t>触发最小帧周期</t>
    <phoneticPr fontId="1" type="noConversion"/>
  </si>
  <si>
    <t>触发采集最大帧率</t>
    <phoneticPr fontId="1" type="noConversion"/>
  </si>
  <si>
    <t>帧周期</t>
    <phoneticPr fontId="13" type="noConversion"/>
  </si>
  <si>
    <t>图像带宽</t>
    <phoneticPr fontId="13" type="noConversion"/>
  </si>
  <si>
    <t>预估带宽</t>
    <phoneticPr fontId="13" type="noConversion"/>
  </si>
  <si>
    <t>计算结果：</t>
    <phoneticPr fontId="1" type="noConversion"/>
  </si>
  <si>
    <t>1.0.12</t>
    <phoneticPr fontId="1" type="noConversion"/>
  </si>
  <si>
    <t>1、revise “Offsety” to “OffsetY”
2、revise “GevFramerateABS” to “AcquisitionFrameRate”
3、revise “GevFramerateAbsEn” to “AcquisitionFrameRateMode”
4、hidden “ExposureDelay(us)”</t>
    <phoneticPr fontId="1" type="noConversion"/>
  </si>
  <si>
    <t>1、add MER-1070-10GX（POE）GevFramerateABS and GevFramerateAbsEn function</t>
    <phoneticPr fontId="1" type="noConversion"/>
  </si>
  <si>
    <t>FPS</t>
    <phoneticPr fontId="1" type="noConversion"/>
  </si>
  <si>
    <t>1.0.13</t>
    <phoneticPr fontId="1" type="noConversion"/>
  </si>
  <si>
    <t>1、modify MER-2000-5GX-P（POE）the exposure time range to 1000000us - 31us</t>
    <phoneticPr fontId="1" type="noConversion"/>
  </si>
  <si>
    <t>2018.03.26</t>
    <phoneticPr fontId="1" type="noConversion"/>
  </si>
  <si>
    <t>1.0.14</t>
    <phoneticPr fontId="1" type="noConversion"/>
  </si>
  <si>
    <t>1.modify MER-132-30GX Exposure_min = 8us                                                2.modify MER-132-43GX(POE) Exposure = 20000</t>
    <phoneticPr fontId="1" type="noConversion"/>
  </si>
  <si>
    <t>2018.04.11</t>
    <phoneticPr fontId="1" type="noConversion"/>
  </si>
  <si>
    <t>1、add MER-201-25GX（POE）</t>
    <phoneticPr fontId="1" type="noConversion"/>
  </si>
  <si>
    <t>帧周期</t>
  </si>
  <si>
    <t>帧周期值（行）</t>
  </si>
  <si>
    <t>ROW_Time</t>
  </si>
  <si>
    <t>ROI和曝光综合帧周期</t>
  </si>
  <si>
    <t>tailblank_end</t>
  </si>
  <si>
    <t>tailblankstart</t>
  </si>
  <si>
    <t>verf_start</t>
  </si>
  <si>
    <t>headblank_end</t>
  </si>
  <si>
    <t>带宽传输数据</t>
  </si>
  <si>
    <t>图像传输数据大小</t>
  </si>
  <si>
    <t>包间隔实际最大值</t>
  </si>
  <si>
    <t>包个数</t>
  </si>
  <si>
    <t>曝光行个数</t>
  </si>
  <si>
    <t>exp_float</t>
  </si>
  <si>
    <t>exp_line_tmp</t>
  </si>
  <si>
    <t>exp_reg</t>
  </si>
  <si>
    <t>垂直偏移</t>
  </si>
  <si>
    <t>FPS</t>
    <phoneticPr fontId="1" type="noConversion"/>
  </si>
  <si>
    <t>1.0.15</t>
    <phoneticPr fontId="1" type="noConversion"/>
  </si>
  <si>
    <t>1.0.16</t>
    <phoneticPr fontId="1" type="noConversion"/>
  </si>
  <si>
    <t>1、modify MER-131-75GX（POE NIR）the exposure time range to 1000000us - 1us</t>
    <phoneticPr fontId="1" type="noConversion"/>
  </si>
  <si>
    <t>2018.04.23</t>
    <phoneticPr fontId="1" type="noConversion"/>
  </si>
  <si>
    <t>GevSCPDMaxValue</t>
    <phoneticPr fontId="1" type="noConversion"/>
  </si>
  <si>
    <t>BandwidthReserveMaxValue</t>
    <phoneticPr fontId="1" type="noConversion"/>
  </si>
  <si>
    <t>2018.04.24</t>
    <phoneticPr fontId="1" type="noConversion"/>
  </si>
  <si>
    <t>1.0.17</t>
    <phoneticPr fontId="1" type="noConversion"/>
  </si>
  <si>
    <t>1、modify MER-201-25GX(POE) input error notification</t>
    <phoneticPr fontId="1" type="noConversion"/>
  </si>
  <si>
    <t>Height</t>
    <phoneticPr fontId="1" type="noConversion"/>
  </si>
  <si>
    <t>GevSCPDMaxValue</t>
    <phoneticPr fontId="1" type="noConversion"/>
  </si>
  <si>
    <t>BandwidthReserveMaxValue</t>
    <phoneticPr fontId="1" type="noConversion"/>
  </si>
  <si>
    <t>2018.05.04</t>
    <phoneticPr fontId="1" type="noConversion"/>
  </si>
  <si>
    <t>1.0.19</t>
    <phoneticPr fontId="1" type="noConversion"/>
  </si>
  <si>
    <t>1.0.18</t>
  </si>
  <si>
    <t xml:space="preserve">1、modify MER-131-75GX（POE NIR) formula error </t>
  </si>
  <si>
    <t>2018.05.04</t>
  </si>
  <si>
    <t>曝光延迟</t>
  </si>
  <si>
    <t>ExposureDelay(us)</t>
  </si>
  <si>
    <t>PixelFormat(8/10)</t>
  </si>
  <si>
    <t>GevLinkSpeed(Mbps)</t>
  </si>
  <si>
    <t>channel_num</t>
  </si>
  <si>
    <t>像素时钟频率</t>
  </si>
  <si>
    <t>freq_pix_clk</t>
  </si>
  <si>
    <t>黑行个数</t>
  </si>
  <si>
    <t>black_lines</t>
  </si>
  <si>
    <t>哑行个数</t>
  </si>
  <si>
    <t>dummy_lines</t>
  </si>
  <si>
    <t>曝光前哑行个数</t>
  </si>
  <si>
    <t>dummy_lines_bf_exp</t>
  </si>
  <si>
    <t>图像行ROT像素个数</t>
  </si>
  <si>
    <t>rot_img</t>
  </si>
  <si>
    <t>黑行ROT像素个数</t>
  </si>
  <si>
    <t>rot_bl</t>
  </si>
  <si>
    <t>FOT时间</t>
  </si>
  <si>
    <t>fot</t>
  </si>
  <si>
    <t>曝光前的FOT时间</t>
  </si>
  <si>
    <t>fot_int</t>
  </si>
  <si>
    <t>图像行计算公式尾数</t>
  </si>
  <si>
    <t>img_rem</t>
  </si>
  <si>
    <t>黑行计算公式尾数</t>
  </si>
  <si>
    <t>bl_rem</t>
  </si>
  <si>
    <t>rot_img_rem</t>
  </si>
  <si>
    <t>rot_bl_rem</t>
  </si>
  <si>
    <t>行消隐的一部分</t>
  </si>
  <si>
    <t>xsm_delay_time</t>
  </si>
  <si>
    <t>Sensor内部一组数据位宽</t>
  </si>
  <si>
    <t>kernel</t>
  </si>
  <si>
    <t>前端带宽最大值</t>
  </si>
  <si>
    <t>读出曝光的裕量</t>
  </si>
  <si>
    <t>readout_exp_margin</t>
  </si>
  <si>
    <t>黑行周期</t>
  </si>
  <si>
    <t>black_row_time</t>
  </si>
  <si>
    <t>图像行周期</t>
  </si>
  <si>
    <t>img_row_time</t>
  </si>
  <si>
    <t>black_line_time</t>
  </si>
  <si>
    <t>图像行时间</t>
  </si>
  <si>
    <t>image_line_time</t>
  </si>
  <si>
    <t>dummy_line_time</t>
  </si>
  <si>
    <t>曝光之前的dummy_line时间</t>
  </si>
  <si>
    <t>dummy_line_bf_time</t>
  </si>
  <si>
    <t>采集帧率设置值</t>
  </si>
  <si>
    <t>帧信息</t>
  </si>
  <si>
    <t>FPS</t>
  </si>
  <si>
    <t>OffsetY</t>
    <phoneticPr fontId="1" type="noConversion"/>
  </si>
  <si>
    <t>PixelFormat(8/10)</t>
    <phoneticPr fontId="1" type="noConversion"/>
  </si>
  <si>
    <t>1.0.20</t>
    <phoneticPr fontId="1" type="noConversion"/>
  </si>
  <si>
    <t>2018.05.14</t>
    <phoneticPr fontId="1" type="noConversion"/>
  </si>
  <si>
    <t>1、modify some English error tips：
sheet：MER-200-14GX~MER-1520-7GX（POE），MER-2000-5GX（POE）</t>
    <phoneticPr fontId="1" type="noConversion"/>
  </si>
  <si>
    <t>1、modify some English error tips：
sheet：MER-1070-7GX~MER-201-25GX（POE）</t>
    <phoneticPr fontId="1" type="noConversion"/>
  </si>
  <si>
    <t>1、add MER-1220-9GX（POE）</t>
    <phoneticPr fontId="1" type="noConversion"/>
  </si>
  <si>
    <t>2018.05.25</t>
    <phoneticPr fontId="1" type="noConversion"/>
  </si>
  <si>
    <t>1.0.21</t>
    <phoneticPr fontId="1" type="noConversion"/>
  </si>
  <si>
    <t>FPS</t>
    <phoneticPr fontId="1" type="noConversion"/>
  </si>
  <si>
    <t>1.0.22</t>
    <phoneticPr fontId="1" type="noConversion"/>
  </si>
  <si>
    <t>AcquisitionFrameRate</t>
    <phoneticPr fontId="1" type="noConversion"/>
  </si>
  <si>
    <t>2018.09.25</t>
    <phoneticPr fontId="1" type="noConversion"/>
  </si>
  <si>
    <t>1.0.23</t>
    <phoneticPr fontId="1" type="noConversion"/>
  </si>
  <si>
    <t>1、modify MER-231-41GX(POE) AcquisitionFrameRate range to 10000 - 0.1</t>
    <phoneticPr fontId="1" type="noConversion"/>
  </si>
  <si>
    <t>1、modify MER-200-14GX/MER-200-20GX/MER-030-120GX(POE)/MER-132-30GX/MER-132-43GX(POE)/MER-504-10GX(POE) AcquisitionFrameRate calculation formula</t>
    <phoneticPr fontId="1" type="noConversion"/>
  </si>
  <si>
    <t>2018.11.14</t>
    <phoneticPr fontId="1" type="noConversion"/>
  </si>
  <si>
    <t>1.0.24</t>
    <phoneticPr fontId="1" type="noConversion"/>
  </si>
  <si>
    <t>2018.12.05</t>
    <phoneticPr fontId="1" type="noConversion"/>
  </si>
  <si>
    <t>GevLinkSpeed(Mbps)</t>
    <phoneticPr fontId="1" type="noConversion"/>
  </si>
  <si>
    <t>GevSCPDMaxValue</t>
    <phoneticPr fontId="1" type="noConversion"/>
  </si>
  <si>
    <t>1、modify MER-032-120GX（POE）/MER-125-30GX（POE） AcquisitionFrameRate calculation formula</t>
    <phoneticPr fontId="1" type="noConversion"/>
  </si>
  <si>
    <t>2018.12.19</t>
    <phoneticPr fontId="1" type="noConversion"/>
  </si>
  <si>
    <t>1.0.25</t>
    <phoneticPr fontId="1" type="noConversion"/>
  </si>
  <si>
    <t>帧率控制值</t>
  </si>
  <si>
    <t>帧率控制</t>
  </si>
  <si>
    <t>最小行消隐</t>
  </si>
  <si>
    <t>触发间隔寄存器</t>
  </si>
  <si>
    <t>1、add MER-630-16GX（POE）</t>
    <phoneticPr fontId="1" type="noConversion"/>
  </si>
  <si>
    <t>1.0.26</t>
    <phoneticPr fontId="1" type="noConversion"/>
  </si>
  <si>
    <t>1、add MER-041-302GX（POE）</t>
    <phoneticPr fontId="1" type="noConversion"/>
  </si>
  <si>
    <t>2018.12.24</t>
    <phoneticPr fontId="1" type="noConversion"/>
  </si>
  <si>
    <t>1.0.27</t>
    <phoneticPr fontId="1" type="noConversion"/>
  </si>
  <si>
    <t>1、modify MER-503-20GX（POE） AcquisitionFrameRate range error, modify MER-041-302GX（POE） AcquisitionFrameRate default value error.</t>
    <phoneticPr fontId="1" type="noConversion"/>
  </si>
  <si>
    <t>2018.12.27</t>
    <phoneticPr fontId="1" type="noConversion"/>
  </si>
  <si>
    <t>1.0.28</t>
    <phoneticPr fontId="1" type="noConversion"/>
  </si>
  <si>
    <t>1、modify MER-032-120GX（POE）/MER-125-30GX（POE） GevSCPD Value may beyond GevSCPDMaxValue,modify MER-201-25GX（POE） AcquisitionFrameRate calculation formula</t>
    <phoneticPr fontId="1" type="noConversion"/>
  </si>
  <si>
    <t>2018.12.28</t>
    <phoneticPr fontId="1" type="noConversion"/>
  </si>
  <si>
    <t>1、modify MER-1520-7GX（POE）/MER-1070-10GX（POE） GevSCPDMaxValue calculation formula.</t>
    <phoneticPr fontId="1" type="noConversion"/>
  </si>
  <si>
    <t>1.0.29</t>
    <phoneticPr fontId="1" type="noConversion"/>
  </si>
  <si>
    <t>2019.01.04</t>
    <phoneticPr fontId="1" type="noConversion"/>
  </si>
  <si>
    <t>1.0.30</t>
    <phoneticPr fontId="1" type="noConversion"/>
  </si>
  <si>
    <t>1、modify MER-032-120GX（POE） calculation formula.</t>
    <phoneticPr fontId="1" type="noConversion"/>
  </si>
  <si>
    <t>2019.01.07</t>
    <phoneticPr fontId="1" type="noConversion"/>
  </si>
  <si>
    <t>1.0.31</t>
    <phoneticPr fontId="1" type="noConversion"/>
  </si>
  <si>
    <t>2019.01.08</t>
    <phoneticPr fontId="1" type="noConversion"/>
  </si>
  <si>
    <t>1.0.32</t>
    <phoneticPr fontId="1" type="noConversion"/>
  </si>
  <si>
    <t>1、modify MER-032-120GX（POE）/MER-125-30GX（POE） BandWithReverse default value.</t>
    <phoneticPr fontId="1" type="noConversion"/>
  </si>
  <si>
    <t>1、modify MER-032-120GX（POE）/MER-125-30GX（POE）BandWithReverse error prompt.</t>
    <phoneticPr fontId="1" type="noConversion"/>
  </si>
  <si>
    <t>2019.01.08</t>
    <phoneticPr fontId="1" type="noConversion"/>
  </si>
  <si>
    <t>1.0.33</t>
    <phoneticPr fontId="1" type="noConversion"/>
  </si>
  <si>
    <t>1、modify MER-041-302GX（POE）ImageBandWidth calculation formula.</t>
    <phoneticPr fontId="1" type="noConversion"/>
  </si>
  <si>
    <t>1、modify MER-125-30GX（POE）GevSCPDMaxValue calculation formula.</t>
    <phoneticPr fontId="1" type="noConversion"/>
  </si>
  <si>
    <t>2019.01.18</t>
    <phoneticPr fontId="1" type="noConversion"/>
  </si>
  <si>
    <t>1.0.34</t>
    <phoneticPr fontId="1" type="noConversion"/>
  </si>
  <si>
    <t>1、modify MER-503-20GX（POE）ExposureTime default value.</t>
    <phoneticPr fontId="1" type="noConversion"/>
  </si>
  <si>
    <t>2019.01.29</t>
    <phoneticPr fontId="1" type="noConversion"/>
  </si>
  <si>
    <t>1.0.35</t>
    <phoneticPr fontId="1" type="noConversion"/>
  </si>
  <si>
    <t>1、modify MER-503-20GX（POE）/MER-630-16GX(POE) GevSCPD .</t>
    <phoneticPr fontId="1" type="noConversion"/>
  </si>
  <si>
    <t>2019.11.26</t>
    <phoneticPr fontId="1" type="noConversion"/>
  </si>
  <si>
    <t>1、modify MER-1070-10GX（POE）GevSCPDMaxValue calculation formula.</t>
    <phoneticPr fontId="1" type="noConversion"/>
  </si>
  <si>
    <t>1.0.36</t>
    <phoneticPr fontId="1" type="noConversion"/>
  </si>
  <si>
    <t>2019.12.13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</si>
</sst>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14"/>
      <color rgb="FFFF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4" tint="-0.249977111117893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1" fillId="0" borderId="0"/>
  </cellStyleXfs>
  <cellXfs count="7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2" borderId="1" xfId="0" applyFont="1" applyFill="1" applyBorder="1" applyProtection="1">
      <alignment vertical="center"/>
    </xf>
    <xf numFmtId="0" fontId="5" fillId="0" borderId="0" xfId="0" applyFont="1">
      <alignment vertical="center"/>
    </xf>
    <xf numFmtId="0" fontId="0" fillId="2" borderId="1" xfId="0" applyFill="1" applyBorder="1" applyProtection="1">
      <alignment vertical="center"/>
    </xf>
    <xf numFmtId="0" fontId="0" fillId="0" borderId="0" xfId="0" applyProtection="1">
      <alignment vertical="center"/>
    </xf>
    <xf numFmtId="0" fontId="3" fillId="2" borderId="1" xfId="0" applyFont="1" applyFill="1" applyBorder="1" applyProtection="1">
      <alignment vertical="center"/>
    </xf>
    <xf numFmtId="0" fontId="4" fillId="2" borderId="1" xfId="0" applyFont="1" applyFill="1" applyBorder="1" applyProtection="1">
      <alignment vertical="center"/>
    </xf>
    <xf numFmtId="0" fontId="0" fillId="2" borderId="1" xfId="0" applyFill="1" applyBorder="1" applyAlignment="1" applyProtection="1">
      <alignment vertical="center" wrapText="1"/>
    </xf>
    <xf numFmtId="0" fontId="6" fillId="2" borderId="1" xfId="0" applyFont="1" applyFill="1" applyBorder="1" applyProtection="1">
      <alignment vertical="center"/>
    </xf>
    <xf numFmtId="0" fontId="7" fillId="2" borderId="1" xfId="0" applyFont="1" applyFill="1" applyBorder="1" applyProtection="1">
      <alignment vertical="center"/>
    </xf>
    <xf numFmtId="0" fontId="8" fillId="2" borderId="1" xfId="0" applyFont="1" applyFill="1" applyBorder="1" applyProtection="1">
      <alignment vertical="center"/>
    </xf>
    <xf numFmtId="0" fontId="2" fillId="2" borderId="1" xfId="1" applyFont="1" applyFill="1" applyBorder="1" applyProtection="1">
      <alignment vertical="center"/>
    </xf>
    <xf numFmtId="0" fontId="2" fillId="2" borderId="1" xfId="1" applyFont="1" applyFill="1" applyBorder="1" applyProtection="1">
      <alignment vertical="center"/>
      <protection locked="0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Protection="1">
      <alignment vertical="center"/>
    </xf>
    <xf numFmtId="0" fontId="4" fillId="2" borderId="1" xfId="0" applyFont="1" applyFill="1" applyBorder="1" applyProtection="1">
      <alignment vertical="center"/>
    </xf>
    <xf numFmtId="0" fontId="0" fillId="2" borderId="1" xfId="0" applyFill="1" applyBorder="1" applyAlignment="1" applyProtection="1">
      <alignment vertical="center" wrapText="1"/>
    </xf>
    <xf numFmtId="0" fontId="2" fillId="2" borderId="1" xfId="0" applyFont="1" applyFill="1" applyBorder="1" applyProtection="1">
      <alignment vertical="center"/>
      <protection locked="0"/>
    </xf>
    <xf numFmtId="0" fontId="2" fillId="2" borderId="1" xfId="0" applyFont="1" applyFill="1" applyBorder="1" applyProtection="1">
      <alignment vertical="center"/>
    </xf>
    <xf numFmtId="0" fontId="0" fillId="2" borderId="1" xfId="0" applyFill="1" applyBorder="1" applyProtection="1">
      <alignment vertical="center"/>
    </xf>
    <xf numFmtId="0" fontId="6" fillId="2" borderId="1" xfId="0" applyFont="1" applyFill="1" applyBorder="1" applyProtection="1">
      <alignment vertical="center"/>
    </xf>
    <xf numFmtId="0" fontId="2" fillId="2" borderId="1" xfId="1" applyFont="1" applyFill="1" applyBorder="1" applyProtection="1">
      <alignment vertical="center"/>
    </xf>
    <xf numFmtId="0" fontId="2" fillId="2" borderId="1" xfId="1" applyFont="1" applyFill="1" applyBorder="1" applyProtection="1">
      <alignment vertical="center"/>
      <protection locked="0"/>
    </xf>
    <xf numFmtId="0" fontId="9" fillId="2" borderId="1" xfId="1" applyFill="1" applyBorder="1" applyAlignment="1" applyProtection="1">
      <alignment vertical="center" wrapText="1"/>
    </xf>
    <xf numFmtId="0" fontId="9" fillId="2" borderId="1" xfId="1" applyFill="1" applyBorder="1" applyProtection="1">
      <alignment vertical="center"/>
    </xf>
    <xf numFmtId="0" fontId="6" fillId="2" borderId="1" xfId="1" applyFont="1" applyFill="1" applyBorder="1" applyProtection="1">
      <alignment vertical="center"/>
    </xf>
    <xf numFmtId="0" fontId="2" fillId="2" borderId="1" xfId="0" applyFont="1" applyFill="1" applyBorder="1" applyAlignment="1" applyProtection="1">
      <alignment horizontal="right" vertical="center"/>
      <protection locked="0"/>
    </xf>
    <xf numFmtId="0" fontId="0" fillId="0" borderId="1" xfId="0" applyFill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0" fontId="0" fillId="0" borderId="0" xfId="0" applyAlignment="1"/>
    <xf numFmtId="0" fontId="11" fillId="0" borderId="0" xfId="2"/>
    <xf numFmtId="0" fontId="11" fillId="0" borderId="0" xfId="2" applyAlignment="1">
      <alignment vertical="center"/>
    </xf>
    <xf numFmtId="0" fontId="6" fillId="4" borderId="1" xfId="2" applyFont="1" applyFill="1" applyBorder="1" applyAlignment="1" applyProtection="1">
      <alignment vertical="center"/>
    </xf>
    <xf numFmtId="0" fontId="11" fillId="4" borderId="1" xfId="2" applyFill="1" applyBorder="1" applyAlignment="1" applyProtection="1">
      <alignment vertical="center"/>
    </xf>
    <xf numFmtId="0" fontId="11" fillId="4" borderId="1" xfId="2" applyFill="1" applyBorder="1" applyAlignment="1" applyProtection="1">
      <alignment horizontal="right" vertical="center"/>
    </xf>
    <xf numFmtId="0" fontId="11" fillId="4" borderId="1" xfId="2" applyFill="1" applyBorder="1" applyAlignment="1" applyProtection="1">
      <alignment vertical="center" wrapText="1"/>
    </xf>
    <xf numFmtId="0" fontId="2" fillId="4" borderId="1" xfId="2" applyFont="1" applyFill="1" applyBorder="1" applyAlignment="1" applyProtection="1">
      <alignment vertical="center"/>
    </xf>
    <xf numFmtId="0" fontId="2" fillId="4" borderId="1" xfId="2" applyFont="1" applyFill="1" applyBorder="1" applyAlignment="1" applyProtection="1">
      <alignment vertical="center"/>
      <protection locked="0"/>
    </xf>
    <xf numFmtId="0" fontId="11" fillId="4" borderId="1" xfId="2" applyFont="1" applyFill="1" applyBorder="1" applyAlignment="1" applyProtection="1">
      <alignment vertical="center"/>
    </xf>
    <xf numFmtId="0" fontId="12" fillId="4" borderId="1" xfId="2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2" borderId="1" xfId="0" applyFont="1" applyFill="1" applyBorder="1" applyProtection="1">
      <alignment vertical="center"/>
    </xf>
    <xf numFmtId="0" fontId="0" fillId="2" borderId="1" xfId="0" applyFill="1" applyBorder="1" applyProtection="1">
      <alignment vertical="center"/>
    </xf>
    <xf numFmtId="0" fontId="0" fillId="0" borderId="0" xfId="0" applyProtection="1">
      <alignment vertical="center"/>
    </xf>
    <xf numFmtId="0" fontId="6" fillId="2" borderId="1" xfId="0" applyFont="1" applyFill="1" applyBorder="1" applyProtection="1">
      <alignment vertical="center"/>
    </xf>
    <xf numFmtId="0" fontId="2" fillId="2" borderId="1" xfId="1" applyFont="1" applyFill="1" applyBorder="1" applyProtection="1">
      <alignment vertical="center"/>
    </xf>
    <xf numFmtId="0" fontId="2" fillId="2" borderId="1" xfId="1" applyFont="1" applyFill="1" applyBorder="1" applyProtection="1">
      <alignment vertical="center"/>
      <protection locked="0"/>
    </xf>
    <xf numFmtId="0" fontId="9" fillId="2" borderId="1" xfId="1" applyFill="1" applyBorder="1" applyAlignment="1" applyProtection="1">
      <alignment vertical="center" wrapText="1"/>
    </xf>
    <xf numFmtId="0" fontId="9" fillId="2" borderId="1" xfId="1" applyFill="1" applyBorder="1" applyProtection="1">
      <alignment vertical="center"/>
    </xf>
    <xf numFmtId="0" fontId="6" fillId="2" borderId="1" xfId="1" applyFont="1" applyFill="1" applyBorder="1" applyProtection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2" borderId="1" xfId="0" applyFont="1" applyFill="1" applyBorder="1" applyProtection="1">
      <alignment vertical="center"/>
    </xf>
    <xf numFmtId="0" fontId="2" fillId="4" borderId="1" xfId="2" applyFont="1" applyFill="1" applyBorder="1" applyAlignment="1" applyProtection="1">
      <alignment vertical="center"/>
    </xf>
    <xf numFmtId="0" fontId="2" fillId="4" borderId="1" xfId="2" applyFont="1" applyFill="1" applyBorder="1" applyAlignment="1" applyProtection="1">
      <alignment vertical="center"/>
      <protection locked="0"/>
    </xf>
    <xf numFmtId="0" fontId="11" fillId="0" borderId="0" xfId="2" applyAlignment="1">
      <alignment vertical="center"/>
    </xf>
    <xf numFmtId="0" fontId="11" fillId="4" borderId="1" xfId="2" applyFill="1" applyBorder="1" applyAlignment="1" applyProtection="1">
      <alignment vertical="center" wrapText="1"/>
    </xf>
    <xf numFmtId="0" fontId="11" fillId="4" borderId="1" xfId="2" applyFill="1" applyBorder="1" applyAlignment="1" applyProtection="1">
      <alignment vertical="center"/>
    </xf>
    <xf numFmtId="0" fontId="12" fillId="4" borderId="1" xfId="2" applyFont="1" applyFill="1" applyBorder="1" applyAlignment="1" applyProtection="1">
      <alignment vertical="center"/>
    </xf>
    <xf numFmtId="0" fontId="11" fillId="4" borderId="1" xfId="2" applyFont="1" applyFill="1" applyBorder="1" applyAlignment="1" applyProtection="1">
      <alignment vertical="center"/>
    </xf>
    <xf numFmtId="0" fontId="11" fillId="4" borderId="1" xfId="2" applyFill="1" applyBorder="1" applyAlignment="1" applyProtection="1">
      <alignment horizontal="right" vertical="center"/>
    </xf>
    <xf numFmtId="0" fontId="6" fillId="4" borderId="1" xfId="2" applyFont="1" applyFill="1" applyBorder="1" applyAlignment="1" applyProtection="1">
      <alignment vertical="center"/>
    </xf>
    <xf numFmtId="0" fontId="11" fillId="0" borderId="0" xfId="2"/>
  </cellXfs>
  <cellStyles count="3">
    <cellStyle name="常规" xfId="0" builtinId="0"/>
    <cellStyle name="常规 2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8"/>
  <sheetViews>
    <sheetView tabSelected="1" topLeftCell="A18" workbookViewId="0">
      <selection activeCell="C38" sqref="C38"/>
    </sheetView>
  </sheetViews>
  <sheetFormatPr defaultRowHeight="13.5" x14ac:dyDescent="0.15"/>
  <cols>
    <col min="1" max="1" width="11.875" customWidth="1"/>
    <col min="2" max="2" width="77.625" customWidth="1"/>
    <col min="3" max="3" width="13.625" customWidth="1"/>
  </cols>
  <sheetData>
    <row r="1" spans="1:3" ht="13.5" customHeight="1" x14ac:dyDescent="0.15">
      <c r="A1" s="16" t="s">
        <v>309</v>
      </c>
      <c r="B1" s="16" t="s">
        <v>310</v>
      </c>
      <c r="C1" s="16" t="s">
        <v>311</v>
      </c>
    </row>
    <row r="2" spans="1:3" ht="14.25" customHeight="1" x14ac:dyDescent="0.15">
      <c r="A2" s="17" t="s">
        <v>80</v>
      </c>
      <c r="B2" s="18" t="s">
        <v>313</v>
      </c>
      <c r="C2" s="17" t="s">
        <v>312</v>
      </c>
    </row>
    <row r="3" spans="1:3" ht="59.25" customHeight="1" x14ac:dyDescent="0.15">
      <c r="A3" s="17" t="s">
        <v>322</v>
      </c>
      <c r="B3" s="18" t="s">
        <v>802</v>
      </c>
      <c r="C3" s="17" t="s">
        <v>323</v>
      </c>
    </row>
    <row r="4" spans="1:3" ht="12.75" customHeight="1" x14ac:dyDescent="0.15">
      <c r="A4" s="17" t="s">
        <v>324</v>
      </c>
      <c r="B4" s="18" t="s">
        <v>464</v>
      </c>
      <c r="C4" s="17" t="s">
        <v>325</v>
      </c>
    </row>
    <row r="5" spans="1:3" ht="12.75" customHeight="1" x14ac:dyDescent="0.15">
      <c r="A5" s="17" t="s">
        <v>416</v>
      </c>
      <c r="B5" s="18" t="s">
        <v>568</v>
      </c>
      <c r="C5" s="17" t="s">
        <v>417</v>
      </c>
    </row>
    <row r="6" spans="1:3" ht="12.75" customHeight="1" x14ac:dyDescent="0.15">
      <c r="A6" s="17" t="s">
        <v>463</v>
      </c>
      <c r="B6" s="18" t="s">
        <v>465</v>
      </c>
      <c r="C6" s="17" t="s">
        <v>466</v>
      </c>
    </row>
    <row r="7" spans="1:3" ht="28.5" customHeight="1" x14ac:dyDescent="0.15">
      <c r="A7" s="17" t="s">
        <v>564</v>
      </c>
      <c r="B7" s="18" t="s">
        <v>565</v>
      </c>
      <c r="C7" s="17" t="s">
        <v>566</v>
      </c>
    </row>
    <row r="8" spans="1:3" ht="18" customHeight="1" x14ac:dyDescent="0.15">
      <c r="A8" s="17" t="s">
        <v>567</v>
      </c>
      <c r="B8" s="18" t="s">
        <v>570</v>
      </c>
      <c r="C8" s="32" t="s">
        <v>569</v>
      </c>
    </row>
    <row r="9" spans="1:3" ht="18" customHeight="1" x14ac:dyDescent="0.15">
      <c r="A9" s="17" t="s">
        <v>571</v>
      </c>
      <c r="B9" s="18" t="s">
        <v>572</v>
      </c>
      <c r="C9" s="32" t="s">
        <v>573</v>
      </c>
    </row>
    <row r="10" spans="1:3" ht="12.75" customHeight="1" x14ac:dyDescent="0.15">
      <c r="A10" s="32" t="s">
        <v>764</v>
      </c>
      <c r="B10" s="18" t="s">
        <v>765</v>
      </c>
      <c r="C10" s="32" t="s">
        <v>766</v>
      </c>
    </row>
    <row r="11" spans="1:3" ht="12.75" customHeight="1" x14ac:dyDescent="0.15">
      <c r="A11" s="32" t="s">
        <v>767</v>
      </c>
      <c r="B11" s="18" t="s">
        <v>806</v>
      </c>
      <c r="C11" s="32" t="s">
        <v>768</v>
      </c>
    </row>
    <row r="12" spans="1:3" ht="12.75" customHeight="1" x14ac:dyDescent="0.15">
      <c r="A12" s="17" t="s">
        <v>769</v>
      </c>
      <c r="B12" s="18" t="s">
        <v>770</v>
      </c>
      <c r="C12" s="32" t="s">
        <v>771</v>
      </c>
    </row>
    <row r="13" spans="1:3" ht="30" customHeight="1" x14ac:dyDescent="0.15">
      <c r="A13" s="32" t="s">
        <v>772</v>
      </c>
      <c r="B13" s="18" t="s">
        <v>774</v>
      </c>
      <c r="C13" s="32" t="s">
        <v>773</v>
      </c>
    </row>
    <row r="14" spans="1:3" ht="12.75" customHeight="1" x14ac:dyDescent="0.15">
      <c r="A14" s="32" t="s">
        <v>801</v>
      </c>
      <c r="B14" s="18" t="s">
        <v>803</v>
      </c>
      <c r="C14" s="32" t="s">
        <v>773</v>
      </c>
    </row>
    <row r="15" spans="1:3" ht="12.75" customHeight="1" x14ac:dyDescent="0.15">
      <c r="A15" s="32" t="s">
        <v>805</v>
      </c>
      <c r="B15" s="18" t="s">
        <v>922</v>
      </c>
      <c r="C15" s="32" t="s">
        <v>807</v>
      </c>
    </row>
    <row r="16" spans="1:3" ht="26.25" customHeight="1" x14ac:dyDescent="0.15">
      <c r="A16" s="32" t="s">
        <v>808</v>
      </c>
      <c r="B16" s="18" t="s">
        <v>809</v>
      </c>
      <c r="C16" s="32" t="s">
        <v>810</v>
      </c>
    </row>
    <row r="17" spans="1:3" ht="12.75" customHeight="1" x14ac:dyDescent="0.15">
      <c r="A17" s="32" t="s">
        <v>830</v>
      </c>
      <c r="B17" s="18" t="s">
        <v>811</v>
      </c>
      <c r="C17" s="32" t="s">
        <v>810</v>
      </c>
    </row>
    <row r="18" spans="1:3" x14ac:dyDescent="0.15">
      <c r="A18" s="32" t="s">
        <v>831</v>
      </c>
      <c r="B18" s="18" t="s">
        <v>832</v>
      </c>
      <c r="C18" s="32" t="s">
        <v>833</v>
      </c>
    </row>
    <row r="19" spans="1:3" x14ac:dyDescent="0.15">
      <c r="A19" s="32" t="s">
        <v>837</v>
      </c>
      <c r="B19" s="18" t="s">
        <v>838</v>
      </c>
      <c r="C19" s="32" t="s">
        <v>836</v>
      </c>
    </row>
    <row r="20" spans="1:3" x14ac:dyDescent="0.15">
      <c r="A20" s="66" t="s">
        <v>844</v>
      </c>
      <c r="B20" s="65" t="s">
        <v>845</v>
      </c>
      <c r="C20" s="66" t="s">
        <v>846</v>
      </c>
    </row>
    <row r="21" spans="1:3" ht="27" x14ac:dyDescent="0.15">
      <c r="A21" s="32" t="s">
        <v>843</v>
      </c>
      <c r="B21" s="18" t="s">
        <v>898</v>
      </c>
      <c r="C21" s="32" t="s">
        <v>842</v>
      </c>
    </row>
    <row r="22" spans="1:3" ht="27" x14ac:dyDescent="0.15">
      <c r="A22" s="66" t="s">
        <v>896</v>
      </c>
      <c r="B22" s="65" t="s">
        <v>899</v>
      </c>
      <c r="C22" s="66" t="s">
        <v>897</v>
      </c>
    </row>
    <row r="23" spans="1:3" x14ac:dyDescent="0.15">
      <c r="A23" s="66" t="s">
        <v>902</v>
      </c>
      <c r="B23" s="65" t="s">
        <v>900</v>
      </c>
      <c r="C23" s="66" t="s">
        <v>901</v>
      </c>
    </row>
    <row r="24" spans="1:3" x14ac:dyDescent="0.15">
      <c r="A24" s="66" t="s">
        <v>904</v>
      </c>
      <c r="B24" s="65" t="s">
        <v>908</v>
      </c>
      <c r="C24" s="66" t="s">
        <v>906</v>
      </c>
    </row>
    <row r="25" spans="1:3" ht="27" x14ac:dyDescent="0.15">
      <c r="A25" s="65" t="s">
        <v>907</v>
      </c>
      <c r="B25" s="65" t="s">
        <v>909</v>
      </c>
      <c r="C25" s="65" t="s">
        <v>910</v>
      </c>
    </row>
    <row r="26" spans="1:3" ht="27" x14ac:dyDescent="0.15">
      <c r="A26" s="65" t="s">
        <v>911</v>
      </c>
      <c r="B26" s="65" t="s">
        <v>915</v>
      </c>
      <c r="C26" s="65" t="s">
        <v>912</v>
      </c>
    </row>
    <row r="27" spans="1:3" ht="40.5" x14ac:dyDescent="0.15">
      <c r="A27" s="65" t="s">
        <v>917</v>
      </c>
      <c r="B27" s="65" t="s">
        <v>930</v>
      </c>
      <c r="C27" s="65" t="s">
        <v>916</v>
      </c>
    </row>
    <row r="28" spans="1:3" x14ac:dyDescent="0.15">
      <c r="A28" s="65" t="s">
        <v>923</v>
      </c>
      <c r="B28" s="65" t="s">
        <v>924</v>
      </c>
      <c r="C28" s="65" t="s">
        <v>925</v>
      </c>
    </row>
    <row r="29" spans="1:3" ht="27" x14ac:dyDescent="0.15">
      <c r="A29" s="65" t="s">
        <v>926</v>
      </c>
      <c r="B29" s="65" t="s">
        <v>927</v>
      </c>
      <c r="C29" s="65" t="s">
        <v>928</v>
      </c>
    </row>
    <row r="30" spans="1:3" x14ac:dyDescent="0.15">
      <c r="A30" s="65" t="s">
        <v>929</v>
      </c>
      <c r="B30" s="65" t="s">
        <v>945</v>
      </c>
      <c r="C30" s="65" t="s">
        <v>931</v>
      </c>
    </row>
    <row r="31" spans="1:3" ht="27" x14ac:dyDescent="0.15">
      <c r="A31" s="65" t="s">
        <v>933</v>
      </c>
      <c r="B31" s="65" t="s">
        <v>932</v>
      </c>
      <c r="C31" s="65" t="s">
        <v>934</v>
      </c>
    </row>
    <row r="32" spans="1:3" x14ac:dyDescent="0.15">
      <c r="A32" s="65" t="s">
        <v>935</v>
      </c>
      <c r="B32" s="65" t="s">
        <v>936</v>
      </c>
      <c r="C32" s="65" t="s">
        <v>937</v>
      </c>
    </row>
    <row r="33" spans="1:3" ht="27" x14ac:dyDescent="0.15">
      <c r="A33" s="65" t="s">
        <v>938</v>
      </c>
      <c r="B33" s="65" t="s">
        <v>941</v>
      </c>
      <c r="C33" s="65" t="s">
        <v>939</v>
      </c>
    </row>
    <row r="34" spans="1:3" ht="27" x14ac:dyDescent="0.15">
      <c r="A34" s="65" t="s">
        <v>940</v>
      </c>
      <c r="B34" s="65" t="s">
        <v>942</v>
      </c>
      <c r="C34" s="65" t="s">
        <v>943</v>
      </c>
    </row>
    <row r="35" spans="1:3" x14ac:dyDescent="0.15">
      <c r="A35" s="65" t="s">
        <v>944</v>
      </c>
      <c r="B35" s="65" t="s">
        <v>946</v>
      </c>
      <c r="C35" s="65" t="s">
        <v>947</v>
      </c>
    </row>
    <row r="36" spans="1:3" x14ac:dyDescent="0.15">
      <c r="A36" s="65" t="s">
        <v>948</v>
      </c>
      <c r="B36" s="65" t="s">
        <v>949</v>
      </c>
      <c r="C36" s="65" t="s">
        <v>950</v>
      </c>
    </row>
    <row r="37" spans="1:3" x14ac:dyDescent="0.15">
      <c r="A37" s="65" t="s">
        <v>951</v>
      </c>
      <c r="B37" s="65" t="s">
        <v>952</v>
      </c>
      <c r="C37" s="65" t="s">
        <v>953</v>
      </c>
    </row>
    <row r="38" spans="1:3" x14ac:dyDescent="0.15">
      <c r="A38" s="65" t="s">
        <v>955</v>
      </c>
      <c r="B38" s="65" t="s">
        <v>954</v>
      </c>
      <c r="C38" s="65" t="s">
        <v>956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B1" workbookViewId="0">
      <selection activeCell="B9" sqref="B9"/>
    </sheetView>
  </sheetViews>
  <sheetFormatPr defaultRowHeight="13.5" x14ac:dyDescent="0.15"/>
  <cols>
    <col min="1" max="1" width="16.875" style="53" hidden="1" customWidth="1"/>
    <col min="2" max="2" width="28.125" style="53" customWidth="1"/>
    <col min="3" max="3" width="18.875" style="53" customWidth="1"/>
    <col min="4" max="16384" width="9" style="53"/>
  </cols>
  <sheetData>
    <row r="1" spans="1:3" s="55" customFormat="1" x14ac:dyDescent="0.15">
      <c r="A1" s="60" t="s">
        <v>762</v>
      </c>
      <c r="B1" s="60"/>
      <c r="C1" s="61"/>
    </row>
    <row r="2" spans="1:3" s="55" customFormat="1" x14ac:dyDescent="0.15">
      <c r="A2" s="60" t="s">
        <v>761</v>
      </c>
      <c r="B2" s="60" t="s">
        <v>722</v>
      </c>
      <c r="C2" s="54">
        <v>1280</v>
      </c>
    </row>
    <row r="3" spans="1:3" s="55" customFormat="1" x14ac:dyDescent="0.15">
      <c r="A3" s="60" t="s">
        <v>760</v>
      </c>
      <c r="B3" s="60" t="s">
        <v>721</v>
      </c>
      <c r="C3" s="54">
        <v>1024</v>
      </c>
    </row>
    <row r="4" spans="1:3" s="55" customFormat="1" x14ac:dyDescent="0.15">
      <c r="A4" s="60" t="s">
        <v>759</v>
      </c>
      <c r="B4" s="60" t="s">
        <v>720</v>
      </c>
      <c r="C4" s="54">
        <v>10000</v>
      </c>
    </row>
    <row r="5" spans="1:3" s="55" customFormat="1" hidden="1" x14ac:dyDescent="0.15">
      <c r="A5" s="60" t="s">
        <v>847</v>
      </c>
      <c r="B5" s="60" t="s">
        <v>848</v>
      </c>
      <c r="C5" s="54">
        <v>0</v>
      </c>
    </row>
    <row r="6" spans="1:3" s="55" customFormat="1" x14ac:dyDescent="0.15">
      <c r="A6" s="60" t="s">
        <v>758</v>
      </c>
      <c r="B6" s="60" t="s">
        <v>849</v>
      </c>
      <c r="C6" s="54">
        <v>8</v>
      </c>
    </row>
    <row r="7" spans="1:3" s="55" customFormat="1" x14ac:dyDescent="0.15">
      <c r="A7" s="60" t="s">
        <v>757</v>
      </c>
      <c r="B7" s="60" t="s">
        <v>11</v>
      </c>
      <c r="C7" s="54">
        <v>1500</v>
      </c>
    </row>
    <row r="8" spans="1:3" s="55" customFormat="1" x14ac:dyDescent="0.15">
      <c r="A8" s="60" t="s">
        <v>756</v>
      </c>
      <c r="B8" s="60" t="s">
        <v>12</v>
      </c>
      <c r="C8" s="54">
        <v>0</v>
      </c>
    </row>
    <row r="9" spans="1:3" s="55" customFormat="1" x14ac:dyDescent="0.15">
      <c r="A9" s="60" t="s">
        <v>755</v>
      </c>
      <c r="B9" s="60" t="s">
        <v>718</v>
      </c>
      <c r="C9" s="56">
        <f>C71</f>
        <v>180000</v>
      </c>
    </row>
    <row r="10" spans="1:3" s="55" customFormat="1" x14ac:dyDescent="0.15">
      <c r="A10" s="60" t="s">
        <v>750</v>
      </c>
      <c r="B10" s="60" t="s">
        <v>316</v>
      </c>
      <c r="C10" s="54">
        <v>75</v>
      </c>
    </row>
    <row r="11" spans="1:3" s="55" customFormat="1" x14ac:dyDescent="0.15">
      <c r="A11" s="60" t="s">
        <v>749</v>
      </c>
      <c r="B11" s="60" t="s">
        <v>318</v>
      </c>
      <c r="C11" s="54">
        <v>0</v>
      </c>
    </row>
    <row r="12" spans="1:3" s="55" customFormat="1" x14ac:dyDescent="0.15">
      <c r="A12" s="60" t="s">
        <v>754</v>
      </c>
      <c r="B12" s="60" t="s">
        <v>850</v>
      </c>
      <c r="C12" s="54">
        <v>1000</v>
      </c>
    </row>
    <row r="13" spans="1:3" s="58" customFormat="1" x14ac:dyDescent="0.15">
      <c r="A13" s="60" t="s">
        <v>753</v>
      </c>
      <c r="B13" s="60" t="s">
        <v>28</v>
      </c>
      <c r="C13" s="54">
        <v>10</v>
      </c>
    </row>
    <row r="14" spans="1:3" s="58" customFormat="1" ht="14.25" customHeight="1" x14ac:dyDescent="0.15">
      <c r="A14" s="60" t="s">
        <v>752</v>
      </c>
      <c r="B14" s="60" t="s">
        <v>716</v>
      </c>
      <c r="C14" s="56">
        <f>C74</f>
        <v>99</v>
      </c>
    </row>
    <row r="15" spans="1:3" s="58" customFormat="1" ht="14.25" customHeight="1" x14ac:dyDescent="0.15">
      <c r="A15" s="60"/>
      <c r="B15" s="60"/>
      <c r="C15" s="56"/>
    </row>
    <row r="16" spans="1:3" x14ac:dyDescent="0.15">
      <c r="A16" s="60"/>
      <c r="B16" s="60"/>
      <c r="C16" s="56"/>
    </row>
    <row r="17" spans="1:3" x14ac:dyDescent="0.15">
      <c r="A17" s="62"/>
      <c r="B17" s="60"/>
      <c r="C17" s="56"/>
    </row>
    <row r="18" spans="1:3" s="58" customFormat="1" hidden="1" x14ac:dyDescent="0.15">
      <c r="A18" s="62"/>
      <c r="B18" s="63" t="s">
        <v>851</v>
      </c>
      <c r="C18" s="57">
        <v>2</v>
      </c>
    </row>
    <row r="19" spans="1:3" s="58" customFormat="1" hidden="1" x14ac:dyDescent="0.15">
      <c r="A19" s="62" t="s">
        <v>852</v>
      </c>
      <c r="B19" s="63" t="s">
        <v>853</v>
      </c>
      <c r="C19" s="57">
        <v>72</v>
      </c>
    </row>
    <row r="20" spans="1:3" s="58" customFormat="1" hidden="1" x14ac:dyDescent="0.15">
      <c r="A20" s="62" t="s">
        <v>854</v>
      </c>
      <c r="B20" s="63" t="s">
        <v>855</v>
      </c>
      <c r="C20" s="57">
        <v>6</v>
      </c>
    </row>
    <row r="21" spans="1:3" s="58" customFormat="1" hidden="1" x14ac:dyDescent="0.15">
      <c r="A21" s="62" t="s">
        <v>856</v>
      </c>
      <c r="B21" s="63" t="s">
        <v>857</v>
      </c>
      <c r="C21" s="57">
        <v>13</v>
      </c>
    </row>
    <row r="22" spans="1:3" s="58" customFormat="1" hidden="1" x14ac:dyDescent="0.15">
      <c r="A22" s="62" t="s">
        <v>858</v>
      </c>
      <c r="B22" s="63" t="s">
        <v>859</v>
      </c>
      <c r="C22" s="57">
        <v>4</v>
      </c>
    </row>
    <row r="23" spans="1:3" s="58" customFormat="1" hidden="1" x14ac:dyDescent="0.15">
      <c r="A23" s="62" t="s">
        <v>860</v>
      </c>
      <c r="B23" s="63" t="s">
        <v>861</v>
      </c>
      <c r="C23" s="57">
        <v>86</v>
      </c>
    </row>
    <row r="24" spans="1:3" s="58" customFormat="1" hidden="1" x14ac:dyDescent="0.15">
      <c r="A24" s="62" t="s">
        <v>862</v>
      </c>
      <c r="B24" s="63" t="s">
        <v>863</v>
      </c>
      <c r="C24" s="57">
        <v>86</v>
      </c>
    </row>
    <row r="25" spans="1:3" s="58" customFormat="1" hidden="1" x14ac:dyDescent="0.15">
      <c r="A25" s="62" t="s">
        <v>864</v>
      </c>
      <c r="B25" s="63" t="s">
        <v>865</v>
      </c>
      <c r="C25" s="57">
        <v>40722</v>
      </c>
    </row>
    <row r="26" spans="1:3" s="58" customFormat="1" hidden="1" x14ac:dyDescent="0.15">
      <c r="A26" s="62" t="s">
        <v>866</v>
      </c>
      <c r="B26" s="63" t="s">
        <v>867</v>
      </c>
      <c r="C26" s="57">
        <v>3194</v>
      </c>
    </row>
    <row r="27" spans="1:3" s="58" customFormat="1" ht="27" hidden="1" x14ac:dyDescent="0.15">
      <c r="A27" s="62" t="s">
        <v>868</v>
      </c>
      <c r="B27" s="63" t="s">
        <v>869</v>
      </c>
      <c r="C27" s="57">
        <v>10</v>
      </c>
    </row>
    <row r="28" spans="1:3" s="58" customFormat="1" hidden="1" x14ac:dyDescent="0.15">
      <c r="A28" s="62" t="s">
        <v>870</v>
      </c>
      <c r="B28" s="63" t="s">
        <v>871</v>
      </c>
      <c r="C28" s="57">
        <v>10</v>
      </c>
    </row>
    <row r="29" spans="1:3" s="58" customFormat="1" ht="27" hidden="1" x14ac:dyDescent="0.15">
      <c r="A29" s="62" t="s">
        <v>868</v>
      </c>
      <c r="B29" s="63" t="s">
        <v>872</v>
      </c>
      <c r="C29" s="57">
        <v>2</v>
      </c>
    </row>
    <row r="30" spans="1:3" s="58" customFormat="1" hidden="1" x14ac:dyDescent="0.15">
      <c r="A30" s="62" t="s">
        <v>870</v>
      </c>
      <c r="B30" s="63" t="s">
        <v>873</v>
      </c>
      <c r="C30" s="57">
        <v>2</v>
      </c>
    </row>
    <row r="31" spans="1:3" s="58" customFormat="1" hidden="1" x14ac:dyDescent="0.15">
      <c r="A31" s="62" t="s">
        <v>874</v>
      </c>
      <c r="B31" s="63" t="s">
        <v>875</v>
      </c>
      <c r="C31" s="57">
        <v>0</v>
      </c>
    </row>
    <row r="32" spans="1:3" s="58" customFormat="1" ht="27" hidden="1" x14ac:dyDescent="0.15">
      <c r="A32" s="62" t="s">
        <v>876</v>
      </c>
      <c r="B32" s="63" t="s">
        <v>877</v>
      </c>
      <c r="C32" s="57">
        <v>8</v>
      </c>
    </row>
    <row r="33" spans="1:3" s="58" customFormat="1" hidden="1" x14ac:dyDescent="0.15">
      <c r="A33" s="62" t="s">
        <v>878</v>
      </c>
      <c r="B33" s="63" t="s">
        <v>512</v>
      </c>
      <c r="C33" s="57">
        <v>984</v>
      </c>
    </row>
    <row r="34" spans="1:3" s="58" customFormat="1" hidden="1" x14ac:dyDescent="0.15">
      <c r="A34" s="62" t="s">
        <v>879</v>
      </c>
      <c r="B34" s="63" t="s">
        <v>880</v>
      </c>
      <c r="C34" s="57">
        <v>40000</v>
      </c>
    </row>
    <row r="35" spans="1:3" s="58" customFormat="1" hidden="1" x14ac:dyDescent="0.15">
      <c r="A35" s="63" t="s">
        <v>204</v>
      </c>
      <c r="B35" s="63"/>
      <c r="C35" s="57">
        <v>1280</v>
      </c>
    </row>
    <row r="36" spans="1:3" hidden="1" x14ac:dyDescent="0.15">
      <c r="A36" s="62" t="s">
        <v>881</v>
      </c>
      <c r="B36" s="63" t="s">
        <v>882</v>
      </c>
      <c r="C36" s="57">
        <f>ROUNDUP((C24+C35/C18+C28+C31)*1000/C19,0)</f>
        <v>10223</v>
      </c>
    </row>
    <row r="37" spans="1:3" hidden="1" x14ac:dyDescent="0.15">
      <c r="A37" s="62" t="s">
        <v>883</v>
      </c>
      <c r="B37" s="63" t="s">
        <v>884</v>
      </c>
      <c r="C37" s="57">
        <f>ROUNDUP((C23+C2/C18+C27+C31)*1000/C19,0)</f>
        <v>10223</v>
      </c>
    </row>
    <row r="38" spans="1:3" hidden="1" x14ac:dyDescent="0.15">
      <c r="A38" s="62" t="s">
        <v>294</v>
      </c>
      <c r="B38" s="63" t="s">
        <v>885</v>
      </c>
      <c r="C38" s="57">
        <f>C20*C36</f>
        <v>61338</v>
      </c>
    </row>
    <row r="39" spans="1:3" hidden="1" x14ac:dyDescent="0.15">
      <c r="A39" s="62" t="s">
        <v>886</v>
      </c>
      <c r="B39" s="63" t="s">
        <v>887</v>
      </c>
      <c r="C39" s="57">
        <f>C3*C37</f>
        <v>10468352</v>
      </c>
    </row>
    <row r="40" spans="1:3" hidden="1" x14ac:dyDescent="0.15">
      <c r="A40" s="62" t="s">
        <v>298</v>
      </c>
      <c r="B40" s="63" t="s">
        <v>888</v>
      </c>
      <c r="C40" s="57">
        <f>C21*C36</f>
        <v>132899</v>
      </c>
    </row>
    <row r="41" spans="1:3" ht="27" hidden="1" x14ac:dyDescent="0.15">
      <c r="A41" s="62" t="s">
        <v>889</v>
      </c>
      <c r="B41" s="63" t="s">
        <v>890</v>
      </c>
      <c r="C41" s="57">
        <f>C22*C36</f>
        <v>40892</v>
      </c>
    </row>
    <row r="42" spans="1:3" hidden="1" x14ac:dyDescent="0.15">
      <c r="A42" s="62" t="s">
        <v>891</v>
      </c>
      <c r="B42" s="63"/>
      <c r="C42" s="57">
        <f>C10*10</f>
        <v>750</v>
      </c>
    </row>
    <row r="43" spans="1:3" hidden="1" x14ac:dyDescent="0.15">
      <c r="A43" s="62" t="s">
        <v>738</v>
      </c>
      <c r="B43" s="63"/>
      <c r="C43" s="57">
        <f>ROUNDUP((C24*1000/C19+C38+C39+C40+C25+C26+C34)/1000,0)</f>
        <v>10748</v>
      </c>
    </row>
    <row r="44" spans="1:3" hidden="1" x14ac:dyDescent="0.15">
      <c r="A44" s="62" t="s">
        <v>736</v>
      </c>
      <c r="B44" s="63"/>
      <c r="C44" s="57">
        <f>ROUNDUP((C41+C4*1000+C5*1000+C25+C26+C34)/1000,0)</f>
        <v>10125</v>
      </c>
    </row>
    <row r="45" spans="1:3" hidden="1" x14ac:dyDescent="0.15">
      <c r="A45" s="62" t="s">
        <v>892</v>
      </c>
      <c r="B45" s="63"/>
      <c r="C45" s="57">
        <v>0</v>
      </c>
    </row>
    <row r="46" spans="1:3" hidden="1" x14ac:dyDescent="0.15">
      <c r="A46" s="62" t="s">
        <v>513</v>
      </c>
      <c r="B46" s="63" t="s">
        <v>514</v>
      </c>
      <c r="C46" s="57">
        <v>12</v>
      </c>
    </row>
    <row r="47" spans="1:3" hidden="1" x14ac:dyDescent="0.15">
      <c r="A47" s="62" t="s">
        <v>515</v>
      </c>
      <c r="B47" s="63" t="s">
        <v>516</v>
      </c>
      <c r="C47" s="57">
        <v>36</v>
      </c>
    </row>
    <row r="48" spans="1:3" hidden="1" x14ac:dyDescent="0.15">
      <c r="A48" s="62" t="s">
        <v>517</v>
      </c>
      <c r="B48" s="63" t="s">
        <v>518</v>
      </c>
      <c r="C48" s="57">
        <v>10</v>
      </c>
    </row>
    <row r="49" spans="1:3" hidden="1" x14ac:dyDescent="0.15">
      <c r="A49" s="62" t="s">
        <v>519</v>
      </c>
      <c r="B49" s="63" t="s">
        <v>520</v>
      </c>
      <c r="C49" s="57">
        <f>C2*C3*IF(C6=8,1,2)</f>
        <v>1310720</v>
      </c>
    </row>
    <row r="50" spans="1:3" hidden="1" x14ac:dyDescent="0.15">
      <c r="A50" s="62" t="s">
        <v>521</v>
      </c>
      <c r="B50" s="63" t="s">
        <v>522</v>
      </c>
      <c r="C50" s="57">
        <f>C49</f>
        <v>1310720</v>
      </c>
    </row>
    <row r="51" spans="1:3" ht="27" hidden="1" x14ac:dyDescent="0.15">
      <c r="A51" s="62" t="s">
        <v>523</v>
      </c>
      <c r="B51" s="63" t="s">
        <v>524</v>
      </c>
      <c r="C51" s="57">
        <v>36</v>
      </c>
    </row>
    <row r="52" spans="1:3" hidden="1" x14ac:dyDescent="0.15">
      <c r="A52" s="62" t="s">
        <v>525</v>
      </c>
      <c r="B52" s="63" t="s">
        <v>526</v>
      </c>
      <c r="C52" s="57">
        <v>26</v>
      </c>
    </row>
    <row r="53" spans="1:3" hidden="1" x14ac:dyDescent="0.15">
      <c r="A53" s="62" t="s">
        <v>527</v>
      </c>
      <c r="B53" s="63" t="s">
        <v>528</v>
      </c>
      <c r="C53" s="57">
        <v>10</v>
      </c>
    </row>
    <row r="54" spans="1:3" hidden="1" x14ac:dyDescent="0.15">
      <c r="A54" s="62" t="s">
        <v>529</v>
      </c>
      <c r="B54" s="63" t="s">
        <v>530</v>
      </c>
      <c r="C54" s="57">
        <f>ROUNDDOWN((C2*C3*ROUNDUP(C6/8,0)+C45*32)/(C7-36),0)</f>
        <v>895</v>
      </c>
    </row>
    <row r="55" spans="1:3" hidden="1" x14ac:dyDescent="0.15">
      <c r="A55" s="62" t="s">
        <v>531</v>
      </c>
      <c r="B55" s="63" t="s">
        <v>532</v>
      </c>
      <c r="C55" s="57">
        <f>IF(C56=0,0,1)</f>
        <v>1</v>
      </c>
    </row>
    <row r="56" spans="1:3" hidden="1" x14ac:dyDescent="0.15">
      <c r="A56" s="62" t="s">
        <v>533</v>
      </c>
      <c r="B56" s="63" t="s">
        <v>534</v>
      </c>
      <c r="C56" s="57">
        <f>C2*C3*ROUNDUP(C6/8,0)+C45*32-(C7-36)*C54</f>
        <v>440</v>
      </c>
    </row>
    <row r="57" spans="1:3" ht="27" hidden="1" x14ac:dyDescent="0.15">
      <c r="A57" s="62" t="s">
        <v>535</v>
      </c>
      <c r="B57" s="63" t="s">
        <v>536</v>
      </c>
      <c r="C57" s="57">
        <f>IF(C56&lt;C53,C53,C56)</f>
        <v>440</v>
      </c>
    </row>
    <row r="58" spans="1:3" ht="27" hidden="1" x14ac:dyDescent="0.15">
      <c r="A58" s="62" t="s">
        <v>537</v>
      </c>
      <c r="B58" s="63" t="s">
        <v>538</v>
      </c>
      <c r="C58" s="57">
        <v>98</v>
      </c>
    </row>
    <row r="59" spans="1:3" ht="27" hidden="1" x14ac:dyDescent="0.15">
      <c r="A59" s="62" t="s">
        <v>539</v>
      </c>
      <c r="B59" s="63" t="s">
        <v>540</v>
      </c>
      <c r="C59" s="57">
        <v>72</v>
      </c>
    </row>
    <row r="60" spans="1:3" ht="27" hidden="1" x14ac:dyDescent="0.15">
      <c r="A60" s="62" t="s">
        <v>541</v>
      </c>
      <c r="B60" s="63" t="s">
        <v>542</v>
      </c>
      <c r="C60" s="57">
        <f>C54*(C7+C52)+C55*(C57+C51+C52)</f>
        <v>1366272</v>
      </c>
    </row>
    <row r="61" spans="1:3" hidden="1" x14ac:dyDescent="0.15">
      <c r="A61" s="62" t="s">
        <v>543</v>
      </c>
      <c r="B61" s="63" t="s">
        <v>544</v>
      </c>
      <c r="C61" s="57">
        <f>(2+C54+C55)*(C8+C46)</f>
        <v>10776</v>
      </c>
    </row>
    <row r="62" spans="1:3" hidden="1" x14ac:dyDescent="0.15">
      <c r="A62" s="62" t="s">
        <v>545</v>
      </c>
      <c r="B62" s="63" t="s">
        <v>546</v>
      </c>
      <c r="C62" s="57">
        <f>C58+C59+C60+C61</f>
        <v>1377218</v>
      </c>
    </row>
    <row r="63" spans="1:3" ht="27" hidden="1" x14ac:dyDescent="0.15">
      <c r="A63" s="62" t="s">
        <v>547</v>
      </c>
      <c r="B63" s="63" t="s">
        <v>548</v>
      </c>
      <c r="C63" s="57">
        <f>ROUNDDOWN(C12*(100-C13)/80,0)</f>
        <v>1125</v>
      </c>
    </row>
    <row r="64" spans="1:3" ht="27" hidden="1" x14ac:dyDescent="0.15">
      <c r="A64" s="62" t="s">
        <v>549</v>
      </c>
      <c r="B64" s="63" t="s">
        <v>550</v>
      </c>
      <c r="C64" s="57">
        <f>INT(C62/C63)*10</f>
        <v>12240</v>
      </c>
    </row>
    <row r="65" spans="1:3" ht="27" hidden="1" x14ac:dyDescent="0.15">
      <c r="A65" s="62" t="s">
        <v>551</v>
      </c>
      <c r="B65" s="63" t="s">
        <v>552</v>
      </c>
      <c r="C65" s="57">
        <f>INT((C50+C47+C48)/C33)*10</f>
        <v>13320</v>
      </c>
    </row>
    <row r="66" spans="1:3" hidden="1" x14ac:dyDescent="0.15">
      <c r="A66" s="63" t="s">
        <v>553</v>
      </c>
      <c r="B66" s="63"/>
      <c r="C66" s="57">
        <f>MAX(C64,C65)</f>
        <v>13320</v>
      </c>
    </row>
    <row r="67" spans="1:3" hidden="1" x14ac:dyDescent="0.15">
      <c r="A67" s="63" t="s">
        <v>737</v>
      </c>
      <c r="B67" s="63"/>
      <c r="C67" s="57">
        <f xml:space="preserve"> ROUNDDOWN((1000000/C10)*C11,0)</f>
        <v>0</v>
      </c>
    </row>
    <row r="68" spans="1:3" hidden="1" x14ac:dyDescent="0.15">
      <c r="A68" s="63" t="s">
        <v>812</v>
      </c>
      <c r="B68" s="63"/>
      <c r="C68" s="57">
        <f>IF(C11=1,MAX(C43,C44,C66,C67),MAX(C43,C44,C66))</f>
        <v>13320</v>
      </c>
    </row>
    <row r="69" spans="1:3" hidden="1" x14ac:dyDescent="0.15">
      <c r="A69" s="63" t="s">
        <v>723</v>
      </c>
      <c r="B69" s="63"/>
      <c r="C69" s="57">
        <f>ROUND(1000000/C68,2)</f>
        <v>75.08</v>
      </c>
    </row>
    <row r="70" spans="1:3" hidden="1" x14ac:dyDescent="0.15">
      <c r="A70" s="63" t="s">
        <v>56</v>
      </c>
      <c r="B70" s="63"/>
      <c r="C70" s="57">
        <f>12500*C12*(100-C13)</f>
        <v>1125000000</v>
      </c>
    </row>
    <row r="71" spans="1:3" hidden="1" x14ac:dyDescent="0.15">
      <c r="A71" s="63" t="s">
        <v>554</v>
      </c>
      <c r="B71" s="63"/>
      <c r="C71" s="57">
        <f>IF((ROUNDDOWN((C70-(62+C7-36)*C54-62-C56-170+C45*24)/(C54+3),0)-12)&gt;180000,180000,ROUNDDOWN((C70-(62+C7-36)*C54-62-C56-168+C45*24)/(C54+3),0)-12)</f>
        <v>180000</v>
      </c>
    </row>
    <row r="72" spans="1:3" hidden="1" x14ac:dyDescent="0.15">
      <c r="A72" s="63" t="s">
        <v>58</v>
      </c>
      <c r="B72" s="63"/>
      <c r="C72" s="57">
        <f>((62+(C7-36))*C54+62+C56+170)+(C8+12)*(C54+3)</f>
        <v>1377218</v>
      </c>
    </row>
    <row r="73" spans="1:3" hidden="1" x14ac:dyDescent="0.15">
      <c r="A73" s="63" t="s">
        <v>56</v>
      </c>
      <c r="B73" s="63"/>
      <c r="C73" s="57">
        <f>1250000*C12</f>
        <v>1250000000</v>
      </c>
    </row>
    <row r="74" spans="1:3" hidden="1" x14ac:dyDescent="0.15">
      <c r="A74" s="63" t="s">
        <v>557</v>
      </c>
      <c r="B74" s="63"/>
      <c r="C74" s="57">
        <f>IF((100-ROUNDDOWN(C72*10/(C73/10),0)-1)&lt;0,0,(100-ROUNDDOWN(C72*10/(C73/10),0)-1))</f>
        <v>99</v>
      </c>
    </row>
    <row r="75" spans="1:3" hidden="1" x14ac:dyDescent="0.15">
      <c r="A75" s="63" t="s">
        <v>558</v>
      </c>
      <c r="B75" s="63"/>
      <c r="C75" s="57">
        <f>ROUNDDOWN((C70-(62+C7-36)*C54-62-C56-170+C45*24)/(C54+3),0)-12</f>
        <v>1251250</v>
      </c>
    </row>
    <row r="76" spans="1:3" hidden="1" x14ac:dyDescent="0.15">
      <c r="A76" s="63" t="s">
        <v>559</v>
      </c>
      <c r="B76" s="63"/>
      <c r="C76" s="57">
        <f>ROUNDDOWN(ROUNDDOWN(ROUNDDOWN(ROUNDDOWN(C2*ROUNDDOWN(1000000000/C68,0)/10,0)*ROUNDUP(C6/8,0)/10,0)*C3/10,0)*10/(100-C13),0)*10</f>
        <v>109335890</v>
      </c>
    </row>
    <row r="77" spans="1:3" ht="14.25" hidden="1" x14ac:dyDescent="0.15">
      <c r="A77" s="64" t="s">
        <v>724</v>
      </c>
      <c r="B77" s="64"/>
      <c r="C77" s="59"/>
    </row>
    <row r="78" spans="1:3" ht="14.25" x14ac:dyDescent="0.15">
      <c r="A78" s="64" t="s">
        <v>723</v>
      </c>
      <c r="B78" s="64" t="s">
        <v>893</v>
      </c>
      <c r="C78" s="59">
        <f>C69</f>
        <v>75.08</v>
      </c>
    </row>
  </sheetData>
  <sheetProtection algorithmName="SHA-512" hashValue="2hfADZn5yWEZfikEgJyGn+qz8C7Z7xu+gkICqay0H9U/voIHS9qdsQcl3tkSgTbqcVPEqYGTVP2Y+7xZylRYTw==" saltValue="RytBcraeuS7/27zg13ijZQ==" spinCount="100000" sheet="1" objects="1" scenarios="1"/>
  <phoneticPr fontId="1" type="noConversion"/>
  <dataValidations count="12">
    <dataValidation type="whole" allowBlank="1" showInputMessage="1" showErrorMessage="1" errorTitle="Input parameter error" error="Input range:[0, 'GevSCPDMaxValue'], and is an integer multiple of 1" sqref="C8">
      <formula1>0</formula1>
      <formula2>C9</formula2>
    </dataValidation>
    <dataValidation type="whole" allowBlank="1" showInputMessage="1" showErrorMessage="1" errorTitle="Input parameter error" error="Input range:[0, 'BandwidthReserveMaxValue'], and is an integer multiple of 1" sqref="C13">
      <formula1>0</formula1>
      <formula2>C14</formula2>
    </dataValidation>
    <dataValidation type="custom" allowBlank="1" showInputMessage="1" showErrorMessage="1" errorTitle="Input parameter error" error="Input range:[64, 1280],and is an integer multiple of 16" sqref="C2">
      <formula1>AND((C2&lt;=1280),(C2&gt;=64),(MOD(C2,16)=0))</formula1>
    </dataValidation>
    <dataValidation type="custom" allowBlank="1" showInputMessage="1" showErrorMessage="1" errorTitle="Input parameter error" error="Input range:[64, 1024],and is an integer multiple of 2" sqref="C3">
      <formula1>AND((C3&lt;=1024),(C3&gt;=64),(MOD(C3,2)=0))</formula1>
    </dataValidation>
    <dataValidation type="custom" allowBlank="1" showInputMessage="1" showErrorMessage="1" errorTitle="Input parameter error" error="Input 8 or 10" sqref="C6">
      <formula1>OR((C6=8),(C6=10))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custom" allowBlank="1" showInputMessage="1" showErrorMessage="1" errorTitle="Input parameter error" error="Input 1000 or 100" sqref="C12">
      <formula1>OR((C12=1000),(C12=100))</formula1>
    </dataValidation>
    <dataValidation type="custom" allowBlank="1" showInputMessage="1" showErrorMessage="1" errorTitle="Input parameter error" error="Input 0 or 1" sqref="C11">
      <formula1>OR((C11=0),(C11=1))</formula1>
    </dataValidation>
    <dataValidation type="custom" allowBlank="1" showInputMessage="1" showErrorMessage="1" errorTitle="Input parameter error" error="Input range:[0.1, 10000]" sqref="C10">
      <formula1>AND(TRUNC(C10,1)=C10,(C10&gt;=0.1),(C10&lt;=10000))</formula1>
    </dataValidation>
    <dataValidation type="whole" allowBlank="1" showInputMessage="1" showErrorMessage="1" error="输入范围是0~5000" sqref="C5">
      <formula1>0</formula1>
      <formula2>5000</formula2>
    </dataValidation>
    <dataValidation type="whole" allowBlank="1" showInputMessage="1" showErrorMessage="1" errorTitle="Input parameter error" error="Input range:[1, 1000000]" sqref="C4">
      <formula1>1</formula1>
      <formula2>1000000</formula2>
    </dataValidation>
    <dataValidation allowBlank="1" showInputMessage="1" showErrorMessage="1" error="输入范围是64~1024，步长为2" sqref="A1:C1"/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37"/>
  <sheetViews>
    <sheetView topLeftCell="B1" workbookViewId="0">
      <selection activeCell="I8" sqref="I8"/>
    </sheetView>
  </sheetViews>
  <sheetFormatPr defaultRowHeight="13.5" x14ac:dyDescent="0.15"/>
  <cols>
    <col min="1" max="1" width="18.25" hidden="1" customWidth="1"/>
    <col min="2" max="2" width="29.125" customWidth="1"/>
    <col min="3" max="3" width="13" customWidth="1"/>
  </cols>
  <sheetData>
    <row r="1" spans="1:3" s="3" customFormat="1" x14ac:dyDescent="0.15">
      <c r="A1" s="4" t="s">
        <v>0</v>
      </c>
      <c r="B1" s="4"/>
      <c r="C1" s="2"/>
    </row>
    <row r="2" spans="1:3" s="3" customFormat="1" x14ac:dyDescent="0.15">
      <c r="A2" s="4" t="s">
        <v>1</v>
      </c>
      <c r="B2" s="4" t="s">
        <v>7</v>
      </c>
      <c r="C2" s="2">
        <v>640</v>
      </c>
    </row>
    <row r="3" spans="1:3" s="3" customFormat="1" x14ac:dyDescent="0.15">
      <c r="A3" s="4" t="s">
        <v>2</v>
      </c>
      <c r="B3" s="4" t="s">
        <v>8</v>
      </c>
      <c r="C3" s="2">
        <v>480</v>
      </c>
    </row>
    <row r="4" spans="1:3" s="3" customFormat="1" x14ac:dyDescent="0.15">
      <c r="A4" s="4" t="s">
        <v>3</v>
      </c>
      <c r="B4" s="4" t="s">
        <v>9</v>
      </c>
      <c r="C4" s="2">
        <v>10000</v>
      </c>
    </row>
    <row r="5" spans="1:3" s="3" customFormat="1" x14ac:dyDescent="0.15">
      <c r="A5" s="4" t="s">
        <v>4</v>
      </c>
      <c r="B5" s="4" t="s">
        <v>30</v>
      </c>
      <c r="C5" s="2">
        <v>8</v>
      </c>
    </row>
    <row r="6" spans="1:3" x14ac:dyDescent="0.15">
      <c r="A6" s="4" t="s">
        <v>68</v>
      </c>
      <c r="B6" s="4" t="s">
        <v>316</v>
      </c>
      <c r="C6" s="2">
        <v>98.7</v>
      </c>
    </row>
    <row r="7" spans="1:3" x14ac:dyDescent="0.15">
      <c r="A7" s="4" t="s">
        <v>95</v>
      </c>
      <c r="B7" s="4" t="s">
        <v>318</v>
      </c>
      <c r="C7" s="2">
        <v>0</v>
      </c>
    </row>
    <row r="8" spans="1:3" s="3" customFormat="1" x14ac:dyDescent="0.15">
      <c r="A8" s="4" t="s">
        <v>5</v>
      </c>
      <c r="B8" s="4" t="s">
        <v>11</v>
      </c>
      <c r="C8" s="2">
        <v>1500</v>
      </c>
    </row>
    <row r="9" spans="1:3" s="3" customFormat="1" x14ac:dyDescent="0.15">
      <c r="A9" s="4" t="s">
        <v>6</v>
      </c>
      <c r="B9" s="4" t="s">
        <v>12</v>
      </c>
      <c r="C9" s="2">
        <v>0</v>
      </c>
    </row>
    <row r="10" spans="1:3" s="3" customFormat="1" x14ac:dyDescent="0.15">
      <c r="A10" s="4" t="s">
        <v>59</v>
      </c>
      <c r="B10" s="4" t="s">
        <v>61</v>
      </c>
      <c r="C10" s="4">
        <f>C30</f>
        <v>180000</v>
      </c>
    </row>
    <row r="11" spans="1:3" s="3" customFormat="1" x14ac:dyDescent="0.15">
      <c r="A11" s="4" t="s">
        <v>14</v>
      </c>
      <c r="B11" s="4" t="s">
        <v>315</v>
      </c>
      <c r="C11" s="2">
        <v>1000</v>
      </c>
    </row>
    <row r="12" spans="1:3" s="3" customFormat="1" x14ac:dyDescent="0.15">
      <c r="A12" s="4" t="s">
        <v>25</v>
      </c>
      <c r="B12" s="4" t="s">
        <v>29</v>
      </c>
      <c r="C12" s="2">
        <v>10</v>
      </c>
    </row>
    <row r="13" spans="1:3" s="3" customFormat="1" x14ac:dyDescent="0.15">
      <c r="A13" s="4" t="s">
        <v>60</v>
      </c>
      <c r="B13" s="4" t="s">
        <v>62</v>
      </c>
      <c r="C13" s="4">
        <f>C33</f>
        <v>99</v>
      </c>
    </row>
    <row r="14" spans="1:3" s="3" customFormat="1" x14ac:dyDescent="0.15">
      <c r="A14" s="4"/>
      <c r="B14" s="4"/>
      <c r="C14" s="4"/>
    </row>
    <row r="15" spans="1:3" s="7" customFormat="1" x14ac:dyDescent="0.15">
      <c r="A15" s="4"/>
      <c r="B15" s="4"/>
      <c r="C15" s="4"/>
    </row>
    <row r="16" spans="1:3" hidden="1" x14ac:dyDescent="0.15">
      <c r="A16" s="10" t="s">
        <v>81</v>
      </c>
      <c r="B16" s="4"/>
      <c r="C16" s="6">
        <f>C6*10</f>
        <v>987</v>
      </c>
    </row>
    <row r="17" spans="1:3" hidden="1" x14ac:dyDescent="0.15">
      <c r="A17" s="6" t="s">
        <v>69</v>
      </c>
      <c r="B17" s="6"/>
      <c r="C17" s="6">
        <f xml:space="preserve"> ROUNDDOWN(10000000/C16,0)</f>
        <v>10131</v>
      </c>
    </row>
    <row r="18" spans="1:3" s="7" customFormat="1" hidden="1" x14ac:dyDescent="0.15">
      <c r="A18" s="10" t="s">
        <v>26</v>
      </c>
      <c r="B18" s="6"/>
      <c r="C18" s="6">
        <f>ROUNDDOWN(((4+3)*(72+1280/4+6) +C3*(72+C2/4+6))/36,0)+88</f>
        <v>3338</v>
      </c>
    </row>
    <row r="19" spans="1:3" s="7" customFormat="1" hidden="1" x14ac:dyDescent="0.15">
      <c r="A19" s="6" t="s">
        <v>16</v>
      </c>
      <c r="B19" s="6"/>
      <c r="C19" s="6">
        <f>ROUNDDOWN(C2*C3*ROUNDUP(C5/8,0)/(C8-36),0)</f>
        <v>209</v>
      </c>
    </row>
    <row r="20" spans="1:3" s="7" customFormat="1" hidden="1" x14ac:dyDescent="0.15">
      <c r="A20" s="6" t="s">
        <v>17</v>
      </c>
      <c r="B20" s="6"/>
      <c r="C20" s="6">
        <f>C2*C3*ROUNDUP(C5/8,0)-(C8-36)*C19</f>
        <v>1224</v>
      </c>
    </row>
    <row r="21" spans="1:3" s="7" customFormat="1" hidden="1" x14ac:dyDescent="0.15">
      <c r="A21" s="6" t="s">
        <v>18</v>
      </c>
      <c r="B21" s="6"/>
      <c r="C21" s="6">
        <f>(62+(C8-36))*C19+(62+C20)+(C9+12)*(C19+3)+168</f>
        <v>322932</v>
      </c>
    </row>
    <row r="22" spans="1:3" s="7" customFormat="1" hidden="1" x14ac:dyDescent="0.15">
      <c r="A22" s="6" t="s">
        <v>19</v>
      </c>
      <c r="B22" s="6"/>
      <c r="C22" s="6">
        <f>ROUNDDOWN(C21/ROUNDDOWN(C11*(100-C12)/100,0),0)*8</f>
        <v>2864</v>
      </c>
    </row>
    <row r="23" spans="1:3" s="7" customFormat="1" hidden="1" x14ac:dyDescent="0.15">
      <c r="A23" s="6" t="s">
        <v>98</v>
      </c>
      <c r="B23" s="6"/>
      <c r="C23" s="6">
        <f>IF(C7=1,(MAX(C18,C4+130,C22+88,C17)-88),(MAX(C18,C4+130,C22+88)-88))</f>
        <v>10042</v>
      </c>
    </row>
    <row r="24" spans="1:3" s="7" customFormat="1" hidden="1" x14ac:dyDescent="0.15">
      <c r="A24" s="6" t="s">
        <v>96</v>
      </c>
      <c r="B24" s="6"/>
      <c r="C24" s="6">
        <f>IF(C23&lt;C25,C25,C23)</f>
        <v>10042</v>
      </c>
    </row>
    <row r="25" spans="1:3" s="7" customFormat="1" hidden="1" x14ac:dyDescent="0.15">
      <c r="A25" s="6" t="s">
        <v>97</v>
      </c>
      <c r="B25" s="6"/>
      <c r="C25" s="6">
        <f>IF(AND(C2=640,C3=480),IF(C5=8,3238,6578),0)</f>
        <v>3238</v>
      </c>
    </row>
    <row r="26" spans="1:3" s="7" customFormat="1" hidden="1" x14ac:dyDescent="0.15">
      <c r="A26" s="6" t="s">
        <v>22</v>
      </c>
      <c r="B26" s="6"/>
      <c r="C26" s="6">
        <f>C24+88</f>
        <v>10130</v>
      </c>
    </row>
    <row r="27" spans="1:3" s="7" customFormat="1" hidden="1" x14ac:dyDescent="0.15">
      <c r="A27" s="6" t="s">
        <v>27</v>
      </c>
      <c r="B27" s="6"/>
      <c r="C27" s="6">
        <f>ROUNDDOWN(1000000/C26,2)</f>
        <v>98.71</v>
      </c>
    </row>
    <row r="28" spans="1:3" s="7" customFormat="1" hidden="1" x14ac:dyDescent="0.15">
      <c r="A28" s="6" t="s">
        <v>57</v>
      </c>
      <c r="B28" s="6"/>
      <c r="C28" s="6">
        <f>1250 * C11 * (100-C12)</f>
        <v>112500000</v>
      </c>
    </row>
    <row r="29" spans="1:3" s="7" customFormat="1" hidden="1" x14ac:dyDescent="0.15">
      <c r="A29" s="6" t="s">
        <v>54</v>
      </c>
      <c r="B29" s="6"/>
      <c r="C29" s="6">
        <f>ROUNDDOWN((C28-(62+(C8-36))*C19-62-C20-168)/(C19+3),0)-12</f>
        <v>529137</v>
      </c>
    </row>
    <row r="30" spans="1:3" s="7" customFormat="1" hidden="1" x14ac:dyDescent="0.15">
      <c r="A30" s="6" t="s">
        <v>59</v>
      </c>
      <c r="B30" s="6"/>
      <c r="C30" s="6">
        <f>IF(C29&gt;180000,180000,C29)</f>
        <v>180000</v>
      </c>
    </row>
    <row r="31" spans="1:3" s="7" customFormat="1" hidden="1" x14ac:dyDescent="0.15">
      <c r="A31" s="6" t="s">
        <v>58</v>
      </c>
      <c r="B31" s="6"/>
      <c r="C31" s="6">
        <f>((62+(C8-36))*C19+62+C20+168)+(C9+12)*(C19+2)</f>
        <v>322920</v>
      </c>
    </row>
    <row r="32" spans="1:3" s="7" customFormat="1" hidden="1" x14ac:dyDescent="0.15">
      <c r="A32" s="6" t="s">
        <v>56</v>
      </c>
      <c r="B32" s="6"/>
      <c r="C32" s="6">
        <f>1250*C11*100</f>
        <v>125000000</v>
      </c>
    </row>
    <row r="33" spans="1:3" s="7" customFormat="1" hidden="1" x14ac:dyDescent="0.15">
      <c r="A33" s="6" t="s">
        <v>55</v>
      </c>
      <c r="B33" s="6"/>
      <c r="C33" s="6">
        <f>100-ROUNDDOWN(C31*10/(C32/10),0)-1</f>
        <v>99</v>
      </c>
    </row>
    <row r="34" spans="1:3" s="7" customFormat="1" x14ac:dyDescent="0.15">
      <c r="A34" s="6"/>
      <c r="B34" s="6"/>
      <c r="C34" s="6"/>
    </row>
    <row r="35" spans="1:3" s="7" customFormat="1" x14ac:dyDescent="0.15">
      <c r="A35" s="6"/>
      <c r="B35" s="6"/>
      <c r="C35" s="6"/>
    </row>
    <row r="36" spans="1:3" s="7" customFormat="1" x14ac:dyDescent="0.15">
      <c r="A36" s="8" t="s">
        <v>24</v>
      </c>
      <c r="B36" s="6"/>
      <c r="C36" s="6"/>
    </row>
    <row r="37" spans="1:3" s="7" customFormat="1" ht="18.75" x14ac:dyDescent="0.15">
      <c r="A37" s="9" t="s">
        <v>23</v>
      </c>
      <c r="B37" s="9" t="s">
        <v>308</v>
      </c>
      <c r="C37" s="9">
        <f>C27</f>
        <v>98.71</v>
      </c>
    </row>
  </sheetData>
  <sheetProtection algorithmName="SHA-512" hashValue="/P7pWbho0XdEJpjSogqQWpqDKxm+RrP/rCIYXhFNT/YkXm0yU8swBA8qLliG07qu3/XDSxQR8Ank/TWKva+VKQ==" saltValue="NKRBsYphuf5RqTY9dcwUWw==" spinCount="100000" sheet="1" objects="1" scenarios="1"/>
  <dataConsolidate/>
  <customSheetViews>
    <customSheetView guid="{9F73C155-CDDB-4969-BDA6-6B1932D3C988}" hiddenRows="1">
      <selection activeCell="C2" sqref="C2"/>
      <pageMargins left="0.7" right="0.7" top="0.75" bottom="0.75" header="0.3" footer="0.3"/>
      <pageSetup paperSize="9" orientation="portrait" verticalDpi="0" r:id="rId1"/>
    </customSheetView>
  </customSheetViews>
  <phoneticPr fontId="1" type="noConversion"/>
  <dataValidations xWindow="517" yWindow="422" count="12">
    <dataValidation type="whole" allowBlank="1" showErrorMessage="1" error="设置值超过最大值" prompt="应在包间隔范围内" sqref="C10">
      <formula1>0</formula1>
      <formula2>C31</formula2>
    </dataValidation>
    <dataValidation type="whole" allowBlank="1" showInputMessage="1" showErrorMessage="1" errorTitle="Input parameter error" error="Input range:[0, 'GevSCPDMaxValue'], and is an integer multiple of 1" sqref="C9">
      <formula1>0</formula1>
      <formula2>C10</formula2>
    </dataValidation>
    <dataValidation type="whole" allowBlank="1" error="设置值超过包间隔范围" prompt="设置值应在预留带宽范围内" sqref="C13:C14">
      <formula1>0</formula1>
      <formula2>C33</formula2>
    </dataValidation>
    <dataValidation type="whole" allowBlank="1" showInputMessage="1" showErrorMessage="1" errorTitle="Input parameter error" error="Input range:[0, 'BandwidthReserveMaxValue'], and is an integer multiple of 1" sqref="C12">
      <formula1>0</formula1>
      <formula2>C13</formula2>
    </dataValidation>
    <dataValidation type="custom" allowBlank="1" showInputMessage="1" showErrorMessage="1" errorTitle="Input parameter error" error="Input range:[64, 640],and is an integer multiple of 16" sqref="C2">
      <formula1>AND((C2&lt;=640),(C2&gt;=64),(MOD(C2,16)=0))</formula1>
    </dataValidation>
    <dataValidation type="custom" allowBlank="1" showInputMessage="1" showErrorMessage="1" errorTitle="Input parameter error" error="Input range:[64, 480],and is an integer multiple of 2" sqref="C3">
      <formula1>AND((C3&lt;=480),(C3&gt;=64),(MOD(C3,2)=0))</formula1>
    </dataValidation>
    <dataValidation type="whole" allowBlank="1" showInputMessage="1" showErrorMessage="1" errorTitle="Input parameter error" error="Input range:[20, 1000000]" sqref="C4">
      <formula1>20</formula1>
      <formula2>1000000</formula2>
    </dataValidation>
    <dataValidation type="custom" allowBlank="1" showInputMessage="1" showErrorMessage="1" errorTitle="Input parameter error" error="Input 8 or 10" sqref="C5">
      <formula1>OR((C5=8),(C5=10))</formula1>
    </dataValidation>
    <dataValidation type="custom" allowBlank="1" showInputMessage="1" showErrorMessage="1" errorTitle="Input parameter error" error="Input range:[512, 8192],and is an integer multiple of 4" sqref="C8">
      <formula1>AND((C8&lt;=8192),(C8&gt;=512),(MOD(C8,4)=0))</formula1>
    </dataValidation>
    <dataValidation type="custom" allowBlank="1" showInputMessage="1" showErrorMessage="1" errorTitle="Input parameter error" error="Input 1000 or 100" sqref="C11">
      <formula1>OR((C11=1000),(C11=100))</formula1>
    </dataValidation>
    <dataValidation type="custom" allowBlank="1" showErrorMessage="1" errorTitle="Input parameter error" error="Input range:[0.1, 10000]" prompt="应在包间隔范围内" sqref="C6">
      <formula1>AND(TRUNC(C6,1)=C6,(C6&gt;=1),(C6&lt;=100000))</formula1>
    </dataValidation>
    <dataValidation type="whole" allowBlank="1" showInputMessage="1" showErrorMessage="1" errorTitle="Input parameter error" error="Input 0 or 1" sqref="C7">
      <formula1>0</formula1>
      <formula2>1</formula2>
    </dataValidation>
  </dataValidation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37"/>
  <sheetViews>
    <sheetView topLeftCell="B1" zoomScaleNormal="100" workbookViewId="0">
      <selection activeCell="C12" sqref="C12"/>
    </sheetView>
  </sheetViews>
  <sheetFormatPr defaultRowHeight="13.5" x14ac:dyDescent="0.15"/>
  <cols>
    <col min="1" max="1" width="16.5" hidden="1" customWidth="1"/>
    <col min="2" max="2" width="28" customWidth="1"/>
    <col min="3" max="3" width="18.375" customWidth="1"/>
  </cols>
  <sheetData>
    <row r="1" spans="1:3" x14ac:dyDescent="0.15">
      <c r="A1" s="4" t="s">
        <v>0</v>
      </c>
      <c r="B1" s="4"/>
      <c r="C1" s="1"/>
    </row>
    <row r="2" spans="1:3" x14ac:dyDescent="0.15">
      <c r="A2" s="4" t="s">
        <v>1</v>
      </c>
      <c r="B2" s="4" t="s">
        <v>7</v>
      </c>
      <c r="C2" s="2">
        <v>800</v>
      </c>
    </row>
    <row r="3" spans="1:3" x14ac:dyDescent="0.15">
      <c r="A3" s="4" t="s">
        <v>2</v>
      </c>
      <c r="B3" s="4" t="s">
        <v>8</v>
      </c>
      <c r="C3" s="2">
        <v>600</v>
      </c>
    </row>
    <row r="4" spans="1:3" x14ac:dyDescent="0.15">
      <c r="A4" s="4" t="s">
        <v>3</v>
      </c>
      <c r="B4" s="4" t="s">
        <v>9</v>
      </c>
      <c r="C4" s="2">
        <v>10000</v>
      </c>
    </row>
    <row r="5" spans="1:3" x14ac:dyDescent="0.15">
      <c r="A5" s="4" t="s">
        <v>4</v>
      </c>
      <c r="B5" s="4" t="s">
        <v>30</v>
      </c>
      <c r="C5" s="2">
        <v>8</v>
      </c>
    </row>
    <row r="6" spans="1:3" x14ac:dyDescent="0.15">
      <c r="A6" s="4" t="s">
        <v>68</v>
      </c>
      <c r="B6" s="4" t="s">
        <v>316</v>
      </c>
      <c r="C6" s="2">
        <v>98.7</v>
      </c>
    </row>
    <row r="7" spans="1:3" x14ac:dyDescent="0.15">
      <c r="A7" s="4" t="s">
        <v>99</v>
      </c>
      <c r="B7" s="4" t="s">
        <v>321</v>
      </c>
      <c r="C7" s="2">
        <v>0</v>
      </c>
    </row>
    <row r="8" spans="1:3" x14ac:dyDescent="0.15">
      <c r="A8" s="4" t="s">
        <v>5</v>
      </c>
      <c r="B8" s="4" t="s">
        <v>11</v>
      </c>
      <c r="C8" s="2">
        <v>1500</v>
      </c>
    </row>
    <row r="9" spans="1:3" x14ac:dyDescent="0.15">
      <c r="A9" s="4" t="s">
        <v>6</v>
      </c>
      <c r="B9" s="4" t="s">
        <v>12</v>
      </c>
      <c r="C9" s="2">
        <v>0</v>
      </c>
    </row>
    <row r="10" spans="1:3" x14ac:dyDescent="0.15">
      <c r="A10" s="4" t="s">
        <v>59</v>
      </c>
      <c r="B10" s="4" t="s">
        <v>61</v>
      </c>
      <c r="C10" s="4">
        <f>C30</f>
        <v>180000</v>
      </c>
    </row>
    <row r="11" spans="1:3" x14ac:dyDescent="0.15">
      <c r="A11" s="4" t="s">
        <v>14</v>
      </c>
      <c r="B11" s="4" t="s">
        <v>315</v>
      </c>
      <c r="C11" s="2">
        <v>1000</v>
      </c>
    </row>
    <row r="12" spans="1:3" x14ac:dyDescent="0.15">
      <c r="A12" s="4" t="s">
        <v>25</v>
      </c>
      <c r="B12" s="4" t="s">
        <v>28</v>
      </c>
      <c r="C12" s="2">
        <v>10</v>
      </c>
    </row>
    <row r="13" spans="1:3" x14ac:dyDescent="0.15">
      <c r="A13" s="4" t="s">
        <v>60</v>
      </c>
      <c r="B13" s="4" t="s">
        <v>62</v>
      </c>
      <c r="C13" s="4">
        <f>C33</f>
        <v>99</v>
      </c>
    </row>
    <row r="14" spans="1:3" x14ac:dyDescent="0.15">
      <c r="A14" s="4"/>
      <c r="B14" s="4"/>
      <c r="C14" s="4"/>
    </row>
    <row r="15" spans="1:3" s="7" customFormat="1" x14ac:dyDescent="0.15">
      <c r="A15" s="4"/>
      <c r="B15" s="4"/>
      <c r="C15" s="4"/>
    </row>
    <row r="16" spans="1:3" hidden="1" x14ac:dyDescent="0.15">
      <c r="A16" s="10" t="s">
        <v>81</v>
      </c>
      <c r="B16" s="4"/>
      <c r="C16" s="6">
        <f>C6*10</f>
        <v>987</v>
      </c>
    </row>
    <row r="17" spans="1:3" hidden="1" x14ac:dyDescent="0.15">
      <c r="A17" s="6" t="s">
        <v>69</v>
      </c>
      <c r="B17" s="6"/>
      <c r="C17" s="6">
        <f xml:space="preserve"> ROUNDDOWN(10000000/C16,0)</f>
        <v>10131</v>
      </c>
    </row>
    <row r="18" spans="1:3" s="7" customFormat="1" ht="12.75" hidden="1" customHeight="1" x14ac:dyDescent="0.15">
      <c r="A18" s="10" t="s">
        <v>26</v>
      </c>
      <c r="B18" s="6"/>
      <c r="C18" s="6">
        <f>ROUNDDOWN(((4+3)*(72+1280/4+6) +C3*(72+C2/4+6))/36,0)+88</f>
        <v>4798</v>
      </c>
    </row>
    <row r="19" spans="1:3" s="7" customFormat="1" hidden="1" x14ac:dyDescent="0.15">
      <c r="A19" s="6" t="s">
        <v>16</v>
      </c>
      <c r="B19" s="6"/>
      <c r="C19" s="6">
        <f>ROUNDDOWN(C2*C3*ROUNDUP(C5/8,0)/(C8-36),0)</f>
        <v>327</v>
      </c>
    </row>
    <row r="20" spans="1:3" s="7" customFormat="1" hidden="1" x14ac:dyDescent="0.15">
      <c r="A20" s="6" t="s">
        <v>17</v>
      </c>
      <c r="B20" s="6"/>
      <c r="C20" s="6">
        <f>C2*C3*ROUNDUP(C5/8,0)-(C8-36)*C19</f>
        <v>1272</v>
      </c>
    </row>
    <row r="21" spans="1:3" s="7" customFormat="1" hidden="1" x14ac:dyDescent="0.15">
      <c r="A21" s="6" t="s">
        <v>18</v>
      </c>
      <c r="B21" s="6"/>
      <c r="C21" s="6">
        <f>(62+(C8-36))*C19+(62+C20)+(C9+12)*(C19+3)+168</f>
        <v>504464</v>
      </c>
    </row>
    <row r="22" spans="1:3" s="7" customFormat="1" hidden="1" x14ac:dyDescent="0.15">
      <c r="A22" s="6" t="s">
        <v>19</v>
      </c>
      <c r="B22" s="6"/>
      <c r="C22" s="6">
        <f>ROUNDDOWN(C21/ROUNDDOWN(C11*(100-C12)/100,0),0)*8</f>
        <v>4480</v>
      </c>
    </row>
    <row r="23" spans="1:3" s="7" customFormat="1" hidden="1" x14ac:dyDescent="0.15">
      <c r="A23" s="6" t="s">
        <v>22</v>
      </c>
      <c r="B23" s="6"/>
      <c r="C23" s="6">
        <f>C25+88</f>
        <v>10130</v>
      </c>
    </row>
    <row r="24" spans="1:3" s="7" customFormat="1" hidden="1" x14ac:dyDescent="0.15">
      <c r="A24" s="6" t="s">
        <v>100</v>
      </c>
      <c r="B24" s="6"/>
      <c r="C24" s="6">
        <f>IF(C7=1,(MAX(C18,C4+130,C22+88,C17)-88),(MAX(C18,C4+130,C22+88)-88))</f>
        <v>10042</v>
      </c>
    </row>
    <row r="25" spans="1:3" s="7" customFormat="1" hidden="1" x14ac:dyDescent="0.15">
      <c r="A25" s="6" t="s">
        <v>96</v>
      </c>
      <c r="B25" s="6"/>
      <c r="C25" s="6">
        <f>IF(C24&lt;C26,C26,C24)</f>
        <v>10042</v>
      </c>
    </row>
    <row r="26" spans="1:3" s="7" customFormat="1" hidden="1" x14ac:dyDescent="0.15">
      <c r="A26" s="6" t="s">
        <v>97</v>
      </c>
      <c r="B26" s="6"/>
      <c r="C26" s="6">
        <f>IF(AND(C2=800,C3=600),IF(C5=8,4908,9912),0)</f>
        <v>4908</v>
      </c>
    </row>
    <row r="27" spans="1:3" s="7" customFormat="1" hidden="1" x14ac:dyDescent="0.15">
      <c r="A27" s="6" t="s">
        <v>27</v>
      </c>
      <c r="B27" s="6"/>
      <c r="C27" s="6">
        <f>ROUNDDOWN(1000000/C23,2)</f>
        <v>98.71</v>
      </c>
    </row>
    <row r="28" spans="1:3" s="7" customFormat="1" hidden="1" x14ac:dyDescent="0.15">
      <c r="A28" s="6" t="s">
        <v>57</v>
      </c>
      <c r="B28" s="6"/>
      <c r="C28" s="6">
        <f>1250 * C11 * (100-C12)</f>
        <v>112500000</v>
      </c>
    </row>
    <row r="29" spans="1:3" s="7" customFormat="1" hidden="1" x14ac:dyDescent="0.15">
      <c r="A29" s="6" t="s">
        <v>54</v>
      </c>
      <c r="B29" s="6"/>
      <c r="C29" s="6">
        <f>ROUNDDOWN((C28-(62+(C8-36))*C19-62-C20-168)/(C19+3),0)-12</f>
        <v>339380</v>
      </c>
    </row>
    <row r="30" spans="1:3" s="7" customFormat="1" hidden="1" x14ac:dyDescent="0.15">
      <c r="A30" s="6" t="s">
        <v>101</v>
      </c>
      <c r="B30" s="6"/>
      <c r="C30" s="6">
        <f>IF(C29&gt;180000,180000,C29)</f>
        <v>180000</v>
      </c>
    </row>
    <row r="31" spans="1:3" s="7" customFormat="1" hidden="1" x14ac:dyDescent="0.15">
      <c r="A31" s="6" t="s">
        <v>58</v>
      </c>
      <c r="B31" s="6"/>
      <c r="C31" s="6">
        <f>((62+(C8-36))*C19+62+C20+168)+(C9+12)*(C19+2)</f>
        <v>504452</v>
      </c>
    </row>
    <row r="32" spans="1:3" s="7" customFormat="1" hidden="1" x14ac:dyDescent="0.15">
      <c r="A32" s="6" t="s">
        <v>56</v>
      </c>
      <c r="B32" s="6"/>
      <c r="C32" s="6">
        <f>1250*C11*100</f>
        <v>125000000</v>
      </c>
    </row>
    <row r="33" spans="1:3" s="7" customFormat="1" hidden="1" x14ac:dyDescent="0.15">
      <c r="A33" s="6" t="s">
        <v>55</v>
      </c>
      <c r="B33" s="6"/>
      <c r="C33" s="6">
        <f>100-ROUNDDOWN(C31*10/(C32/10),0)-1</f>
        <v>99</v>
      </c>
    </row>
    <row r="34" spans="1:3" s="7" customFormat="1" x14ac:dyDescent="0.15">
      <c r="A34" s="6"/>
      <c r="B34" s="6"/>
      <c r="C34" s="6"/>
    </row>
    <row r="35" spans="1:3" s="7" customFormat="1" x14ac:dyDescent="0.15">
      <c r="A35" s="6"/>
      <c r="B35" s="6"/>
      <c r="C35" s="6"/>
    </row>
    <row r="36" spans="1:3" s="7" customFormat="1" x14ac:dyDescent="0.15">
      <c r="A36" s="8" t="s">
        <v>24</v>
      </c>
      <c r="B36" s="6"/>
      <c r="C36" s="6"/>
    </row>
    <row r="37" spans="1:3" s="7" customFormat="1" ht="18.75" x14ac:dyDescent="0.15">
      <c r="A37" s="9" t="s">
        <v>23</v>
      </c>
      <c r="B37" s="9" t="s">
        <v>308</v>
      </c>
      <c r="C37" s="9">
        <f>C27</f>
        <v>98.71</v>
      </c>
    </row>
  </sheetData>
  <sheetProtection algorithmName="SHA-512" hashValue="fBCw4FfuXAW6cat51d2jN8HnBhbzM5CxOPPofvu4Lks8yGvG1T1R1O8Ww4S9dIurMrCLQe5aUdRj+Pi+Eqxvcg==" saltValue="SZihlkPp6C7gEj0gYDGSWQ==" spinCount="100000" sheet="1" objects="1" scenarios="1"/>
  <customSheetViews>
    <customSheetView guid="{9F73C155-CDDB-4969-BDA6-6B1932D3C988}" hiddenRows="1">
      <selection activeCell="C2" sqref="C2"/>
      <pageMargins left="0.7" right="0.7" top="0.75" bottom="0.75" header="0.3" footer="0.3"/>
    </customSheetView>
  </customSheetViews>
  <phoneticPr fontId="1" type="noConversion"/>
  <dataValidations xWindow="478" yWindow="370" count="12">
    <dataValidation type="whole" allowBlank="1" showErrorMessage="1" error="设置值超过最大值" prompt="应在包间隔范围内" sqref="C10">
      <formula1>0</formula1>
      <formula2>C32</formula2>
    </dataValidation>
    <dataValidation type="whole" allowBlank="1" error="设置值超过包间隔范围" prompt="设置值应在预留带宽范围内" sqref="C13:C14">
      <formula1>0</formula1>
      <formula2>C13</formula2>
    </dataValidation>
    <dataValidation type="whole" allowBlank="1" showInputMessage="1" showErrorMessage="1" errorTitle="Input parameter error" error="Input range:[0, 'GevSCPDMaxValue'], and is an integer multiple of 1" sqref="C9">
      <formula1>0</formula1>
      <formula2>C10</formula2>
    </dataValidation>
    <dataValidation type="whole" allowBlank="1" showInputMessage="1" showErrorMessage="1" errorTitle="Input parameter error" error="Input range:[0, 'BandwidthReserveMaxValue'], and is an integer multiple of 1" sqref="C12">
      <formula1>0</formula1>
      <formula2>C33</formula2>
    </dataValidation>
    <dataValidation type="custom" allowBlank="1" showInputMessage="1" showErrorMessage="1" errorTitle="Input parameter error" error="Input range:[64, 800],and is an integer multiple of 16" sqref="C2">
      <formula1>AND((C2&lt;=800),(C2&gt;=64),(MOD(C2,16)=0))</formula1>
    </dataValidation>
    <dataValidation type="custom" allowBlank="1" showInputMessage="1" showErrorMessage="1" errorTitle="Input parameter error" error="Input range:[64, 600],and is an integer multiple of 2" sqref="C3">
      <formula1>AND((C3&lt;=600),(C3&gt;=64),(MOD(C3,2)=0))</formula1>
    </dataValidation>
    <dataValidation type="whole" allowBlank="1" showInputMessage="1" showErrorMessage="1" errorTitle="Input parameter error" error="Input range:[20, 1000000]" sqref="C4">
      <formula1>20</formula1>
      <formula2>1000000</formula2>
    </dataValidation>
    <dataValidation type="custom" allowBlank="1" showInputMessage="1" showErrorMessage="1" errorTitle="Input parameter error" error="Input 8 or 10" sqref="C5">
      <formula1>OR((C5=8),(C5=10))</formula1>
    </dataValidation>
    <dataValidation type="custom" allowBlank="1" showInputMessage="1" showErrorMessage="1" errorTitle="Input parameter error" error="Input range:[512, 8192],and is an integer multiple of 4" sqref="C8">
      <formula1>AND((C8&lt;=8192),(C8&gt;=512),(MOD(C8,4)=0))</formula1>
    </dataValidation>
    <dataValidation type="custom" allowBlank="1" showInputMessage="1" showErrorMessage="1" errorTitle="Input parameter error" error="Input 1000 or 100" sqref="C11">
      <formula1>OR((C11=1000),(C11=100))</formula1>
    </dataValidation>
    <dataValidation type="custom" allowBlank="1" showErrorMessage="1" errorTitle="Input parameter error" error="Input range:[0.1, 10000]" prompt="应在包间隔范围内" sqref="C6">
      <formula1>AND(TRUNC(C6,1)=C6,(C6&gt;=1),(C6&lt;=100000))</formula1>
    </dataValidation>
    <dataValidation type="whole" allowBlank="1" showInputMessage="1" showErrorMessage="1" errorTitle="Input parameter error" error="Input 0 or 1" sqref="C7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3"/>
  <sheetViews>
    <sheetView topLeftCell="B1" zoomScaleNormal="100" workbookViewId="0">
      <selection activeCell="E50" sqref="E50"/>
    </sheetView>
  </sheetViews>
  <sheetFormatPr defaultRowHeight="13.5" x14ac:dyDescent="0.15"/>
  <cols>
    <col min="1" max="1" width="20.125" hidden="1" customWidth="1"/>
    <col min="2" max="2" width="29.5" customWidth="1"/>
    <col min="3" max="3" width="14.625" customWidth="1"/>
  </cols>
  <sheetData>
    <row r="1" spans="1:3" s="3" customFormat="1" x14ac:dyDescent="0.15">
      <c r="A1" s="4" t="s">
        <v>31</v>
      </c>
      <c r="B1" s="4"/>
      <c r="C1" s="2"/>
    </row>
    <row r="2" spans="1:3" s="3" customFormat="1" x14ac:dyDescent="0.15">
      <c r="A2" s="4" t="s">
        <v>32</v>
      </c>
      <c r="B2" s="4" t="s">
        <v>33</v>
      </c>
      <c r="C2" s="2">
        <v>2592</v>
      </c>
    </row>
    <row r="3" spans="1:3" s="3" customFormat="1" x14ac:dyDescent="0.15">
      <c r="A3" s="4" t="s">
        <v>34</v>
      </c>
      <c r="B3" s="4" t="s">
        <v>35</v>
      </c>
      <c r="C3" s="2">
        <v>1944</v>
      </c>
    </row>
    <row r="4" spans="1:3" s="3" customFormat="1" x14ac:dyDescent="0.15">
      <c r="A4" s="4" t="s">
        <v>36</v>
      </c>
      <c r="B4" s="4" t="s">
        <v>63</v>
      </c>
      <c r="C4" s="2">
        <v>60000</v>
      </c>
    </row>
    <row r="5" spans="1:3" s="3" customFormat="1" x14ac:dyDescent="0.15">
      <c r="A5" s="4" t="s">
        <v>37</v>
      </c>
      <c r="B5" s="4" t="s">
        <v>38</v>
      </c>
      <c r="C5" s="2">
        <v>8</v>
      </c>
    </row>
    <row r="6" spans="1:3" s="3" customFormat="1" x14ac:dyDescent="0.15">
      <c r="A6" s="4" t="s">
        <v>39</v>
      </c>
      <c r="B6" s="4" t="s">
        <v>11</v>
      </c>
      <c r="C6" s="2">
        <v>1500</v>
      </c>
    </row>
    <row r="7" spans="1:3" s="3" customFormat="1" x14ac:dyDescent="0.15">
      <c r="A7" s="4" t="s">
        <v>40</v>
      </c>
      <c r="B7" s="4" t="s">
        <v>12</v>
      </c>
      <c r="C7" s="2">
        <v>0</v>
      </c>
    </row>
    <row r="8" spans="1:3" s="3" customFormat="1" x14ac:dyDescent="0.15">
      <c r="A8" s="4" t="s">
        <v>59</v>
      </c>
      <c r="B8" s="4" t="s">
        <v>61</v>
      </c>
      <c r="C8" s="4">
        <f>C29</f>
        <v>63793</v>
      </c>
    </row>
    <row r="9" spans="1:3" s="3" customFormat="1" x14ac:dyDescent="0.15">
      <c r="A9" s="4" t="s">
        <v>41</v>
      </c>
      <c r="B9" s="4" t="s">
        <v>315</v>
      </c>
      <c r="C9" s="2">
        <v>1000</v>
      </c>
    </row>
    <row r="10" spans="1:3" s="3" customFormat="1" x14ac:dyDescent="0.15">
      <c r="A10" s="4" t="s">
        <v>42</v>
      </c>
      <c r="B10" s="4" t="s">
        <v>28</v>
      </c>
      <c r="C10" s="2">
        <v>10</v>
      </c>
    </row>
    <row r="11" spans="1:3" s="3" customFormat="1" x14ac:dyDescent="0.15">
      <c r="A11" s="4" t="s">
        <v>60</v>
      </c>
      <c r="B11" s="4" t="s">
        <v>62</v>
      </c>
      <c r="C11" s="4">
        <f>C32</f>
        <v>97</v>
      </c>
    </row>
    <row r="12" spans="1:3" s="3" customFormat="1" ht="14.25" customHeight="1" x14ac:dyDescent="0.15">
      <c r="A12" s="4" t="s">
        <v>76</v>
      </c>
      <c r="B12" s="4" t="s">
        <v>316</v>
      </c>
      <c r="C12" s="2">
        <v>14</v>
      </c>
    </row>
    <row r="13" spans="1:3" s="3" customFormat="1" ht="14.25" customHeight="1" x14ac:dyDescent="0.15">
      <c r="A13" s="4" t="s">
        <v>117</v>
      </c>
      <c r="B13" s="4" t="s">
        <v>318</v>
      </c>
      <c r="C13" s="2">
        <v>0</v>
      </c>
    </row>
    <row r="14" spans="1:3" s="3" customFormat="1" ht="14.25" customHeight="1" x14ac:dyDescent="0.15">
      <c r="A14" s="4"/>
      <c r="B14" s="4"/>
      <c r="C14" s="2"/>
    </row>
    <row r="15" spans="1:3" s="7" customFormat="1" hidden="1" x14ac:dyDescent="0.15">
      <c r="A15" s="4"/>
      <c r="B15" s="4"/>
      <c r="C15" s="4"/>
    </row>
    <row r="16" spans="1:3" s="7" customFormat="1" ht="16.5" hidden="1" customHeight="1" x14ac:dyDescent="0.15">
      <c r="A16" s="10" t="s">
        <v>82</v>
      </c>
      <c r="B16" s="4"/>
      <c r="C16" s="6">
        <f>C12*10</f>
        <v>140</v>
      </c>
    </row>
    <row r="17" spans="1:3" s="7" customFormat="1" ht="13.5" hidden="1" customHeight="1" x14ac:dyDescent="0.15">
      <c r="A17" s="10" t="s">
        <v>47</v>
      </c>
      <c r="B17" s="6"/>
      <c r="C17" s="6">
        <f>IF(C5=8,19,1983)</f>
        <v>19</v>
      </c>
    </row>
    <row r="18" spans="1:3" s="7" customFormat="1" ht="13.5" hidden="1" customHeight="1" x14ac:dyDescent="0.15">
      <c r="A18" s="10" t="s">
        <v>48</v>
      </c>
      <c r="B18" s="6"/>
      <c r="C18" s="6">
        <f>ROUNDUP((C3+C17+1)*C19/1000,0)</f>
        <v>71441</v>
      </c>
    </row>
    <row r="19" spans="1:3" s="7" customFormat="1" ht="13.5" hidden="1" customHeight="1" x14ac:dyDescent="0.15">
      <c r="A19" s="10" t="s">
        <v>49</v>
      </c>
      <c r="B19" s="6"/>
      <c r="C19" s="6">
        <f>ROUNDUP(ROUNDDOWN(MAX(((C2/2)+450),487),0) * 1000 /48, 0)</f>
        <v>36375</v>
      </c>
    </row>
    <row r="20" spans="1:3" s="7" customFormat="1" ht="13.5" hidden="1" customHeight="1" x14ac:dyDescent="0.15">
      <c r="A20" s="10" t="s">
        <v>50</v>
      </c>
      <c r="B20" s="6"/>
      <c r="C20" s="6">
        <f>ROUNDUP((C4*48)/MAX((C2/2)+450,487),0)</f>
        <v>1650</v>
      </c>
    </row>
    <row r="21" spans="1:3" s="7" customFormat="1" ht="13.5" hidden="1" customHeight="1" x14ac:dyDescent="0.15">
      <c r="A21" s="6" t="s">
        <v>43</v>
      </c>
      <c r="B21" s="6"/>
      <c r="C21" s="6">
        <f>ROUNDDOWN(C2*C3*ROUNDUP(C5/8,0)/(C6-36),0)</f>
        <v>3441</v>
      </c>
    </row>
    <row r="22" spans="1:3" s="7" customFormat="1" ht="13.5" hidden="1" customHeight="1" x14ac:dyDescent="0.15">
      <c r="A22" s="6" t="s">
        <v>44</v>
      </c>
      <c r="B22" s="6"/>
      <c r="C22" s="6">
        <f>C2*C3*ROUNDUP(C5/8,0)-(C6-36)*C21</f>
        <v>1224</v>
      </c>
    </row>
    <row r="23" spans="1:3" s="7" customFormat="1" ht="13.5" hidden="1" customHeight="1" x14ac:dyDescent="0.15">
      <c r="A23" s="6" t="s">
        <v>45</v>
      </c>
      <c r="B23" s="6"/>
      <c r="C23" s="6">
        <f>(62+(C6-36))*C21+(62+C22)+(C7+12)*(C21+3)+168</f>
        <v>5293748</v>
      </c>
    </row>
    <row r="24" spans="1:3" s="7" customFormat="1" ht="13.5" hidden="1" customHeight="1" x14ac:dyDescent="0.15">
      <c r="A24" s="6" t="s">
        <v>19</v>
      </c>
      <c r="B24" s="6"/>
      <c r="C24" s="6">
        <f>ROUNDUP(C23/ROUNDDOWN(C9*(100-C10)/100,0),0)*8</f>
        <v>47056</v>
      </c>
    </row>
    <row r="25" spans="1:3" s="7" customFormat="1" ht="13.5" hidden="1" customHeight="1" x14ac:dyDescent="0.15">
      <c r="A25" s="6" t="s">
        <v>22</v>
      </c>
      <c r="B25" s="6"/>
      <c r="C25" s="6">
        <f>IF(C13=1,MAX(C18,C26,C24,C33),MAX(C18,C26,C24))</f>
        <v>71441</v>
      </c>
    </row>
    <row r="26" spans="1:3" s="7" customFormat="1" ht="13.5" hidden="1" customHeight="1" x14ac:dyDescent="0.15">
      <c r="A26" s="6" t="s">
        <v>64</v>
      </c>
      <c r="B26" s="6"/>
      <c r="C26" s="6">
        <f>ROUNDUP(((C20+3)*C19/1000),0)</f>
        <v>60128</v>
      </c>
    </row>
    <row r="27" spans="1:3" s="7" customFormat="1" ht="13.5" hidden="1" customHeight="1" x14ac:dyDescent="0.15">
      <c r="A27" s="6" t="s">
        <v>57</v>
      </c>
      <c r="B27" s="6"/>
      <c r="C27" s="6">
        <f>2500*C9*(100-C10)</f>
        <v>225000000</v>
      </c>
    </row>
    <row r="28" spans="1:3" s="7" customFormat="1" ht="13.5" hidden="1" customHeight="1" x14ac:dyDescent="0.15">
      <c r="A28" s="6" t="s">
        <v>54</v>
      </c>
      <c r="B28" s="6"/>
      <c r="C28" s="6">
        <f>ROUNDDOWN((C27-(62+(C6-36))*C21-62-C22-168)/(C21+3),0)-12</f>
        <v>63793</v>
      </c>
    </row>
    <row r="29" spans="1:3" s="7" customFormat="1" ht="13.5" hidden="1" customHeight="1" x14ac:dyDescent="0.15">
      <c r="A29" s="6" t="s">
        <v>79</v>
      </c>
      <c r="B29" s="6"/>
      <c r="C29" s="6">
        <f>IF(C28&gt;180000,180000,C28)</f>
        <v>63793</v>
      </c>
    </row>
    <row r="30" spans="1:3" s="7" customFormat="1" ht="13.5" hidden="1" customHeight="1" x14ac:dyDescent="0.15">
      <c r="A30" s="6" t="s">
        <v>58</v>
      </c>
      <c r="B30" s="6"/>
      <c r="C30" s="6">
        <f>((62+(C6-36))*C21+62+C22+168)+(C7+12)*(C21+3)</f>
        <v>5293748</v>
      </c>
    </row>
    <row r="31" spans="1:3" s="7" customFormat="1" ht="13.5" hidden="1" customHeight="1" x14ac:dyDescent="0.15">
      <c r="A31" s="6" t="s">
        <v>56</v>
      </c>
      <c r="B31" s="6"/>
      <c r="C31" s="6">
        <f>250000*C9</f>
        <v>250000000</v>
      </c>
    </row>
    <row r="32" spans="1:3" s="7" customFormat="1" ht="13.5" hidden="1" customHeight="1" x14ac:dyDescent="0.15">
      <c r="A32" s="6" t="s">
        <v>55</v>
      </c>
      <c r="B32" s="6"/>
      <c r="C32" s="6">
        <f>100-ROUNDDOWN(C30*10/(C31/10),0)-1</f>
        <v>97</v>
      </c>
    </row>
    <row r="33" spans="1:3" s="7" customFormat="1" ht="13.5" hidden="1" customHeight="1" x14ac:dyDescent="0.15">
      <c r="A33" s="6" t="s">
        <v>77</v>
      </c>
      <c r="B33" s="6"/>
      <c r="C33" s="6">
        <f>ROUNDDOWN(10000000/C16,0)</f>
        <v>71428</v>
      </c>
    </row>
    <row r="34" spans="1:3" s="7" customFormat="1" ht="13.5" hidden="1" customHeight="1" x14ac:dyDescent="0.15">
      <c r="A34" s="6"/>
      <c r="B34" s="6"/>
      <c r="C34" s="6"/>
    </row>
    <row r="35" spans="1:3" s="7" customFormat="1" ht="13.5" hidden="1" customHeight="1" x14ac:dyDescent="0.15">
      <c r="A35" s="6"/>
      <c r="B35" s="6"/>
      <c r="C35" s="6"/>
    </row>
    <row r="36" spans="1:3" s="7" customFormat="1" ht="13.5" hidden="1" customHeight="1" x14ac:dyDescent="0.15">
      <c r="A36" s="6" t="s">
        <v>65</v>
      </c>
      <c r="B36" s="6"/>
      <c r="C36" s="6">
        <f>ROUND(1000000/C25,2)</f>
        <v>14</v>
      </c>
    </row>
    <row r="37" spans="1:3" s="7" customFormat="1" hidden="1" x14ac:dyDescent="0.15">
      <c r="A37" s="6"/>
      <c r="B37" s="6"/>
      <c r="C37" s="6"/>
    </row>
    <row r="38" spans="1:3" s="7" customFormat="1" x14ac:dyDescent="0.15">
      <c r="A38" s="6"/>
      <c r="B38" s="6"/>
      <c r="C38" s="6"/>
    </row>
    <row r="39" spans="1:3" s="7" customFormat="1" x14ac:dyDescent="0.15">
      <c r="A39" s="6"/>
      <c r="B39" s="6"/>
      <c r="C39" s="6"/>
    </row>
    <row r="40" spans="1:3" s="7" customFormat="1" x14ac:dyDescent="0.15">
      <c r="A40" s="4"/>
      <c r="B40" s="4"/>
      <c r="C40" s="4"/>
    </row>
    <row r="41" spans="1:3" s="7" customFormat="1" ht="18.75" x14ac:dyDescent="0.15">
      <c r="A41" s="12" t="s">
        <v>46</v>
      </c>
      <c r="B41" s="12"/>
      <c r="C41" s="13"/>
    </row>
    <row r="42" spans="1:3" s="7" customFormat="1" ht="18.75" x14ac:dyDescent="0.15">
      <c r="A42" s="12" t="s">
        <v>51</v>
      </c>
      <c r="B42" s="12" t="s">
        <v>308</v>
      </c>
      <c r="C42" s="12">
        <f>C36</f>
        <v>14</v>
      </c>
    </row>
    <row r="43" spans="1:3" x14ac:dyDescent="0.15">
      <c r="B43" s="5"/>
    </row>
  </sheetData>
  <sheetProtection algorithmName="SHA-512" hashValue="9V3p+uFk6DdO5XPPq2+xnR4Sq9gx244sKy4PujY+D6e2QaYpElfcK9CVd1IQfI9sMmnUJKW8lNlejl2oaS+ITA==" saltValue="bYCuDchFCKmwAUIHvwcSAA==" spinCount="100000" sheet="1" objects="1" scenarios="1"/>
  <customSheetViews>
    <customSheetView guid="{9F73C155-CDDB-4969-BDA6-6B1932D3C988}" hiddenRows="1">
      <selection activeCell="A4" sqref="A4:C12"/>
      <pageMargins left="0.7" right="0.7" top="0.75" bottom="0.75" header="0.3" footer="0.3"/>
      <pageSetup paperSize="9" orientation="portrait" verticalDpi="0" r:id="rId1"/>
    </customSheetView>
  </customSheetViews>
  <phoneticPr fontId="1" type="noConversion"/>
  <dataValidations xWindow="438" yWindow="403" count="13">
    <dataValidation type="whole" allowBlank="1" showErrorMessage="1" error="设置值超过最大值" prompt="应在包间隔范围内" sqref="C8">
      <formula1>0</formula1>
      <formula2>C37</formula2>
    </dataValidation>
    <dataValidation type="whole" allowBlank="1" error="设置值超过包间隔范围" prompt="设置值应在预留带宽范围内" sqref="C11">
      <formula1>0</formula1>
      <formula2>C40</formula2>
    </dataValidation>
    <dataValidation type="whole" allowBlank="1" showInputMessage="1" showErrorMessage="1" errorTitle="Input parameter error" error="Input range:[0, 'GevSCPDMaxValue'], and is an integer multiple of 1" sqref="C7">
      <formula1>0</formula1>
      <formula2>C8</formula2>
    </dataValidation>
    <dataValidation type="whole" allowBlank="1" showInputMessage="1" showErrorMessage="1" errorTitle="Input parameter error" error="Input range:[0, 'BandwidthReserveMaxValue'], and is an integer multiple of 1" sqref="C10">
      <formula1>0</formula1>
      <formula2>C11</formula2>
    </dataValidation>
    <dataValidation type="custom" allowBlank="1" showInputMessage="1" showErrorMessage="1" errorTitle="Input parameter error" error="Input range:[64, 2592],and is an integer multiple of 4" sqref="C2">
      <formula1>AND((C2&lt;=2592),(C2&gt;=64),(MOD(C2,4)=0))</formula1>
    </dataValidation>
    <dataValidation type="custom" allowBlank="1" showInputMessage="1" showErrorMessage="1" errorTitle="Input parameter error" error="Input range:[64, 1944],and is an integer multiple of 2" sqref="C3">
      <formula1>AND((C3&lt;=1944),(C3&gt;=64),(MOD(C3,2)=0))</formula1>
    </dataValidation>
    <dataValidation type="whole" allowBlank="1" showInputMessage="1" showErrorMessage="1" errorTitle="Input parameter error" error="Input range:[36, 1000000]" sqref="C4">
      <formula1>36</formula1>
      <formula2>1000000</formula2>
    </dataValidation>
    <dataValidation type="custom" allowBlank="1" showInputMessage="1" showErrorMessage="1" errorTitle="Input parameter error" error="Input 8 or 10" sqref="C5">
      <formula1>OR((C5=8),(C5=10))</formula1>
    </dataValidation>
    <dataValidation type="custom" allowBlank="1" showInputMessage="1" showErrorMessage="1" errorTitle="Input parameter error" error="Input range:[512, 8192],and is an integer multiple of 4" sqref="C6">
      <formula1>AND((C6&lt;=8192),(C6&gt;=512),(MOD(C6,4)=0))</formula1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custom" allowBlank="1" showErrorMessage="1" error="设置值范围1.0~100000.0，精确到一位小数" prompt="设置值应在预留带宽范围内" sqref="C14">
      <formula1>AND(TRUNC(C14,1)=C14,(C14&gt;=1),(C14&lt;=100000))</formula1>
    </dataValidation>
    <dataValidation type="custom" allowBlank="1" showErrorMessage="1" errorTitle="Input parameter error" error="Input 0 or 1" prompt="设置值应在预留带宽范围内" sqref="C13">
      <formula1>OR((C13=0),(C13=1))</formula1>
    </dataValidation>
    <dataValidation type="custom" allowBlank="1" showErrorMessage="1" errorTitle="Input parameter error" error="Input range:[0.1, 10000]" prompt="设置值应在预留带宽范围内" sqref="C12">
      <formula1>AND(TRUNC(C12,1)=C12,(C12&gt;=0.1),(C12&lt;=10000))</formula1>
    </dataValidation>
  </dataValidations>
  <pageMargins left="0.7" right="0.7" top="0.75" bottom="0.75" header="0.3" footer="0.3"/>
  <pageSetup paperSize="9"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34"/>
  <sheetViews>
    <sheetView topLeftCell="B1" workbookViewId="0">
      <selection activeCell="C8" sqref="C8"/>
    </sheetView>
  </sheetViews>
  <sheetFormatPr defaultRowHeight="13.5" x14ac:dyDescent="0.15"/>
  <cols>
    <col min="1" max="1" width="22.125" hidden="1" customWidth="1"/>
    <col min="2" max="2" width="29.375" customWidth="1"/>
    <col min="3" max="3" width="11.875" customWidth="1"/>
  </cols>
  <sheetData>
    <row r="1" spans="1:3" s="3" customFormat="1" x14ac:dyDescent="0.15">
      <c r="A1" s="4" t="s">
        <v>118</v>
      </c>
      <c r="B1" s="4"/>
      <c r="C1" s="2"/>
    </row>
    <row r="2" spans="1:3" s="3" customFormat="1" x14ac:dyDescent="0.15">
      <c r="A2" s="4" t="s">
        <v>119</v>
      </c>
      <c r="B2" s="4" t="s">
        <v>120</v>
      </c>
      <c r="C2" s="2">
        <v>4608</v>
      </c>
    </row>
    <row r="3" spans="1:3" s="3" customFormat="1" x14ac:dyDescent="0.15">
      <c r="A3" s="4" t="s">
        <v>121</v>
      </c>
      <c r="B3" s="4" t="s">
        <v>122</v>
      </c>
      <c r="C3" s="2">
        <v>3288</v>
      </c>
    </row>
    <row r="4" spans="1:3" s="3" customFormat="1" x14ac:dyDescent="0.15">
      <c r="A4" s="4" t="s">
        <v>123</v>
      </c>
      <c r="B4" s="4" t="s">
        <v>124</v>
      </c>
      <c r="C4" s="2">
        <v>60000</v>
      </c>
    </row>
    <row r="5" spans="1:3" s="3" customFormat="1" x14ac:dyDescent="0.15">
      <c r="A5" s="4" t="s">
        <v>125</v>
      </c>
      <c r="B5" s="4" t="s">
        <v>126</v>
      </c>
      <c r="C5" s="2">
        <v>8</v>
      </c>
    </row>
    <row r="6" spans="1:3" s="3" customFormat="1" x14ac:dyDescent="0.15">
      <c r="A6" s="4" t="s">
        <v>127</v>
      </c>
      <c r="B6" s="4" t="s">
        <v>11</v>
      </c>
      <c r="C6" s="2">
        <v>1500</v>
      </c>
    </row>
    <row r="7" spans="1:3" s="3" customFormat="1" x14ac:dyDescent="0.15">
      <c r="A7" s="4" t="s">
        <v>128</v>
      </c>
      <c r="B7" s="4" t="s">
        <v>12</v>
      </c>
      <c r="C7" s="2">
        <v>0</v>
      </c>
    </row>
    <row r="8" spans="1:3" s="3" customFormat="1" x14ac:dyDescent="0.15">
      <c r="A8" s="4" t="s">
        <v>129</v>
      </c>
      <c r="B8" s="4" t="s">
        <v>130</v>
      </c>
      <c r="C8" s="4">
        <f>IF(C26&gt;180000,180000,C26)</f>
        <v>9329</v>
      </c>
    </row>
    <row r="9" spans="1:3" s="3" customFormat="1" x14ac:dyDescent="0.15">
      <c r="A9" s="4" t="s">
        <v>131</v>
      </c>
      <c r="B9" s="4" t="s">
        <v>315</v>
      </c>
      <c r="C9" s="2">
        <v>1000</v>
      </c>
    </row>
    <row r="10" spans="1:3" s="3" customFormat="1" x14ac:dyDescent="0.15">
      <c r="A10" s="4" t="s">
        <v>132</v>
      </c>
      <c r="B10" s="4" t="s">
        <v>28</v>
      </c>
      <c r="C10" s="2">
        <v>10</v>
      </c>
    </row>
    <row r="11" spans="1:3" s="3" customFormat="1" x14ac:dyDescent="0.15">
      <c r="A11" s="4" t="s">
        <v>133</v>
      </c>
      <c r="B11" s="4" t="s">
        <v>134</v>
      </c>
      <c r="C11" s="4">
        <f>C25</f>
        <v>87</v>
      </c>
    </row>
    <row r="12" spans="1:3" s="7" customFormat="1" x14ac:dyDescent="0.15">
      <c r="A12" s="4" t="s">
        <v>135</v>
      </c>
      <c r="B12" s="4" t="s">
        <v>136</v>
      </c>
      <c r="C12" s="2">
        <v>0</v>
      </c>
    </row>
    <row r="13" spans="1:3" s="7" customFormat="1" x14ac:dyDescent="0.15">
      <c r="A13" s="4"/>
      <c r="B13" s="4"/>
      <c r="C13" s="4"/>
    </row>
    <row r="14" spans="1:3" s="7" customFormat="1" hidden="1" x14ac:dyDescent="0.15">
      <c r="A14" s="10" t="s">
        <v>137</v>
      </c>
      <c r="B14" s="6"/>
      <c r="C14" s="6">
        <f>ROUNDDOWN((ROUNDUP(C5/8,0)*C3+3092) * 4920 / 220, 0)</f>
        <v>142680</v>
      </c>
    </row>
    <row r="15" spans="1:3" s="7" customFormat="1" hidden="1" x14ac:dyDescent="0.15">
      <c r="A15" s="10" t="s">
        <v>138</v>
      </c>
      <c r="B15" s="6"/>
      <c r="C15" s="6">
        <f>ROUNDDOWN(C2*C3*ROUNDUP(C5/8,0)/(C6-36),0)</f>
        <v>10349</v>
      </c>
    </row>
    <row r="16" spans="1:3" s="7" customFormat="1" ht="13.5" hidden="1" customHeight="1" x14ac:dyDescent="0.15">
      <c r="A16" s="10" t="s">
        <v>139</v>
      </c>
      <c r="B16" s="6"/>
      <c r="C16" s="6">
        <f>C2*C3*ROUNDUP(C5/8,0)-(C6-36)*C15</f>
        <v>168</v>
      </c>
    </row>
    <row r="17" spans="1:3" s="7" customFormat="1" hidden="1" x14ac:dyDescent="0.15">
      <c r="A17" s="10" t="s">
        <v>140</v>
      </c>
      <c r="B17" s="6"/>
      <c r="C17" s="6">
        <f>(62+(C6-36))*C15+(62+C16)+(C7+12)*(C15+3)+168</f>
        <v>15917196</v>
      </c>
    </row>
    <row r="18" spans="1:3" s="7" customFormat="1" hidden="1" x14ac:dyDescent="0.15">
      <c r="A18" s="6" t="s">
        <v>141</v>
      </c>
      <c r="B18" s="6"/>
      <c r="C18" s="6">
        <f>ROUNDDOWN(C17/ROUNDDOWN(C9*(100-C10)/100,0),0)*8</f>
        <v>141480</v>
      </c>
    </row>
    <row r="19" spans="1:3" s="7" customFormat="1" hidden="1" x14ac:dyDescent="0.15">
      <c r="A19" s="6" t="s">
        <v>142</v>
      </c>
      <c r="B19" s="6"/>
      <c r="C19" s="6">
        <f>MAX(C4,C14,C18)</f>
        <v>142680</v>
      </c>
    </row>
    <row r="20" spans="1:3" s="7" customFormat="1" hidden="1" x14ac:dyDescent="0.15">
      <c r="A20" s="6" t="s">
        <v>143</v>
      </c>
      <c r="B20" s="6"/>
      <c r="C20" s="6">
        <f>ROUND(1000000/C19,2)</f>
        <v>7.01</v>
      </c>
    </row>
    <row r="21" spans="1:3" s="7" customFormat="1" hidden="1" x14ac:dyDescent="0.15">
      <c r="A21" s="6" t="s">
        <v>144</v>
      </c>
      <c r="B21" s="6"/>
      <c r="C21" s="6">
        <f>1250*C9*(100-C10)</f>
        <v>112500000</v>
      </c>
    </row>
    <row r="22" spans="1:3" s="7" customFormat="1" hidden="1" x14ac:dyDescent="0.15">
      <c r="A22" s="6" t="s">
        <v>145</v>
      </c>
      <c r="B22" s="6"/>
      <c r="C22" s="6">
        <f>IF((ROUNDDOWN((C21-(62+(C6-36))*C15-62-C16-168)/(C15+3),0)-12)&lt;0,0,(ROUNDDOWN((C21-(62+(C6-36))*C15-62-C16-168)/(C15+3),0)-12))</f>
        <v>9329</v>
      </c>
    </row>
    <row r="23" spans="1:3" s="7" customFormat="1" hidden="1" x14ac:dyDescent="0.15">
      <c r="A23" s="6" t="s">
        <v>58</v>
      </c>
      <c r="B23" s="6"/>
      <c r="C23" s="6">
        <f>((62+(C6-36))*C15+62+C16+168)+(C7+12)*(C15+3)</f>
        <v>15917196</v>
      </c>
    </row>
    <row r="24" spans="1:3" s="7" customFormat="1" hidden="1" x14ac:dyDescent="0.15">
      <c r="A24" s="6" t="s">
        <v>56</v>
      </c>
      <c r="B24" s="6"/>
      <c r="C24" s="6">
        <f>125000*C9</f>
        <v>125000000</v>
      </c>
    </row>
    <row r="25" spans="1:3" s="7" customFormat="1" hidden="1" x14ac:dyDescent="0.15">
      <c r="A25" s="6" t="s">
        <v>146</v>
      </c>
      <c r="B25" s="6"/>
      <c r="C25" s="6">
        <f>IF((100-ROUNDDOWN(C23*10/(C24/10),0)-1)&lt;0,0,(100-ROUNDDOWN(C23*10/(C24/10),0)-1))</f>
        <v>87</v>
      </c>
    </row>
    <row r="26" spans="1:3" s="7" customFormat="1" hidden="1" x14ac:dyDescent="0.15">
      <c r="A26" s="6" t="s">
        <v>147</v>
      </c>
      <c r="B26" s="6"/>
      <c r="C26" s="6">
        <f>IF(C22&gt;180000,180000,C22)</f>
        <v>9329</v>
      </c>
    </row>
    <row r="27" spans="1:3" s="7" customFormat="1" hidden="1" x14ac:dyDescent="0.15">
      <c r="A27" s="6" t="s">
        <v>148</v>
      </c>
      <c r="B27" s="6"/>
      <c r="C27" s="6">
        <v>5800</v>
      </c>
    </row>
    <row r="28" spans="1:3" s="7" customFormat="1" hidden="1" x14ac:dyDescent="0.15">
      <c r="A28" s="6" t="s">
        <v>149</v>
      </c>
      <c r="B28" s="6"/>
      <c r="C28" s="6">
        <f>ROUNDDOWN(C3 * 4920 / 220, 0)+C4+C27</f>
        <v>139331</v>
      </c>
    </row>
    <row r="29" spans="1:3" s="7" customFormat="1" hidden="1" x14ac:dyDescent="0.15">
      <c r="A29" s="6" t="s">
        <v>150</v>
      </c>
      <c r="B29" s="6"/>
      <c r="C29" s="6">
        <f>MAX(C14,C18,C28)</f>
        <v>142680</v>
      </c>
    </row>
    <row r="30" spans="1:3" hidden="1" x14ac:dyDescent="0.15">
      <c r="A30" s="6" t="s">
        <v>152</v>
      </c>
      <c r="B30" s="6"/>
      <c r="C30" s="6">
        <f>ROUND(1000000/C29,2)</f>
        <v>7.01</v>
      </c>
    </row>
    <row r="31" spans="1:3" x14ac:dyDescent="0.15">
      <c r="A31" s="6"/>
      <c r="B31" s="6"/>
      <c r="C31" s="6"/>
    </row>
    <row r="32" spans="1:3" x14ac:dyDescent="0.15">
      <c r="A32" s="6"/>
      <c r="B32" s="6"/>
      <c r="C32" s="6"/>
    </row>
    <row r="33" spans="1:3" ht="14.25" x14ac:dyDescent="0.15">
      <c r="A33" s="11" t="s">
        <v>151</v>
      </c>
      <c r="B33" s="11"/>
      <c r="C33" s="11"/>
    </row>
    <row r="34" spans="1:3" ht="18.75" x14ac:dyDescent="0.15">
      <c r="A34" s="9" t="str">
        <f>IF(C12=0,A20,A30)</f>
        <v>连续采集帧率</v>
      </c>
      <c r="B34" s="9" t="s">
        <v>308</v>
      </c>
      <c r="C34" s="9">
        <f>IF(C12=0,C20,C30)</f>
        <v>7.01</v>
      </c>
    </row>
  </sheetData>
  <sheetProtection algorithmName="SHA-512" hashValue="tlBjneHTjd6mnsBiFlUx5SG/hKW2Z71o3kgOy+Af6G5FPAsefq/l3XNbuGvHpqEx0SzBMtonXw2kzRrLVwCbVw==" saltValue="ZryLWV6BXDZ4Gpvp0JxDZw==" spinCount="100000" sheet="1" objects="1" scenarios="1"/>
  <customSheetViews>
    <customSheetView guid="{9F73C155-CDDB-4969-BDA6-6B1932D3C988}" hiddenRows="1">
      <selection activeCell="H28" sqref="H28"/>
      <pageMargins left="0.7" right="0.7" top="0.75" bottom="0.75" header="0.3" footer="0.3"/>
      <pageSetup paperSize="9" orientation="portrait" verticalDpi="0" r:id="rId1"/>
    </customSheetView>
  </customSheetViews>
  <phoneticPr fontId="1" type="noConversion"/>
  <dataValidations xWindow="500" yWindow="367" count="11">
    <dataValidation type="whole" allowBlank="1" showInputMessage="1" showErrorMessage="1" errorTitle="Input parameter error" error="Input range:[0, 'GevSCPDMaxValue'], and is an integer multiple of 1" sqref="C7">
      <formula1>0</formula1>
      <formula2>C8</formula2>
    </dataValidation>
    <dataValidation type="whole" allowBlank="1" showInputMessage="1" showErrorMessage="1" errorTitle="Input parameter error" error="Input range:[0, 'BandwidthReserveMaxValue'], and is an integer multiple of 1" sqref="C10">
      <formula1>0</formula1>
      <formula2>C11</formula2>
    </dataValidation>
    <dataValidation type="custom" allowBlank="1" showInputMessage="1" showErrorMessage="1" errorTitle="Input parameter error" error="Input range:[64, 4608],and is an integer multiple of 4" sqref="C2">
      <formula1>AND((C2&lt;=4608),(C2&gt;=64),(MOD(C2,4)=0))</formula1>
    </dataValidation>
    <dataValidation type="custom" allowBlank="1" showInputMessage="1" showErrorMessage="1" errorTitle="Input parameter error" error="Input range:[64, 3288],and s an integer multiple of 2" sqref="C3">
      <formula1>AND((C3&lt;=3288),(C3&gt;=64),(MOD(C3,2)=0))</formula1>
    </dataValidation>
    <dataValidation type="whole" allowBlank="1" showInputMessage="1" showErrorMessage="1" errorTitle="Input parameter error" error="Input range:[42, 1000000]" sqref="C4">
      <formula1>42</formula1>
      <formula2>1000000</formula2>
    </dataValidation>
    <dataValidation type="custom" allowBlank="1" showInputMessage="1" showErrorMessage="1" errorTitle="Input parameter error" error="Input 8 or 12" sqref="C5">
      <formula1>OR((C5=8),(C5=12))</formula1>
    </dataValidation>
    <dataValidation type="custom" allowBlank="1" showInputMessage="1" showErrorMessage="1" errorTitle="Input parameter error" error="Input range:[512, 8192],and is an integer multiple of 4" sqref="C6">
      <formula1>AND((C6&lt;=8192),(C6&gt;=512),(MOD(C6,4)=0))</formula1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whole" allowBlank="1" showInputMessage="1" showErrorMessage="1" errorTitle="Input parameter error" error="Input 0 or 1" promptTitle="0=off，1=on" prompt="0表示连续采集，1表示触发采集" sqref="C12">
      <formula1>0</formula1>
      <formula2>1</formula2>
    </dataValidation>
    <dataValidation type="whole" allowBlank="1" error="设置值超过包间隔范围" prompt="设置值应在预留带宽范围内" sqref="C11">
      <formula1>0</formula1>
      <formula2>C41</formula2>
    </dataValidation>
    <dataValidation type="whole" allowBlank="1" showErrorMessage="1" error="设置值超过最大值" prompt="应在包间隔范围内" sqref="C8">
      <formula1>0</formula1>
      <formula2>C39</formula2>
    </dataValidation>
  </dataValidation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41"/>
  <sheetViews>
    <sheetView topLeftCell="B1" workbookViewId="0">
      <selection activeCell="F43" sqref="F43"/>
    </sheetView>
  </sheetViews>
  <sheetFormatPr defaultRowHeight="13.5" x14ac:dyDescent="0.15"/>
  <cols>
    <col min="1" max="1" width="18.125" style="40" hidden="1" customWidth="1"/>
    <col min="2" max="2" width="27.5" style="40" customWidth="1"/>
    <col min="3" max="3" width="17.125" style="40" customWidth="1"/>
    <col min="4" max="16384" width="9" style="40"/>
  </cols>
  <sheetData>
    <row r="1" spans="1:3" x14ac:dyDescent="0.15">
      <c r="A1" s="35" t="s">
        <v>0</v>
      </c>
      <c r="B1" s="35"/>
      <c r="C1" s="34"/>
    </row>
    <row r="2" spans="1:3" x14ac:dyDescent="0.15">
      <c r="A2" s="35" t="s">
        <v>1</v>
      </c>
      <c r="B2" s="35" t="s">
        <v>7</v>
      </c>
      <c r="C2" s="34">
        <v>3840</v>
      </c>
    </row>
    <row r="3" spans="1:3" x14ac:dyDescent="0.15">
      <c r="A3" s="35" t="s">
        <v>2</v>
      </c>
      <c r="B3" s="35" t="s">
        <v>8</v>
      </c>
      <c r="C3" s="34">
        <v>2748</v>
      </c>
    </row>
    <row r="4" spans="1:3" x14ac:dyDescent="0.15">
      <c r="A4" s="35" t="s">
        <v>3</v>
      </c>
      <c r="B4" s="35" t="s">
        <v>9</v>
      </c>
      <c r="C4" s="34">
        <v>60000</v>
      </c>
    </row>
    <row r="5" spans="1:3" x14ac:dyDescent="0.15">
      <c r="A5" s="35" t="s">
        <v>4</v>
      </c>
      <c r="B5" s="35" t="s">
        <v>10</v>
      </c>
      <c r="C5" s="34">
        <v>8</v>
      </c>
    </row>
    <row r="6" spans="1:3" x14ac:dyDescent="0.15">
      <c r="A6" s="35" t="s">
        <v>5</v>
      </c>
      <c r="B6" s="35" t="s">
        <v>11</v>
      </c>
      <c r="C6" s="34">
        <v>1500</v>
      </c>
    </row>
    <row r="7" spans="1:3" x14ac:dyDescent="0.15">
      <c r="A7" s="35" t="s">
        <v>6</v>
      </c>
      <c r="B7" s="35" t="s">
        <v>12</v>
      </c>
      <c r="C7" s="34">
        <v>0</v>
      </c>
    </row>
    <row r="8" spans="1:3" x14ac:dyDescent="0.15">
      <c r="A8" s="35" t="s">
        <v>59</v>
      </c>
      <c r="B8" s="35" t="s">
        <v>165</v>
      </c>
      <c r="C8" s="35">
        <f>IF(C26&gt;C39,C39,C26)</f>
        <v>37470</v>
      </c>
    </row>
    <row r="9" spans="1:3" x14ac:dyDescent="0.15">
      <c r="A9" s="35" t="s">
        <v>775</v>
      </c>
      <c r="B9" s="35" t="s">
        <v>776</v>
      </c>
      <c r="C9" s="34">
        <v>1000</v>
      </c>
    </row>
    <row r="10" spans="1:3" x14ac:dyDescent="0.15">
      <c r="A10" s="35" t="s">
        <v>777</v>
      </c>
      <c r="B10" s="35" t="s">
        <v>28</v>
      </c>
      <c r="C10" s="34">
        <v>10</v>
      </c>
    </row>
    <row r="11" spans="1:3" x14ac:dyDescent="0.15">
      <c r="A11" s="35" t="s">
        <v>778</v>
      </c>
      <c r="B11" s="35" t="s">
        <v>779</v>
      </c>
      <c r="C11" s="35">
        <f>C29</f>
        <v>96</v>
      </c>
    </row>
    <row r="12" spans="1:3" x14ac:dyDescent="0.15">
      <c r="A12" s="35" t="s">
        <v>135</v>
      </c>
      <c r="B12" s="35" t="s">
        <v>428</v>
      </c>
      <c r="C12" s="34">
        <v>0</v>
      </c>
    </row>
    <row r="13" spans="1:3" x14ac:dyDescent="0.15">
      <c r="A13" s="35" t="s">
        <v>76</v>
      </c>
      <c r="B13" s="23" t="s">
        <v>317</v>
      </c>
      <c r="C13" s="34">
        <v>10</v>
      </c>
    </row>
    <row r="14" spans="1:3" x14ac:dyDescent="0.15">
      <c r="A14" s="35" t="s">
        <v>780</v>
      </c>
      <c r="B14" s="23" t="s">
        <v>319</v>
      </c>
      <c r="C14" s="34">
        <v>0</v>
      </c>
    </row>
    <row r="15" spans="1:3" ht="15.75" hidden="1" customHeight="1" x14ac:dyDescent="0.15">
      <c r="A15" s="35"/>
      <c r="B15" s="35"/>
      <c r="C15" s="35"/>
    </row>
    <row r="16" spans="1:3" hidden="1" x14ac:dyDescent="0.15">
      <c r="A16" s="21" t="s">
        <v>781</v>
      </c>
      <c r="B16" s="35"/>
      <c r="C16" s="35">
        <f>C13*10</f>
        <v>100</v>
      </c>
    </row>
    <row r="17" spans="1:3" hidden="1" x14ac:dyDescent="0.15">
      <c r="A17" s="38" t="s">
        <v>782</v>
      </c>
      <c r="B17" s="35"/>
      <c r="C17" s="35">
        <f>IF(C14=0,0,1)*ROUNDUP(10000000/C16,0)</f>
        <v>0</v>
      </c>
    </row>
    <row r="18" spans="1:3" hidden="1" x14ac:dyDescent="0.15">
      <c r="A18" s="21" t="s">
        <v>783</v>
      </c>
      <c r="B18" s="38"/>
      <c r="C18" s="38">
        <f>ROUNDDOWN((ROUNDUP(C5/8,0)*C3+148) * 5520 / 160, 0)</f>
        <v>99912</v>
      </c>
    </row>
    <row r="19" spans="1:3" hidden="1" x14ac:dyDescent="0.15">
      <c r="A19" s="38" t="s">
        <v>784</v>
      </c>
      <c r="B19" s="38"/>
      <c r="C19" s="38">
        <f>ROUNDDOWN(C2*C3*ROUNDUP(C5/8,0)/(C6-36),0)</f>
        <v>7207</v>
      </c>
    </row>
    <row r="20" spans="1:3" hidden="1" x14ac:dyDescent="0.15">
      <c r="A20" s="38" t="s">
        <v>785</v>
      </c>
      <c r="B20" s="38"/>
      <c r="C20" s="38">
        <f>C2*C3*ROUNDUP(C5/8,0)-(C6-36)*C19</f>
        <v>1272</v>
      </c>
    </row>
    <row r="21" spans="1:3" hidden="1" x14ac:dyDescent="0.15">
      <c r="A21" s="38" t="s">
        <v>786</v>
      </c>
      <c r="B21" s="38"/>
      <c r="C21" s="38">
        <f>(62+(C6-36))*C19+(62+C20)+(C7+12)*(C19+3)+168</f>
        <v>11085904</v>
      </c>
    </row>
    <row r="22" spans="1:3" hidden="1" x14ac:dyDescent="0.15">
      <c r="A22" s="38" t="s">
        <v>787</v>
      </c>
      <c r="B22" s="38"/>
      <c r="C22" s="38">
        <f>ROUNDDOWN(C21/ROUNDDOWN(C9*(100-C10)/100,0),0)*8</f>
        <v>98536</v>
      </c>
    </row>
    <row r="23" spans="1:3" hidden="1" x14ac:dyDescent="0.15">
      <c r="A23" s="38" t="s">
        <v>788</v>
      </c>
      <c r="B23" s="38"/>
      <c r="C23" s="38">
        <f>MAX(C4,C18,C22,C17)</f>
        <v>99912</v>
      </c>
    </row>
    <row r="24" spans="1:3" hidden="1" x14ac:dyDescent="0.15">
      <c r="A24" s="38" t="s">
        <v>789</v>
      </c>
      <c r="B24" s="38"/>
      <c r="C24" s="38">
        <f>ROUND(1000000/C23,2)</f>
        <v>10.01</v>
      </c>
    </row>
    <row r="25" spans="1:3" hidden="1" x14ac:dyDescent="0.15">
      <c r="A25" s="38" t="s">
        <v>790</v>
      </c>
      <c r="B25" s="38"/>
      <c r="C25" s="38">
        <f>3125*C9*(100-C10)</f>
        <v>281250000</v>
      </c>
    </row>
    <row r="26" spans="1:3" hidden="1" x14ac:dyDescent="0.15">
      <c r="A26" s="38" t="s">
        <v>791</v>
      </c>
      <c r="B26" s="38"/>
      <c r="C26" s="38">
        <f>IF((ROUNDDOWN((C25-(62+(C6-36))*C19-62-C20-168)/(C19+3),0)-12)&lt;0,0,(ROUNDDOWN((C25-(62+(C6-36))*C19-62-C20-168)/(C19+3),0)-12))</f>
        <v>37470</v>
      </c>
    </row>
    <row r="27" spans="1:3" hidden="1" x14ac:dyDescent="0.15">
      <c r="A27" s="38" t="s">
        <v>58</v>
      </c>
      <c r="B27" s="38"/>
      <c r="C27" s="38">
        <f>((62+(C6-36))*C19+62+C20+168)+(C7+12)*(C19+3)</f>
        <v>11085904</v>
      </c>
    </row>
    <row r="28" spans="1:3" hidden="1" x14ac:dyDescent="0.15">
      <c r="A28" s="38" t="s">
        <v>56</v>
      </c>
      <c r="B28" s="38"/>
      <c r="C28" s="38">
        <f>312500*C9</f>
        <v>312500000</v>
      </c>
    </row>
    <row r="29" spans="1:3" hidden="1" x14ac:dyDescent="0.15">
      <c r="A29" s="38" t="s">
        <v>792</v>
      </c>
      <c r="B29" s="38"/>
      <c r="C29" s="38">
        <f>IF((100-ROUNDDOWN(C27*10/(C28/10),0)-1)&lt;0,0,(100-ROUNDDOWN(C27*10/(C28/10),0)-1))</f>
        <v>96</v>
      </c>
    </row>
    <row r="30" spans="1:3" hidden="1" x14ac:dyDescent="0.15">
      <c r="A30" s="38" t="s">
        <v>793</v>
      </c>
      <c r="B30" s="38"/>
      <c r="C30" s="38">
        <v>6600</v>
      </c>
    </row>
    <row r="31" spans="1:3" hidden="1" x14ac:dyDescent="0.15">
      <c r="A31" s="38" t="s">
        <v>794</v>
      </c>
      <c r="B31" s="38"/>
      <c r="C31" s="38">
        <f>ROUNDDOWN(C3 * 5520 / 160, 0)+C4+C30</f>
        <v>161406</v>
      </c>
    </row>
    <row r="32" spans="1:3" hidden="1" x14ac:dyDescent="0.15">
      <c r="A32" s="38" t="s">
        <v>795</v>
      </c>
      <c r="B32" s="38"/>
      <c r="C32" s="38">
        <f>MAX(C18,C22,C31,C17)</f>
        <v>161406</v>
      </c>
    </row>
    <row r="33" spans="1:3" hidden="1" x14ac:dyDescent="0.15">
      <c r="A33" s="38" t="s">
        <v>796</v>
      </c>
      <c r="B33" s="38"/>
      <c r="C33" s="38">
        <f>ROUND(1000000/C32,2)</f>
        <v>6.2</v>
      </c>
    </row>
    <row r="34" spans="1:3" hidden="1" x14ac:dyDescent="0.15">
      <c r="A34" s="38"/>
      <c r="B34" s="38"/>
      <c r="C34" s="38"/>
    </row>
    <row r="35" spans="1:3" hidden="1" x14ac:dyDescent="0.15">
      <c r="A35" s="38" t="s">
        <v>797</v>
      </c>
      <c r="B35" s="38"/>
      <c r="C35" s="38">
        <f>ROUNDDOWN(1000000000 / IF(C12=0,C23,C32),0)</f>
        <v>10008</v>
      </c>
    </row>
    <row r="36" spans="1:3" hidden="1" x14ac:dyDescent="0.15">
      <c r="A36" s="38" t="s">
        <v>798</v>
      </c>
      <c r="B36" s="38"/>
      <c r="C36" s="38">
        <f>ROUNDDOWN(ROUNDDOWN(ROUNDDOWN(C2*C35/10,0)*IF(C5=8,1,2)/10,0)*C3/10,0)</f>
        <v>105607563</v>
      </c>
    </row>
    <row r="37" spans="1:3" hidden="1" x14ac:dyDescent="0.15">
      <c r="A37" s="38" t="s">
        <v>799</v>
      </c>
      <c r="B37" s="38"/>
      <c r="C37" s="38">
        <f>ROUNDDOWN(C36*10/(100-C10),0)*10</f>
        <v>117341730</v>
      </c>
    </row>
    <row r="38" spans="1:3" hidden="1" x14ac:dyDescent="0.15">
      <c r="A38" s="51" t="s">
        <v>800</v>
      </c>
      <c r="B38" s="38"/>
      <c r="C38" s="38"/>
    </row>
    <row r="39" spans="1:3" hidden="1" x14ac:dyDescent="0.15">
      <c r="A39" s="51"/>
      <c r="B39" s="38"/>
      <c r="C39" s="38">
        <f>IF(C9=1000,180000,18000)</f>
        <v>180000</v>
      </c>
    </row>
    <row r="40" spans="1:3" x14ac:dyDescent="0.15">
      <c r="A40" s="51"/>
      <c r="B40" s="38"/>
      <c r="C40" s="38"/>
    </row>
    <row r="41" spans="1:3" ht="18.75" x14ac:dyDescent="0.15">
      <c r="A41" s="52" t="str">
        <f>IF(C12=0,A24,A33)</f>
        <v>连续采集帧率</v>
      </c>
      <c r="B41" s="52" t="s">
        <v>461</v>
      </c>
      <c r="C41" s="52">
        <f>IF(C12=0,C24,C33)</f>
        <v>10.01</v>
      </c>
    </row>
  </sheetData>
  <sheetProtection algorithmName="SHA-512" hashValue="UgqOHIkco96+YeNT8ZP9N/bFJBOMDkmPwltVOBpZLOtnohwPgsvRyg4XQVx/cO9H9kDIt43svIfwFQOYj+2j3g==" saltValue="wvy35G0Edb/14Jyga2RrlA==" spinCount="100000" sheet="1" objects="1" scenarios="1"/>
  <dataConsolidate/>
  <customSheetViews>
    <customSheetView guid="{9F73C155-CDDB-4969-BDA6-6B1932D3C988}" hiddenRows="1">
      <selection activeCell="H28" sqref="H28"/>
      <pageMargins left="0.7" right="0.7" top="0.75" bottom="0.75" header="0.3" footer="0.3"/>
    </customSheetView>
  </customSheetViews>
  <phoneticPr fontId="1" type="noConversion"/>
  <dataValidations xWindow="510" yWindow="365" count="13">
    <dataValidation type="decimal" allowBlank="1" showErrorMessage="1" errorTitle="Input parameter error" error="Input range:[0.4, 10000]" promptTitle="0=off，1=on" prompt="0表示连续采集，1表示触发采集" sqref="C13">
      <formula1>0.4</formula1>
      <formula2>10000</formula2>
    </dataValidation>
    <dataValidation type="whole" allowBlank="1" showInputMessage="1" showErrorMessage="1" errorTitle="Input parameter error" error="Input range:[0, 'GevSCPDMaxValue'], and is an integer multiple of 1" sqref="C7">
      <formula1>0</formula1>
      <formula2>C8</formula2>
    </dataValidation>
    <dataValidation type="whole" allowBlank="1" showInputMessage="1" showErrorMessage="1" errorTitle="Input parameter error" error="Input range:[0, 'BandwidthReserveMaxValue'], and is an integer multiple of 1" sqref="C10">
      <formula1>0</formula1>
      <formula2>C11</formula2>
    </dataValidation>
    <dataValidation type="custom" allowBlank="1" showInputMessage="1" showErrorMessage="1" errorTitle="Input parameter error" error="Input range:[64, 3840],and is an integer multiple of 4" sqref="C2">
      <formula1>AND((C2&lt;=3840),(C2&gt;=64),(MOD(C2,4)=0))</formula1>
    </dataValidation>
    <dataValidation type="custom" allowBlank="1" showInputMessage="1" showErrorMessage="1" errorTitle="Input parameter error" error="Input range:[64, 2748],and is an integer multiple of 2" sqref="C3">
      <formula1>AND((C3&lt;=2748),(C3&gt;=64),(MOD(C3,2)=0))</formula1>
    </dataValidation>
    <dataValidation type="whole" allowBlank="1" showInputMessage="1" showErrorMessage="1" errorTitle="Input parameter error" error="Input range:[42, 1000000]" sqref="C4">
      <formula1>42</formula1>
      <formula2>1000000</formula2>
    </dataValidation>
    <dataValidation type="custom" allowBlank="1" showInputMessage="1" showErrorMessage="1" errorTitle="Input parameter error" error="Input 8 or 12" sqref="C5">
      <formula1>OR((C5=8),(C5=12))</formula1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custom" allowBlank="1" showInputMessage="1" showErrorMessage="1" errorTitle="Input parameter error" error="Input range:[512, 8192],and is an integer multiple of 4" sqref="C6">
      <formula1>AND((C6&lt;=8192),(C6&gt;=512),(MOD(C6,4)=0))</formula1>
    </dataValidation>
    <dataValidation type="list" allowBlank="1" showErrorMessage="1" errorTitle="Input parameter error" error="Input 0 or 1" promptTitle="0=off，1=on" prompt="0表示连续采集，1表示触发采集" sqref="C14">
      <formula1>"0,1"</formula1>
    </dataValidation>
    <dataValidation type="whole" allowBlank="1" error="设置值超过包间隔范围" prompt="设置值应在预留带宽范围内" sqref="C11">
      <formula1>0</formula1>
      <formula2>C52</formula2>
    </dataValidation>
    <dataValidation type="whole" allowBlank="1" showErrorMessage="1" error="设置值超过最大值" prompt="应在包间隔范围内" sqref="C8">
      <formula1>0</formula1>
      <formula2>C50</formula2>
    </dataValidation>
    <dataValidation type="list" allowBlank="1" showInputMessage="1" showErrorMessage="1" errorTitle="Input parameter error" error="Input 0 or 1" promptTitle="0=off，1=on" prompt="0表示连续采集，1表示触发采集" sqref="C12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38"/>
  <sheetViews>
    <sheetView topLeftCell="B1" workbookViewId="0">
      <selection activeCell="G12" sqref="G12"/>
    </sheetView>
  </sheetViews>
  <sheetFormatPr defaultRowHeight="13.5" x14ac:dyDescent="0.15"/>
  <cols>
    <col min="1" max="1" width="19" hidden="1" customWidth="1"/>
    <col min="2" max="2" width="30.875" customWidth="1"/>
    <col min="3" max="3" width="18.625" customWidth="1"/>
  </cols>
  <sheetData>
    <row r="1" spans="1:3" x14ac:dyDescent="0.15">
      <c r="A1" s="4" t="s">
        <v>0</v>
      </c>
      <c r="B1" s="4"/>
      <c r="C1" s="2"/>
    </row>
    <row r="2" spans="1:3" x14ac:dyDescent="0.15">
      <c r="A2" s="4" t="s">
        <v>1</v>
      </c>
      <c r="B2" s="4" t="s">
        <v>7</v>
      </c>
      <c r="C2" s="2">
        <v>1920</v>
      </c>
    </row>
    <row r="3" spans="1:3" x14ac:dyDescent="0.15">
      <c r="A3" s="4" t="s">
        <v>2</v>
      </c>
      <c r="B3" s="4" t="s">
        <v>8</v>
      </c>
      <c r="C3" s="2">
        <v>1200</v>
      </c>
    </row>
    <row r="4" spans="1:3" x14ac:dyDescent="0.15">
      <c r="A4" s="4" t="s">
        <v>3</v>
      </c>
      <c r="B4" s="4" t="s">
        <v>116</v>
      </c>
      <c r="C4" s="2">
        <v>20000</v>
      </c>
    </row>
    <row r="5" spans="1:3" hidden="1" x14ac:dyDescent="0.15">
      <c r="A5" s="4" t="s">
        <v>66</v>
      </c>
      <c r="B5" s="4" t="s">
        <v>67</v>
      </c>
      <c r="C5" s="2">
        <v>0</v>
      </c>
    </row>
    <row r="6" spans="1:3" x14ac:dyDescent="0.15">
      <c r="A6" s="4" t="s">
        <v>4</v>
      </c>
      <c r="B6" s="4" t="s">
        <v>162</v>
      </c>
      <c r="C6" s="2">
        <v>8</v>
      </c>
    </row>
    <row r="7" spans="1:3" x14ac:dyDescent="0.15">
      <c r="A7" s="4" t="s">
        <v>5</v>
      </c>
      <c r="B7" s="4" t="s">
        <v>11</v>
      </c>
      <c r="C7" s="2">
        <v>1500</v>
      </c>
    </row>
    <row r="8" spans="1:3" x14ac:dyDescent="0.15">
      <c r="A8" s="4" t="s">
        <v>6</v>
      </c>
      <c r="B8" s="4" t="s">
        <v>75</v>
      </c>
      <c r="C8" s="2">
        <v>0</v>
      </c>
    </row>
    <row r="9" spans="1:3" x14ac:dyDescent="0.15">
      <c r="A9" s="4" t="s">
        <v>59</v>
      </c>
      <c r="B9" s="4" t="s">
        <v>103</v>
      </c>
      <c r="C9" s="4">
        <f>C30</f>
        <v>180000</v>
      </c>
    </row>
    <row r="10" spans="1:3" x14ac:dyDescent="0.15">
      <c r="A10" s="4" t="s">
        <v>68</v>
      </c>
      <c r="B10" s="4" t="s">
        <v>905</v>
      </c>
      <c r="C10" s="2">
        <v>40.6</v>
      </c>
    </row>
    <row r="11" spans="1:3" x14ac:dyDescent="0.15">
      <c r="A11" s="4" t="s">
        <v>87</v>
      </c>
      <c r="B11" s="4" t="s">
        <v>318</v>
      </c>
      <c r="C11" s="2">
        <v>0</v>
      </c>
    </row>
    <row r="12" spans="1:3" x14ac:dyDescent="0.15">
      <c r="A12" s="4" t="s">
        <v>14</v>
      </c>
      <c r="B12" s="4" t="s">
        <v>315</v>
      </c>
      <c r="C12" s="2">
        <v>1000</v>
      </c>
    </row>
    <row r="13" spans="1:3" x14ac:dyDescent="0.15">
      <c r="A13" s="4" t="s">
        <v>25</v>
      </c>
      <c r="B13" s="4" t="s">
        <v>28</v>
      </c>
      <c r="C13" s="2">
        <v>10</v>
      </c>
    </row>
    <row r="14" spans="1:3" x14ac:dyDescent="0.15">
      <c r="A14" s="4" t="s">
        <v>60</v>
      </c>
      <c r="B14" s="4" t="s">
        <v>62</v>
      </c>
      <c r="C14" s="4">
        <f>C33</f>
        <v>99</v>
      </c>
    </row>
    <row r="15" spans="1:3" x14ac:dyDescent="0.15">
      <c r="A15" s="4"/>
      <c r="B15" s="4"/>
      <c r="C15" s="4"/>
    </row>
    <row r="16" spans="1:3" x14ac:dyDescent="0.15">
      <c r="A16" s="10"/>
      <c r="B16" s="4"/>
      <c r="C16" s="4"/>
    </row>
    <row r="17" spans="1:3" hidden="1" x14ac:dyDescent="0.15">
      <c r="A17" s="10" t="s">
        <v>81</v>
      </c>
      <c r="B17" s="4"/>
      <c r="C17" s="6">
        <f>C10*10</f>
        <v>406</v>
      </c>
    </row>
    <row r="18" spans="1:3" hidden="1" x14ac:dyDescent="0.15">
      <c r="A18" s="10" t="s">
        <v>20</v>
      </c>
      <c r="B18" s="6"/>
      <c r="C18" s="6">
        <f>(C3+38)*ROUNDUP(C6/8,0)</f>
        <v>1238</v>
      </c>
    </row>
    <row r="19" spans="1:3" hidden="1" x14ac:dyDescent="0.15">
      <c r="A19" s="10" t="s">
        <v>72</v>
      </c>
      <c r="B19" s="6"/>
      <c r="C19" s="6">
        <f>MAX(ROUNDDOWN((C4-14)*375/(10*746),0),1)</f>
        <v>1004</v>
      </c>
    </row>
    <row r="20" spans="1:3" hidden="1" x14ac:dyDescent="0.15">
      <c r="A20" s="10" t="s">
        <v>73</v>
      </c>
      <c r="B20" s="6"/>
      <c r="C20" s="6">
        <f>ROUNDDOWN(C5*375/(10*746),0)</f>
        <v>0</v>
      </c>
    </row>
    <row r="21" spans="1:3" hidden="1" x14ac:dyDescent="0.15">
      <c r="A21" s="10" t="s">
        <v>74</v>
      </c>
      <c r="B21" s="6"/>
      <c r="C21" s="6">
        <f>C19+C20+14</f>
        <v>1018</v>
      </c>
    </row>
    <row r="22" spans="1:3" hidden="1" x14ac:dyDescent="0.15">
      <c r="A22" s="10" t="s">
        <v>70</v>
      </c>
      <c r="B22" s="6"/>
      <c r="C22" s="6">
        <v>0</v>
      </c>
    </row>
    <row r="23" spans="1:3" hidden="1" x14ac:dyDescent="0.15">
      <c r="A23" s="10" t="s">
        <v>16</v>
      </c>
      <c r="B23" s="6"/>
      <c r="C23" s="6">
        <f>ROUNDDOWN((C2*C3*ROUNDUP(C6/8,0)+C22*32)/(C7-36),0)</f>
        <v>1573</v>
      </c>
    </row>
    <row r="24" spans="1:3" hidden="1" x14ac:dyDescent="0.15">
      <c r="A24" s="10" t="s">
        <v>17</v>
      </c>
      <c r="B24" s="6"/>
      <c r="C24" s="6">
        <f>C2*C3*ROUNDUP(C6/8,0)+C22*32-(C7-36)*C23</f>
        <v>1128</v>
      </c>
    </row>
    <row r="25" spans="1:3" hidden="1" x14ac:dyDescent="0.15">
      <c r="A25" s="6" t="s">
        <v>19</v>
      </c>
      <c r="B25" s="6"/>
      <c r="C25" s="6">
        <f>ROUNDDOWN((ROUNDDOWN((((62+(C7-36))*C23+62+C24+(168-C22*24))+(C8+12)*(C23+3))/ROUNDDOWN(C12*(100-C13)/100,0),0)*8)*375/746/10,0)</f>
        <v>1081</v>
      </c>
    </row>
    <row r="26" spans="1:3" hidden="1" x14ac:dyDescent="0.15">
      <c r="A26" s="6" t="s">
        <v>69</v>
      </c>
      <c r="B26" s="6"/>
      <c r="C26" s="6">
        <f xml:space="preserve"> ROUNDDOWN(10000000/C17*375/746/10,0)</f>
        <v>1238</v>
      </c>
    </row>
    <row r="27" spans="1:3" hidden="1" x14ac:dyDescent="0.15">
      <c r="A27" s="6" t="s">
        <v>22</v>
      </c>
      <c r="B27" s="6"/>
      <c r="C27" s="6">
        <f>IF(C11=1,MAX(C18,C21,C25,C26),MAX(C18,C21,C25))</f>
        <v>1238</v>
      </c>
    </row>
    <row r="28" spans="1:3" hidden="1" x14ac:dyDescent="0.15">
      <c r="A28" s="6" t="s">
        <v>23</v>
      </c>
      <c r="B28" s="6"/>
      <c r="C28" s="6">
        <f>ROUND(1000000/ROUNDDOWN(C27*10*746/375,0),2)</f>
        <v>40.61</v>
      </c>
    </row>
    <row r="29" spans="1:3" hidden="1" x14ac:dyDescent="0.15">
      <c r="A29" s="6" t="s">
        <v>57</v>
      </c>
      <c r="B29" s="6"/>
      <c r="C29" s="6">
        <f>12500*C12*(100-C13)</f>
        <v>1125000000</v>
      </c>
    </row>
    <row r="30" spans="1:3" hidden="1" x14ac:dyDescent="0.15">
      <c r="A30" s="6" t="s">
        <v>54</v>
      </c>
      <c r="B30" s="6"/>
      <c r="C30" s="6">
        <f>IF((ROUNDDOWN((C29-(62+C7-36)*C23-62-C24-168+C22*24)/(C23+3),0)-12)&gt;180000,180000,ROUNDDOWN((C29-(62+C7-36)*C23-62-C24-168+C22*24)/(C23+3),0)-12)</f>
        <v>180000</v>
      </c>
    </row>
    <row r="31" spans="1:3" hidden="1" x14ac:dyDescent="0.15">
      <c r="A31" s="6" t="s">
        <v>58</v>
      </c>
      <c r="B31" s="6"/>
      <c r="C31" s="6">
        <f>((62+(C7-36))*C23+62+C24+168)+(C8+12)*(C23+3)</f>
        <v>2420668</v>
      </c>
    </row>
    <row r="32" spans="1:3" hidden="1" x14ac:dyDescent="0.15">
      <c r="A32" s="6" t="s">
        <v>56</v>
      </c>
      <c r="B32" s="6"/>
      <c r="C32" s="6">
        <f>125000*C12</f>
        <v>125000000</v>
      </c>
    </row>
    <row r="33" spans="1:3" hidden="1" x14ac:dyDescent="0.15">
      <c r="A33" s="6" t="s">
        <v>55</v>
      </c>
      <c r="B33" s="6"/>
      <c r="C33" s="6">
        <f>IF((100-ROUNDDOWN(C31*10/(1250000*C12/10),0)-1)&lt;0,0,(100-ROUNDDOWN(C31*10/(1250000*C12/10),0)-1))</f>
        <v>99</v>
      </c>
    </row>
    <row r="34" spans="1:3" hidden="1" x14ac:dyDescent="0.15">
      <c r="A34" s="6" t="s">
        <v>71</v>
      </c>
      <c r="B34" s="6"/>
      <c r="C34" s="6">
        <f>ROUNDDOWN((C29-(62+C7-36)*C23-62-C24-168+C22*24)/(C23+3),0)-12</f>
        <v>712296</v>
      </c>
    </row>
    <row r="35" spans="1:3" x14ac:dyDescent="0.15">
      <c r="A35" s="6"/>
      <c r="B35" s="6"/>
      <c r="C35" s="6"/>
    </row>
    <row r="36" spans="1:3" x14ac:dyDescent="0.15">
      <c r="A36" s="6"/>
      <c r="B36" s="6"/>
      <c r="C36" s="6"/>
    </row>
    <row r="37" spans="1:3" ht="14.25" x14ac:dyDescent="0.15">
      <c r="A37" s="11" t="s">
        <v>46</v>
      </c>
      <c r="B37" s="11"/>
      <c r="C37" s="11"/>
    </row>
    <row r="38" spans="1:3" ht="14.25" x14ac:dyDescent="0.15">
      <c r="A38" s="11" t="s">
        <v>23</v>
      </c>
      <c r="B38" s="11" t="s">
        <v>307</v>
      </c>
      <c r="C38" s="11">
        <f>C28</f>
        <v>40.61</v>
      </c>
    </row>
  </sheetData>
  <sheetProtection algorithmName="SHA-512" hashValue="LpRcrhJOXYTC7TgqIonTKbsnAyUqp28hNe8M9iJpfuO8aKEwiZ9Yrm/orqznGKh78nlD3XG/z16ESHkC8GFcHw==" saltValue="3TVB9fR1qFfhDiySvLn3NA==" spinCount="100000" sheet="1" objects="1" scenarios="1"/>
  <customSheetViews>
    <customSheetView guid="{9F73C155-CDDB-4969-BDA6-6B1932D3C988}" hiddenRows="1">
      <selection activeCell="C10" sqref="C10"/>
      <pageMargins left="0.7" right="0.7" top="0.75" bottom="0.75" header="0.3" footer="0.3"/>
    </customSheetView>
  </customSheetViews>
  <phoneticPr fontId="1" type="noConversion"/>
  <dataValidations count="13">
    <dataValidation type="custom" allowBlank="1" showInputMessage="1" showErrorMessage="1" errorTitle="Input parameter error" error="Input 1000 or 100" sqref="C12">
      <formula1>OR((C12=1000),(C12=100))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custom" allowBlank="1" showInputMessage="1" showErrorMessage="1" errorTitle="Input parameter error" error="Input 8 or 10" sqref="C6">
      <formula1>OR((C6=8),(C6=10))</formula1>
    </dataValidation>
    <dataValidation type="whole" allowBlank="1" showInputMessage="1" showErrorMessage="1" error="输入范围是42~1000000" sqref="C5">
      <formula1>0</formula1>
      <formula2>5000</formula2>
    </dataValidation>
    <dataValidation type="custom" allowBlank="1" showInputMessage="1" showErrorMessage="1" errorTitle="Input parameter error" error="Input range:[64, 1200],and is an integer multiple of 2" sqref="C3">
      <formula1>AND((C3&lt;=1200),(C3&gt;=64),(MOD(C3,2)=0))</formula1>
    </dataValidation>
    <dataValidation type="custom" allowBlank="1" showInputMessage="1" showErrorMessage="1" errorTitle="Input parameter error" error="Input range:[64, 1920],and is an integer multiple of 4" sqref="C2">
      <formula1>AND((C2&lt;=1920),(C2&gt;=64),(MOD(C2,4)=0))</formula1>
    </dataValidation>
    <dataValidation type="whole" allowBlank="1" showInputMessage="1" showErrorMessage="1" errorTitle="Input parameter error" error="Input range:[0, 'BandwidthReserveMaxValue'], and is an integer multiple of 1" sqref="C13">
      <formula1>0</formula1>
      <formula2>C14</formula2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C9</formula2>
    </dataValidation>
    <dataValidation type="whole" allowBlank="1" error="设置值超过包间隔范围" prompt="设置值应在预留带宽范围内" sqref="C14">
      <formula1>0</formula1>
      <formula2>C33</formula2>
    </dataValidation>
    <dataValidation type="custom" allowBlank="1" showErrorMessage="1" errorTitle="Input parameter error" error="Input range:[0.1, 10000]" prompt="应在包间隔范围内" sqref="C10">
      <formula1>AND(TRUNC(C10,1)=C10,(C10&gt;=0.1),(C10&lt;=10000))</formula1>
    </dataValidation>
    <dataValidation type="whole" allowBlank="1" showInputMessage="1" showErrorMessage="1" errorTitle="Input parameter error" error="Input range:[20, 1000000]" sqref="C4">
      <formula1>20</formula1>
      <formula2>1000000</formula2>
    </dataValidation>
    <dataValidation type="whole" allowBlank="1" showErrorMessage="1" error="设置值超过最大值" prompt="应在包间隔范围内" sqref="C9">
      <formula1>0</formula1>
      <formula2>C30</formula2>
    </dataValidation>
    <dataValidation type="custom" allowBlank="1" showErrorMessage="1" errorTitle="Input parameter error" error="Input 0 or 1" prompt="应在包间隔范围内" sqref="C11">
      <formula1>OR((C11=0),(C11=1))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39"/>
  <sheetViews>
    <sheetView topLeftCell="B1" workbookViewId="0">
      <selection activeCell="B15" sqref="A15:XFD37"/>
    </sheetView>
  </sheetViews>
  <sheetFormatPr defaultRowHeight="13.5" x14ac:dyDescent="0.15"/>
  <cols>
    <col min="1" max="1" width="21.5" hidden="1" customWidth="1"/>
    <col min="2" max="2" width="28.5" customWidth="1"/>
    <col min="3" max="3" width="16.375" customWidth="1"/>
  </cols>
  <sheetData>
    <row r="1" spans="1:3" x14ac:dyDescent="0.15">
      <c r="A1" s="4" t="s">
        <v>0</v>
      </c>
      <c r="B1" s="4"/>
      <c r="C1" s="2"/>
    </row>
    <row r="2" spans="1:3" x14ac:dyDescent="0.15">
      <c r="A2" s="4" t="s">
        <v>1</v>
      </c>
      <c r="B2" s="4" t="s">
        <v>7</v>
      </c>
      <c r="C2" s="2">
        <v>2448</v>
      </c>
    </row>
    <row r="3" spans="1:3" x14ac:dyDescent="0.15">
      <c r="A3" s="4" t="s">
        <v>2</v>
      </c>
      <c r="B3" s="4" t="s">
        <v>8</v>
      </c>
      <c r="C3" s="2">
        <v>2048</v>
      </c>
    </row>
    <row r="4" spans="1:3" x14ac:dyDescent="0.15">
      <c r="A4" s="4" t="s">
        <v>3</v>
      </c>
      <c r="B4" s="4" t="s">
        <v>9</v>
      </c>
      <c r="C4" s="2">
        <v>40000</v>
      </c>
    </row>
    <row r="5" spans="1:3" hidden="1" x14ac:dyDescent="0.15">
      <c r="A5" s="4" t="s">
        <v>66</v>
      </c>
      <c r="B5" s="4" t="s">
        <v>67</v>
      </c>
      <c r="C5" s="2">
        <v>0</v>
      </c>
    </row>
    <row r="6" spans="1:3" x14ac:dyDescent="0.15">
      <c r="A6" s="4" t="s">
        <v>4</v>
      </c>
      <c r="B6" s="4" t="s">
        <v>895</v>
      </c>
      <c r="C6" s="2">
        <v>8</v>
      </c>
    </row>
    <row r="7" spans="1:3" x14ac:dyDescent="0.15">
      <c r="A7" s="4" t="s">
        <v>5</v>
      </c>
      <c r="B7" s="4" t="s">
        <v>11</v>
      </c>
      <c r="C7" s="2">
        <v>1500</v>
      </c>
    </row>
    <row r="8" spans="1:3" x14ac:dyDescent="0.15">
      <c r="A8" s="4" t="s">
        <v>6</v>
      </c>
      <c r="B8" s="4" t="s">
        <v>75</v>
      </c>
      <c r="C8" s="2">
        <v>0</v>
      </c>
    </row>
    <row r="9" spans="1:3" x14ac:dyDescent="0.15">
      <c r="A9" s="4" t="s">
        <v>59</v>
      </c>
      <c r="B9" s="4" t="s">
        <v>61</v>
      </c>
      <c r="C9" s="4">
        <f>C30</f>
        <v>180000</v>
      </c>
    </row>
    <row r="10" spans="1:3" x14ac:dyDescent="0.15">
      <c r="A10" s="4" t="s">
        <v>68</v>
      </c>
      <c r="B10" s="4" t="s">
        <v>316</v>
      </c>
      <c r="C10" s="2">
        <v>20</v>
      </c>
    </row>
    <row r="11" spans="1:3" x14ac:dyDescent="0.15">
      <c r="A11" s="4" t="s">
        <v>104</v>
      </c>
      <c r="B11" s="4" t="s">
        <v>318</v>
      </c>
      <c r="C11" s="2">
        <v>0</v>
      </c>
    </row>
    <row r="12" spans="1:3" x14ac:dyDescent="0.15">
      <c r="A12" s="4" t="s">
        <v>14</v>
      </c>
      <c r="B12" s="4" t="s">
        <v>315</v>
      </c>
      <c r="C12" s="2">
        <v>1000</v>
      </c>
    </row>
    <row r="13" spans="1:3" x14ac:dyDescent="0.15">
      <c r="A13" s="4" t="s">
        <v>25</v>
      </c>
      <c r="B13" s="4" t="s">
        <v>28</v>
      </c>
      <c r="C13" s="2">
        <v>10</v>
      </c>
    </row>
    <row r="14" spans="1:3" x14ac:dyDescent="0.15">
      <c r="A14" s="4" t="s">
        <v>60</v>
      </c>
      <c r="B14" s="4" t="s">
        <v>62</v>
      </c>
      <c r="C14" s="4">
        <f>C34</f>
        <v>99</v>
      </c>
    </row>
    <row r="15" spans="1:3" hidden="1" x14ac:dyDescent="0.15">
      <c r="A15" s="4"/>
      <c r="B15" s="4"/>
      <c r="C15" s="4"/>
    </row>
    <row r="16" spans="1:3" ht="12.75" hidden="1" customHeight="1" x14ac:dyDescent="0.15">
      <c r="A16" s="10"/>
      <c r="B16" s="4"/>
      <c r="C16" s="4"/>
    </row>
    <row r="17" spans="1:3" hidden="1" x14ac:dyDescent="0.15">
      <c r="A17" s="10" t="s">
        <v>102</v>
      </c>
      <c r="B17" s="4"/>
      <c r="C17" s="6">
        <f>C10*10</f>
        <v>200</v>
      </c>
    </row>
    <row r="18" spans="1:3" hidden="1" x14ac:dyDescent="0.15">
      <c r="A18" s="10" t="s">
        <v>20</v>
      </c>
      <c r="B18" s="6"/>
      <c r="C18" s="6">
        <f>(C3+32)*ROUNDUP(C6/8,0)</f>
        <v>2080</v>
      </c>
    </row>
    <row r="19" spans="1:3" hidden="1" x14ac:dyDescent="0.15">
      <c r="A19" s="10" t="s">
        <v>72</v>
      </c>
      <c r="B19" s="6"/>
      <c r="C19" s="6">
        <f>MAX(ROUNDDOWN((C4-14)*375/(10*900),0),1)</f>
        <v>1666</v>
      </c>
    </row>
    <row r="20" spans="1:3" hidden="1" x14ac:dyDescent="0.15">
      <c r="A20" s="10" t="s">
        <v>73</v>
      </c>
      <c r="B20" s="6"/>
      <c r="C20" s="6">
        <f>ROUNDDOWN(C5*375/(10*900),0)</f>
        <v>0</v>
      </c>
    </row>
    <row r="21" spans="1:3" hidden="1" x14ac:dyDescent="0.15">
      <c r="A21" s="10" t="s">
        <v>74</v>
      </c>
      <c r="B21" s="6"/>
      <c r="C21" s="6">
        <f>C19+C20+14</f>
        <v>1680</v>
      </c>
    </row>
    <row r="22" spans="1:3" hidden="1" x14ac:dyDescent="0.15">
      <c r="A22" s="10" t="s">
        <v>70</v>
      </c>
      <c r="B22" s="6"/>
      <c r="C22" s="6">
        <v>0</v>
      </c>
    </row>
    <row r="23" spans="1:3" hidden="1" x14ac:dyDescent="0.15">
      <c r="A23" s="10" t="s">
        <v>16</v>
      </c>
      <c r="B23" s="6"/>
      <c r="C23" s="6">
        <f>ROUNDDOWN((C2*C3*ROUNDUP(C6/8,0)+C22*32)/(C7-36),0)</f>
        <v>3424</v>
      </c>
    </row>
    <row r="24" spans="1:3" hidden="1" x14ac:dyDescent="0.15">
      <c r="A24" s="10" t="s">
        <v>17</v>
      </c>
      <c r="B24" s="6"/>
      <c r="C24" s="6">
        <f>C2*C3*ROUNDUP(C6/8,0)+C22*32-(C7-36)*C23</f>
        <v>768</v>
      </c>
    </row>
    <row r="25" spans="1:3" hidden="1" x14ac:dyDescent="0.15">
      <c r="A25" s="6" t="s">
        <v>19</v>
      </c>
      <c r="B25" s="6"/>
      <c r="C25" s="6">
        <f>ROUNDDOWN((ROUNDDOWN((((62+(C7-36))*C23+62+C24+(168-C22*24))+(C8+12)*(C23+3))/ROUNDDOWN(C12*(100-C13)/100,0),0)*8)*375/900/10,0)</f>
        <v>1950</v>
      </c>
    </row>
    <row r="26" spans="1:3" hidden="1" x14ac:dyDescent="0.15">
      <c r="A26" s="6" t="s">
        <v>69</v>
      </c>
      <c r="B26" s="6"/>
      <c r="C26" s="6">
        <f xml:space="preserve"> ROUNDDOWN(10000000/C17*375/900/10,0)</f>
        <v>2083</v>
      </c>
    </row>
    <row r="27" spans="1:3" hidden="1" x14ac:dyDescent="0.15">
      <c r="A27" s="6" t="s">
        <v>22</v>
      </c>
      <c r="B27" s="6"/>
      <c r="C27" s="6">
        <f>IF(C11=1,MAX(C18,C21,C25,C26),MAX(C18,C21,C25))</f>
        <v>2080</v>
      </c>
    </row>
    <row r="28" spans="1:3" hidden="1" x14ac:dyDescent="0.15">
      <c r="A28" s="6" t="s">
        <v>23</v>
      </c>
      <c r="B28" s="6"/>
      <c r="C28" s="6">
        <f>ROUND(1000000/ROUNDDOWN(C27*10*900/375,0),2)</f>
        <v>20.03</v>
      </c>
    </row>
    <row r="29" spans="1:3" hidden="1" x14ac:dyDescent="0.15">
      <c r="A29" s="6" t="s">
        <v>57</v>
      </c>
      <c r="B29" s="6"/>
      <c r="C29" s="6">
        <f>12500*C12*(100-C13)</f>
        <v>1125000000</v>
      </c>
    </row>
    <row r="30" spans="1:3" hidden="1" x14ac:dyDescent="0.15">
      <c r="A30" s="6" t="s">
        <v>54</v>
      </c>
      <c r="B30" s="6"/>
      <c r="C30" s="6">
        <f>IF((ROUNDDOWN((C29-(62+C7-36)*C23-62-C24-168+C22*24)/(C23+3),0)-12)&gt;C31,C31,ROUNDDOWN((C29-(62+C7-36)*C23-62-C24-168+C22*24)/(C23+3),0)-12)</f>
        <v>180000</v>
      </c>
    </row>
    <row r="31" spans="1:3" s="53" customFormat="1" hidden="1" x14ac:dyDescent="0.15">
      <c r="A31" s="57"/>
      <c r="B31" s="57"/>
      <c r="C31" s="57">
        <f>IF(C12=1000,180000,18000)</f>
        <v>180000</v>
      </c>
    </row>
    <row r="32" spans="1:3" hidden="1" x14ac:dyDescent="0.15">
      <c r="A32" s="6" t="s">
        <v>58</v>
      </c>
      <c r="B32" s="6"/>
      <c r="C32" s="6">
        <f>((62+(C7-36))*C23+62+C24+168)+(C8+12)*(C23+3)</f>
        <v>5267146</v>
      </c>
    </row>
    <row r="33" spans="1:3" hidden="1" x14ac:dyDescent="0.15">
      <c r="A33" s="6" t="s">
        <v>56</v>
      </c>
      <c r="B33" s="6"/>
      <c r="C33" s="6">
        <f>125000*C12</f>
        <v>125000000</v>
      </c>
    </row>
    <row r="34" spans="1:3" hidden="1" x14ac:dyDescent="0.15">
      <c r="A34" s="6" t="s">
        <v>55</v>
      </c>
      <c r="B34" s="6"/>
      <c r="C34" s="6">
        <f>IF((100-ROUNDDOWN(C32*10/(1250000*C12/10),0)-1)&lt;0,0,(100-ROUNDDOWN(C32*10/(1250000*C12/10),0)-1))</f>
        <v>99</v>
      </c>
    </row>
    <row r="35" spans="1:3" hidden="1" x14ac:dyDescent="0.15">
      <c r="A35" s="6" t="s">
        <v>71</v>
      </c>
      <c r="B35" s="6"/>
      <c r="C35" s="6">
        <f>ROUNDDOWN((C29-(62+C7-36)*C23-62-C24-168+C22*24)/(C23+3),0)-12</f>
        <v>326738</v>
      </c>
    </row>
    <row r="36" spans="1:3" hidden="1" x14ac:dyDescent="0.15">
      <c r="A36" s="6"/>
      <c r="B36" s="6"/>
      <c r="C36" s="6"/>
    </row>
    <row r="37" spans="1:3" hidden="1" x14ac:dyDescent="0.15">
      <c r="A37" s="6"/>
      <c r="B37" s="6"/>
      <c r="C37" s="6"/>
    </row>
    <row r="38" spans="1:3" ht="14.25" x14ac:dyDescent="0.15">
      <c r="A38" s="11" t="s">
        <v>46</v>
      </c>
      <c r="B38" s="11"/>
      <c r="C38" s="11"/>
    </row>
    <row r="39" spans="1:3" ht="14.25" x14ac:dyDescent="0.15">
      <c r="A39" s="11" t="s">
        <v>23</v>
      </c>
      <c r="B39" s="11" t="s">
        <v>308</v>
      </c>
      <c r="C39" s="11">
        <f>C28</f>
        <v>20.03</v>
      </c>
    </row>
  </sheetData>
  <sheetProtection algorithmName="SHA-512" hashValue="2XyEl4p4HPOl6Lhm+NsDqKOVug9acdas45LGGmlgei/rY+lyqPe28RhZ/9IcwMwMAwO6bSGaPANB1ePVMNr2DQ==" saltValue="AJoUW2qJAmQfy66TqE9pWw==" spinCount="100000" sheet="1" objects="1" scenarios="1"/>
  <phoneticPr fontId="1" type="noConversion"/>
  <dataValidations count="13">
    <dataValidation type="whole" allowBlank="1" showErrorMessage="1" error="设置值超过最大值" prompt="应在包间隔范围内" sqref="C9">
      <formula1>0</formula1>
      <formula2>C30</formula2>
    </dataValidation>
    <dataValidation type="whole" allowBlank="1" showInputMessage="1" showErrorMessage="1" errorTitle="Input parameter error" error="Input range:[20, 1000000]" sqref="C4">
      <formula1>20</formula1>
      <formula2>1000000</formula2>
    </dataValidation>
    <dataValidation type="custom" allowBlank="1" showErrorMessage="1" errorTitle="Input parameter error" error="Input range:[0.1, 10000]" prompt="应在包间隔范围内" sqref="C10">
      <formula1>AND(TRUNC(C10,1)=C10,(C10&gt;=0.1),(C10&lt;=10000))</formula1>
    </dataValidation>
    <dataValidation type="whole" allowBlank="1" showErrorMessage="1" error="设置值超过预留带宽范围" prompt="设置值应在预留带宽范围内" sqref="C14">
      <formula1>0</formula1>
      <formula2>C34</formula2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C9</formula2>
    </dataValidation>
    <dataValidation type="whole" allowBlank="1" showInputMessage="1" showErrorMessage="1" errorTitle="Input parameter error" error="Input range:[0, 'BandwidthReserveMaxValue'], and is an integer multiple of 1" sqref="C13">
      <formula1>0</formula1>
      <formula2>C14</formula2>
    </dataValidation>
    <dataValidation type="custom" allowBlank="1" showInputMessage="1" showErrorMessage="1" errorTitle="Input parameter error" error="Input range:[64, 2448],and is an integer multiple of 4" sqref="C2">
      <formula1>AND((C2&lt;=2448),(C2&gt;=64),(MOD(C2,4)=0))</formula1>
    </dataValidation>
    <dataValidation type="custom" allowBlank="1" showInputMessage="1" showErrorMessage="1" errorTitle="Input parameter error" error="Input range:[64, 2048],and is an integer multiple of 2" sqref="C3">
      <formula1>AND((C3&lt;=2048),(C3&gt;=64),(MOD(C3,2)=0))</formula1>
    </dataValidation>
    <dataValidation type="whole" allowBlank="1" showInputMessage="1" showErrorMessage="1" error="输入范围是0~5000" sqref="C5">
      <formula1>0</formula1>
      <formula2>5000</formula2>
    </dataValidation>
    <dataValidation type="custom" allowBlank="1" showInputMessage="1" showErrorMessage="1" errorTitle="Input parameter error" error="Input 8 or 10" sqref="C6">
      <formula1>OR((C6=8),(C6=10))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custom" allowBlank="1" showInputMessage="1" showErrorMessage="1" errorTitle="Input parameter error" error="Input 1000 or 100" sqref="C12">
      <formula1>OR((C12=1000),(C12=100))</formula1>
    </dataValidation>
    <dataValidation type="custom" allowBlank="1" showErrorMessage="1" errorTitle="Input parameter error" error="Input 0 or 1" prompt="应在包间隔范围内" sqref="C11">
      <formula1>OR((C11=0),(C11=1))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B1" workbookViewId="0">
      <selection activeCell="C10" sqref="C10"/>
    </sheetView>
  </sheetViews>
  <sheetFormatPr defaultRowHeight="13.5" x14ac:dyDescent="0.15"/>
  <cols>
    <col min="1" max="1" width="25.875" hidden="1" customWidth="1"/>
    <col min="2" max="2" width="36.25" customWidth="1"/>
    <col min="3" max="3" width="17.5" customWidth="1"/>
  </cols>
  <sheetData>
    <row r="1" spans="1:3" x14ac:dyDescent="0.15">
      <c r="A1" s="14" t="s">
        <v>154</v>
      </c>
      <c r="B1" s="14"/>
      <c r="C1" s="15"/>
    </row>
    <row r="2" spans="1:3" x14ac:dyDescent="0.15">
      <c r="A2" s="4" t="s">
        <v>1</v>
      </c>
      <c r="B2" s="4" t="s">
        <v>155</v>
      </c>
      <c r="C2" s="2">
        <v>2592</v>
      </c>
    </row>
    <row r="3" spans="1:3" x14ac:dyDescent="0.15">
      <c r="A3" s="4" t="s">
        <v>2</v>
      </c>
      <c r="B3" s="4" t="s">
        <v>156</v>
      </c>
      <c r="C3" s="2">
        <v>2048</v>
      </c>
    </row>
    <row r="4" spans="1:3" x14ac:dyDescent="0.15">
      <c r="A4" s="4" t="s">
        <v>157</v>
      </c>
      <c r="B4" s="4" t="s">
        <v>158</v>
      </c>
      <c r="C4" s="2">
        <v>10000</v>
      </c>
    </row>
    <row r="5" spans="1:3" hidden="1" x14ac:dyDescent="0.15">
      <c r="A5" s="4" t="s">
        <v>159</v>
      </c>
      <c r="B5" s="4" t="s">
        <v>160</v>
      </c>
      <c r="C5" s="2">
        <v>0</v>
      </c>
    </row>
    <row r="6" spans="1:3" x14ac:dyDescent="0.15">
      <c r="A6" s="4" t="s">
        <v>161</v>
      </c>
      <c r="B6" s="4" t="s">
        <v>162</v>
      </c>
      <c r="C6" s="2">
        <v>8</v>
      </c>
    </row>
    <row r="7" spans="1:3" x14ac:dyDescent="0.15">
      <c r="A7" s="4" t="s">
        <v>5</v>
      </c>
      <c r="B7" s="4" t="s">
        <v>11</v>
      </c>
      <c r="C7" s="2">
        <v>1500</v>
      </c>
    </row>
    <row r="8" spans="1:3" x14ac:dyDescent="0.15">
      <c r="A8" s="4" t="s">
        <v>163</v>
      </c>
      <c r="B8" s="4" t="s">
        <v>75</v>
      </c>
      <c r="C8" s="2">
        <v>0</v>
      </c>
    </row>
    <row r="9" spans="1:3" x14ac:dyDescent="0.15">
      <c r="A9" s="4" t="s">
        <v>164</v>
      </c>
      <c r="B9" s="4" t="s">
        <v>165</v>
      </c>
      <c r="C9" s="4">
        <f>C72</f>
        <v>180000</v>
      </c>
    </row>
    <row r="10" spans="1:3" x14ac:dyDescent="0.15">
      <c r="A10" s="4" t="s">
        <v>166</v>
      </c>
      <c r="B10" s="4" t="s">
        <v>316</v>
      </c>
      <c r="C10" s="2">
        <v>20</v>
      </c>
    </row>
    <row r="11" spans="1:3" x14ac:dyDescent="0.15">
      <c r="A11" s="4" t="s">
        <v>167</v>
      </c>
      <c r="B11" s="4" t="s">
        <v>318</v>
      </c>
      <c r="C11" s="2">
        <v>0</v>
      </c>
    </row>
    <row r="12" spans="1:3" x14ac:dyDescent="0.15">
      <c r="A12" s="4" t="s">
        <v>168</v>
      </c>
      <c r="B12" s="4" t="s">
        <v>315</v>
      </c>
      <c r="C12" s="2">
        <v>1000</v>
      </c>
    </row>
    <row r="13" spans="1:3" x14ac:dyDescent="0.15">
      <c r="A13" s="4" t="s">
        <v>25</v>
      </c>
      <c r="B13" s="4" t="s">
        <v>28</v>
      </c>
      <c r="C13" s="2">
        <v>10</v>
      </c>
    </row>
    <row r="14" spans="1:3" x14ac:dyDescent="0.15">
      <c r="A14" s="4" t="s">
        <v>169</v>
      </c>
      <c r="B14" s="4" t="s">
        <v>170</v>
      </c>
      <c r="C14" s="4">
        <f>C75</f>
        <v>99</v>
      </c>
    </row>
    <row r="15" spans="1:3" x14ac:dyDescent="0.15">
      <c r="A15" s="4"/>
      <c r="B15" s="4"/>
      <c r="C15" s="4"/>
    </row>
    <row r="16" spans="1:3" x14ac:dyDescent="0.15">
      <c r="A16" s="10"/>
      <c r="B16" s="4"/>
      <c r="C16" s="4"/>
    </row>
    <row r="17" spans="1:3" hidden="1" x14ac:dyDescent="0.15">
      <c r="A17" s="10"/>
      <c r="B17" s="6" t="s">
        <v>171</v>
      </c>
      <c r="C17" s="6">
        <v>2</v>
      </c>
    </row>
    <row r="18" spans="1:3" hidden="1" x14ac:dyDescent="0.15">
      <c r="A18" s="10" t="s">
        <v>172</v>
      </c>
      <c r="B18" s="6" t="s">
        <v>173</v>
      </c>
      <c r="C18" s="6">
        <v>72</v>
      </c>
    </row>
    <row r="19" spans="1:3" hidden="1" x14ac:dyDescent="0.15">
      <c r="A19" s="10" t="s">
        <v>174</v>
      </c>
      <c r="B19" s="6" t="s">
        <v>175</v>
      </c>
      <c r="C19" s="6">
        <v>5</v>
      </c>
    </row>
    <row r="20" spans="1:3" hidden="1" x14ac:dyDescent="0.15">
      <c r="A20" s="10" t="s">
        <v>176</v>
      </c>
      <c r="B20" s="6" t="s">
        <v>177</v>
      </c>
      <c r="C20" s="6">
        <v>6</v>
      </c>
    </row>
    <row r="21" spans="1:3" hidden="1" x14ac:dyDescent="0.15">
      <c r="A21" s="10" t="s">
        <v>178</v>
      </c>
      <c r="B21" s="6" t="s">
        <v>179</v>
      </c>
      <c r="C21" s="6">
        <v>1</v>
      </c>
    </row>
    <row r="22" spans="1:3" hidden="1" x14ac:dyDescent="0.15">
      <c r="A22" s="10" t="s">
        <v>180</v>
      </c>
      <c r="B22" s="6" t="s">
        <v>181</v>
      </c>
      <c r="C22" s="6">
        <v>120</v>
      </c>
    </row>
    <row r="23" spans="1:3" hidden="1" x14ac:dyDescent="0.15">
      <c r="A23" s="10" t="s">
        <v>182</v>
      </c>
      <c r="B23" s="6" t="s">
        <v>183</v>
      </c>
      <c r="C23" s="6">
        <v>120</v>
      </c>
    </row>
    <row r="24" spans="1:3" hidden="1" x14ac:dyDescent="0.15">
      <c r="A24" s="10" t="s">
        <v>184</v>
      </c>
      <c r="B24" s="6" t="s">
        <v>185</v>
      </c>
      <c r="C24" s="6">
        <v>57900</v>
      </c>
    </row>
    <row r="25" spans="1:3" hidden="1" x14ac:dyDescent="0.15">
      <c r="A25" s="10" t="s">
        <v>186</v>
      </c>
      <c r="B25" s="6" t="s">
        <v>187</v>
      </c>
      <c r="C25" s="6">
        <v>4000</v>
      </c>
    </row>
    <row r="26" spans="1:3" hidden="1" x14ac:dyDescent="0.15">
      <c r="A26" s="10" t="s">
        <v>188</v>
      </c>
      <c r="B26" s="6" t="s">
        <v>189</v>
      </c>
      <c r="C26" s="6">
        <v>16</v>
      </c>
    </row>
    <row r="27" spans="1:3" hidden="1" x14ac:dyDescent="0.15">
      <c r="A27" s="10" t="s">
        <v>190</v>
      </c>
      <c r="B27" s="6" t="s">
        <v>191</v>
      </c>
      <c r="C27" s="6">
        <v>16</v>
      </c>
    </row>
    <row r="28" spans="1:3" hidden="1" x14ac:dyDescent="0.15">
      <c r="A28" s="10" t="s">
        <v>188</v>
      </c>
      <c r="B28" s="6" t="s">
        <v>193</v>
      </c>
      <c r="C28" s="6">
        <v>0</v>
      </c>
    </row>
    <row r="29" spans="1:3" hidden="1" x14ac:dyDescent="0.15">
      <c r="A29" s="10" t="s">
        <v>190</v>
      </c>
      <c r="B29" s="6" t="s">
        <v>195</v>
      </c>
      <c r="C29" s="6">
        <v>0</v>
      </c>
    </row>
    <row r="30" spans="1:3" hidden="1" x14ac:dyDescent="0.15">
      <c r="A30" s="10" t="s">
        <v>196</v>
      </c>
      <c r="B30" s="6" t="s">
        <v>197</v>
      </c>
      <c r="C30" s="6">
        <v>262</v>
      </c>
    </row>
    <row r="31" spans="1:3" hidden="1" x14ac:dyDescent="0.15">
      <c r="A31" s="10" t="s">
        <v>198</v>
      </c>
      <c r="B31" s="6" t="s">
        <v>199</v>
      </c>
      <c r="C31" s="6">
        <v>16</v>
      </c>
    </row>
    <row r="32" spans="1:3" hidden="1" x14ac:dyDescent="0.15">
      <c r="A32" s="10" t="s">
        <v>200</v>
      </c>
      <c r="B32" s="6" t="s">
        <v>201</v>
      </c>
      <c r="C32" s="6">
        <v>1065</v>
      </c>
    </row>
    <row r="33" spans="1:3" hidden="1" x14ac:dyDescent="0.15">
      <c r="A33" s="10" t="s">
        <v>202</v>
      </c>
      <c r="B33" s="6" t="s">
        <v>203</v>
      </c>
      <c r="C33" s="6">
        <v>40000</v>
      </c>
    </row>
    <row r="34" spans="1:3" hidden="1" x14ac:dyDescent="0.15">
      <c r="A34" s="6" t="s">
        <v>204</v>
      </c>
      <c r="B34" s="6"/>
      <c r="C34" s="6">
        <v>2592</v>
      </c>
    </row>
    <row r="35" spans="1:3" hidden="1" x14ac:dyDescent="0.15">
      <c r="A35" s="10" t="s">
        <v>205</v>
      </c>
      <c r="B35" s="6" t="s">
        <v>206</v>
      </c>
      <c r="C35" s="6">
        <f>ROUNDUP(MAX(C23+C29+C30,C34/C17+C27+C30)*1000/C18,0)</f>
        <v>21862</v>
      </c>
    </row>
    <row r="36" spans="1:3" hidden="1" x14ac:dyDescent="0.15">
      <c r="A36" s="10" t="s">
        <v>207</v>
      </c>
      <c r="B36" s="6" t="s">
        <v>208</v>
      </c>
      <c r="C36" s="6">
        <f>ROUNDUP(MAX(C22+C28+C30,C2/C17+C26+C30)*1000/C18,0)</f>
        <v>21862</v>
      </c>
    </row>
    <row r="37" spans="1:3" hidden="1" x14ac:dyDescent="0.15">
      <c r="A37" s="10" t="s">
        <v>209</v>
      </c>
      <c r="B37" s="6" t="s">
        <v>210</v>
      </c>
      <c r="C37" s="6">
        <f>C19*C35</f>
        <v>109310</v>
      </c>
    </row>
    <row r="38" spans="1:3" hidden="1" x14ac:dyDescent="0.15">
      <c r="A38" s="10" t="s">
        <v>211</v>
      </c>
      <c r="B38" s="6" t="s">
        <v>212</v>
      </c>
      <c r="C38" s="6">
        <f>C3*C36</f>
        <v>44773376</v>
      </c>
    </row>
    <row r="39" spans="1:3" hidden="1" x14ac:dyDescent="0.15">
      <c r="A39" s="10" t="s">
        <v>213</v>
      </c>
      <c r="B39" s="6" t="s">
        <v>214</v>
      </c>
      <c r="C39" s="6">
        <f>C20*C35</f>
        <v>131172</v>
      </c>
    </row>
    <row r="40" spans="1:3" hidden="1" x14ac:dyDescent="0.15">
      <c r="A40" s="10" t="s">
        <v>215</v>
      </c>
      <c r="B40" s="6" t="s">
        <v>216</v>
      </c>
      <c r="C40" s="6">
        <f>C21*C35</f>
        <v>21862</v>
      </c>
    </row>
    <row r="41" spans="1:3" hidden="1" x14ac:dyDescent="0.15">
      <c r="A41" s="10" t="s">
        <v>81</v>
      </c>
      <c r="B41" s="6"/>
      <c r="C41" s="6">
        <f>C10*10</f>
        <v>200</v>
      </c>
    </row>
    <row r="42" spans="1:3" hidden="1" x14ac:dyDescent="0.15">
      <c r="A42" s="10" t="s">
        <v>20</v>
      </c>
      <c r="B42" s="6"/>
      <c r="C42" s="6">
        <f>ROUNDUP((C23*1000/C18+C37+C38+C39+C24+C25+C33)/1000,0)</f>
        <v>45118</v>
      </c>
    </row>
    <row r="43" spans="1:3" hidden="1" x14ac:dyDescent="0.15">
      <c r="A43" s="10" t="s">
        <v>72</v>
      </c>
      <c r="B43" s="6"/>
      <c r="C43" s="6">
        <f>MAX(ROUNDDOWN((C4-14)*375/(10*900),0),1)</f>
        <v>416</v>
      </c>
    </row>
    <row r="44" spans="1:3" hidden="1" x14ac:dyDescent="0.15">
      <c r="A44" s="10" t="s">
        <v>73</v>
      </c>
      <c r="B44" s="6"/>
      <c r="C44" s="6">
        <f>ROUNDDOWN(C5*375/(10*900),0)</f>
        <v>0</v>
      </c>
    </row>
    <row r="45" spans="1:3" hidden="1" x14ac:dyDescent="0.15">
      <c r="A45" s="10" t="s">
        <v>74</v>
      </c>
      <c r="B45" s="6"/>
      <c r="C45" s="6">
        <f>ROUNDUP((C40+C4*1000+C5*1000+C24+C25+C33)/1000,0)</f>
        <v>10124</v>
      </c>
    </row>
    <row r="46" spans="1:3" hidden="1" x14ac:dyDescent="0.15">
      <c r="A46" s="10" t="s">
        <v>70</v>
      </c>
      <c r="B46" s="6"/>
      <c r="C46" s="6">
        <v>0</v>
      </c>
    </row>
    <row r="47" spans="1:3" hidden="1" x14ac:dyDescent="0.15">
      <c r="A47" s="10" t="s">
        <v>219</v>
      </c>
      <c r="B47" s="6" t="s">
        <v>220</v>
      </c>
      <c r="C47" s="6">
        <v>12</v>
      </c>
    </row>
    <row r="48" spans="1:3" hidden="1" x14ac:dyDescent="0.15">
      <c r="A48" s="10" t="s">
        <v>221</v>
      </c>
      <c r="B48" s="6" t="s">
        <v>222</v>
      </c>
      <c r="C48" s="6">
        <f>IF(C46=0,36,12)</f>
        <v>36</v>
      </c>
    </row>
    <row r="49" spans="1:3" hidden="1" x14ac:dyDescent="0.15">
      <c r="A49" s="10" t="s">
        <v>223</v>
      </c>
      <c r="B49" s="6" t="s">
        <v>224</v>
      </c>
      <c r="C49" s="6">
        <v>10</v>
      </c>
    </row>
    <row r="50" spans="1:3" hidden="1" x14ac:dyDescent="0.15">
      <c r="A50" s="10" t="s">
        <v>225</v>
      </c>
      <c r="B50" s="6" t="s">
        <v>226</v>
      </c>
      <c r="C50" s="6">
        <f>C2*C3*IF(C6=8,1,2)</f>
        <v>5308416</v>
      </c>
    </row>
    <row r="51" spans="1:3" hidden="1" x14ac:dyDescent="0.15">
      <c r="A51" s="10" t="s">
        <v>227</v>
      </c>
      <c r="B51" s="6" t="s">
        <v>228</v>
      </c>
      <c r="C51" s="6">
        <f>C50</f>
        <v>5308416</v>
      </c>
    </row>
    <row r="52" spans="1:3" hidden="1" x14ac:dyDescent="0.15">
      <c r="A52" s="10" t="s">
        <v>229</v>
      </c>
      <c r="B52" s="6" t="s">
        <v>230</v>
      </c>
      <c r="C52" s="6">
        <v>36</v>
      </c>
    </row>
    <row r="53" spans="1:3" hidden="1" x14ac:dyDescent="0.15">
      <c r="A53" s="10" t="s">
        <v>231</v>
      </c>
      <c r="B53" s="6" t="s">
        <v>232</v>
      </c>
      <c r="C53" s="6">
        <v>26</v>
      </c>
    </row>
    <row r="54" spans="1:3" hidden="1" x14ac:dyDescent="0.15">
      <c r="A54" s="10" t="s">
        <v>233</v>
      </c>
      <c r="B54" s="6" t="s">
        <v>234</v>
      </c>
      <c r="C54" s="6">
        <v>10</v>
      </c>
    </row>
    <row r="55" spans="1:3" hidden="1" x14ac:dyDescent="0.15">
      <c r="A55" s="10" t="s">
        <v>235</v>
      </c>
      <c r="B55" s="6" t="s">
        <v>236</v>
      </c>
      <c r="C55" s="6">
        <f>ROUNDDOWN((C2*C3*ROUNDUP(C6/8,0)+C46*32)/(C7-36),0)</f>
        <v>3625</v>
      </c>
    </row>
    <row r="56" spans="1:3" hidden="1" x14ac:dyDescent="0.15">
      <c r="A56" s="10" t="s">
        <v>237</v>
      </c>
      <c r="B56" s="6" t="s">
        <v>238</v>
      </c>
      <c r="C56" s="6">
        <f>IF(C57=0,0,1)</f>
        <v>1</v>
      </c>
    </row>
    <row r="57" spans="1:3" hidden="1" x14ac:dyDescent="0.15">
      <c r="A57" s="10" t="s">
        <v>17</v>
      </c>
      <c r="B57" s="6" t="s">
        <v>239</v>
      </c>
      <c r="C57" s="6">
        <f>C2*C3*ROUNDUP(C6/8,0)+C46*32-(C7-36)*C55</f>
        <v>1416</v>
      </c>
    </row>
    <row r="58" spans="1:3" ht="27" hidden="1" x14ac:dyDescent="0.15">
      <c r="A58" s="10" t="s">
        <v>240</v>
      </c>
      <c r="B58" s="6" t="s">
        <v>241</v>
      </c>
      <c r="C58" s="6">
        <f>IF(C57&lt;C54,C54,C57)</f>
        <v>1416</v>
      </c>
    </row>
    <row r="59" spans="1:3" hidden="1" x14ac:dyDescent="0.15">
      <c r="A59" s="10" t="s">
        <v>242</v>
      </c>
      <c r="B59" s="6" t="s">
        <v>243</v>
      </c>
      <c r="C59" s="6">
        <v>98</v>
      </c>
    </row>
    <row r="60" spans="1:3" hidden="1" x14ac:dyDescent="0.15">
      <c r="A60" s="10" t="s">
        <v>244</v>
      </c>
      <c r="B60" s="6" t="s">
        <v>245</v>
      </c>
      <c r="C60" s="6">
        <v>72</v>
      </c>
    </row>
    <row r="61" spans="1:3" ht="27" hidden="1" x14ac:dyDescent="0.15">
      <c r="A61" s="10" t="s">
        <v>246</v>
      </c>
      <c r="B61" s="6" t="s">
        <v>247</v>
      </c>
      <c r="C61" s="6">
        <f>C55*(C7+C53)+C56*(C58+C52+C53)</f>
        <v>5533228</v>
      </c>
    </row>
    <row r="62" spans="1:3" hidden="1" x14ac:dyDescent="0.15">
      <c r="A62" s="10" t="s">
        <v>248</v>
      </c>
      <c r="B62" s="6" t="s">
        <v>249</v>
      </c>
      <c r="C62" s="6">
        <f>(2+C55+C56)*(C8+C47)</f>
        <v>43536</v>
      </c>
    </row>
    <row r="63" spans="1:3" hidden="1" x14ac:dyDescent="0.15">
      <c r="A63" s="10" t="s">
        <v>250</v>
      </c>
      <c r="B63" s="6" t="s">
        <v>251</v>
      </c>
      <c r="C63" s="6">
        <f>C59+C60+C61+C62</f>
        <v>5576934</v>
      </c>
    </row>
    <row r="64" spans="1:3" hidden="1" x14ac:dyDescent="0.15">
      <c r="A64" s="10" t="s">
        <v>252</v>
      </c>
      <c r="B64" s="6" t="s">
        <v>253</v>
      </c>
      <c r="C64" s="6">
        <f>ROUNDDOWN(C12*(100-C13)/80,0)</f>
        <v>1125</v>
      </c>
    </row>
    <row r="65" spans="1:3" hidden="1" x14ac:dyDescent="0.15">
      <c r="A65" s="10" t="s">
        <v>254</v>
      </c>
      <c r="B65" s="6" t="s">
        <v>255</v>
      </c>
      <c r="C65" s="6">
        <f>INT(C63/C64)*10</f>
        <v>49570</v>
      </c>
    </row>
    <row r="66" spans="1:3" hidden="1" x14ac:dyDescent="0.15">
      <c r="A66" s="10" t="s">
        <v>256</v>
      </c>
      <c r="B66" s="6" t="s">
        <v>257</v>
      </c>
      <c r="C66" s="6">
        <f>INT((C51+C48+C49)/C32)*10</f>
        <v>49840</v>
      </c>
    </row>
    <row r="67" spans="1:3" hidden="1" x14ac:dyDescent="0.15">
      <c r="A67" s="6" t="s">
        <v>141</v>
      </c>
      <c r="B67" s="6"/>
      <c r="C67" s="6">
        <f>MAX(C65,C66)</f>
        <v>49840</v>
      </c>
    </row>
    <row r="68" spans="1:3" hidden="1" x14ac:dyDescent="0.15">
      <c r="A68" s="6" t="s">
        <v>69</v>
      </c>
      <c r="B68" s="6"/>
      <c r="C68" s="6">
        <f xml:space="preserve"> ROUNDDOWN((1000000/C10)*C11,0)</f>
        <v>0</v>
      </c>
    </row>
    <row r="69" spans="1:3" hidden="1" x14ac:dyDescent="0.15">
      <c r="A69" s="6" t="s">
        <v>22</v>
      </c>
      <c r="B69" s="6"/>
      <c r="C69" s="6">
        <f>IF(C11=1,MAX(C42,C45,C67,C68),MAX(C42,C45,C67))</f>
        <v>49840</v>
      </c>
    </row>
    <row r="70" spans="1:3" hidden="1" x14ac:dyDescent="0.15">
      <c r="A70" s="6" t="s">
        <v>23</v>
      </c>
      <c r="B70" s="6"/>
      <c r="C70" s="6">
        <f>ROUND(1000000/C69,2)</f>
        <v>20.059999999999999</v>
      </c>
    </row>
    <row r="71" spans="1:3" hidden="1" x14ac:dyDescent="0.15">
      <c r="A71" s="6" t="s">
        <v>90</v>
      </c>
      <c r="B71" s="6"/>
      <c r="C71" s="6">
        <f>12500*C12*(100-C13)</f>
        <v>1125000000</v>
      </c>
    </row>
    <row r="72" spans="1:3" hidden="1" x14ac:dyDescent="0.15">
      <c r="A72" s="6" t="s">
        <v>54</v>
      </c>
      <c r="B72" s="6"/>
      <c r="C72" s="6">
        <f>IF((ROUNDDOWN((C71-(62+C7-36)*C55-62-C57-170+C46*24)/(C55+3),0)-12)&gt;180000,180000,ROUNDDOWN((C71-(62+C7-36)*C55-62-C57-168+C46*24)/(C55+3),0)-12)</f>
        <v>180000</v>
      </c>
    </row>
    <row r="73" spans="1:3" hidden="1" x14ac:dyDescent="0.15">
      <c r="A73" s="6" t="s">
        <v>58</v>
      </c>
      <c r="B73" s="6"/>
      <c r="C73" s="6">
        <f>((62+(C7-36))*C55+62+C57+170)+(C8+12)*(C55+3)</f>
        <v>5576934</v>
      </c>
    </row>
    <row r="74" spans="1:3" hidden="1" x14ac:dyDescent="0.15">
      <c r="A74" s="6" t="s">
        <v>90</v>
      </c>
      <c r="B74" s="6"/>
      <c r="C74" s="6">
        <f>1250000*C12</f>
        <v>1250000000</v>
      </c>
    </row>
    <row r="75" spans="1:3" hidden="1" x14ac:dyDescent="0.15">
      <c r="A75" s="6" t="s">
        <v>55</v>
      </c>
      <c r="B75" s="6"/>
      <c r="C75" s="6">
        <f>IF((100-ROUNDDOWN(C73*10/(C74/10),0)-1)&lt;0,0,(100-ROUNDDOWN(C73*10/(C74/10),0)-1))</f>
        <v>99</v>
      </c>
    </row>
    <row r="76" spans="1:3" hidden="1" x14ac:dyDescent="0.15">
      <c r="A76" s="6" t="s">
        <v>71</v>
      </c>
      <c r="B76" s="6"/>
      <c r="C76" s="6">
        <f>ROUNDDOWN((C71-(62+C7-36)*C55-62-C57-170+C46*24)/(C55+3),0)-12</f>
        <v>308551</v>
      </c>
    </row>
    <row r="77" spans="1:3" hidden="1" x14ac:dyDescent="0.15">
      <c r="A77" s="6" t="s">
        <v>266</v>
      </c>
      <c r="B77" s="6"/>
      <c r="C77" s="6">
        <f>ROUNDDOWN(ROUNDDOWN(ROUNDDOWN(ROUNDDOWN(C2*ROUNDDOWN(1000000000/C69,0)/10,0)*ROUNDUP(C6/8,0)/10,0)*C3/10,0)*10/(100-C13),0)*10</f>
        <v>118342080</v>
      </c>
    </row>
    <row r="78" spans="1:3" x14ac:dyDescent="0.15">
      <c r="A78" s="6"/>
      <c r="B78" s="6"/>
      <c r="C78" s="6"/>
    </row>
    <row r="79" spans="1:3" ht="14.25" x14ac:dyDescent="0.15">
      <c r="A79" s="11" t="s">
        <v>151</v>
      </c>
      <c r="B79" s="11"/>
      <c r="C79" s="11"/>
    </row>
    <row r="80" spans="1:3" ht="14.25" x14ac:dyDescent="0.15">
      <c r="A80" s="11" t="s">
        <v>23</v>
      </c>
      <c r="B80" s="11" t="s">
        <v>308</v>
      </c>
      <c r="C80" s="11">
        <f>C70</f>
        <v>20.059999999999999</v>
      </c>
    </row>
  </sheetData>
  <sheetProtection algorithmName="SHA-512" hashValue="u7v2qSfbDs0SLh9CuN1tBCc+az84OpMn2+QttNXgpMtApfD6z9OGzOe0vbArj0jaO1YxWXeEZWlERyS+SvPAYg==" saltValue="YmEF5SDWFBwyl94fq2aqZA==" spinCount="100000" sheet="1" objects="1" scenarios="1"/>
  <phoneticPr fontId="1" type="noConversion"/>
  <dataValidations count="13">
    <dataValidation type="custom" allowBlank="1" showErrorMessage="1" errorTitle="Input parameter error" error="Input 0 or 1" prompt="应在包间隔范围内" sqref="C11">
      <formula1>OR((C11=0),(C11=1))</formula1>
    </dataValidation>
    <dataValidation type="custom" allowBlank="1" showInputMessage="1" showErrorMessage="1" errorTitle="Input parameter error" error="Input 1000 or 100" sqref="C12">
      <formula1>OR((C12=1000),(C12=100))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custom" allowBlank="1" showInputMessage="1" showErrorMessage="1" errorTitle="Input parameter error" error="Input 8 or 10" sqref="C6">
      <formula1>OR((C6=8),(C6=10))</formula1>
    </dataValidation>
    <dataValidation type="whole" allowBlank="1" showInputMessage="1" showErrorMessage="1" error="输入范围是0~5000" sqref="C5">
      <formula1>0</formula1>
      <formula2>5000</formula2>
    </dataValidation>
    <dataValidation type="custom" allowBlank="1" showInputMessage="1" showErrorMessage="1" errorTitle="Input parameter error" error="Input range:[64, 2048],and is an integer multiple of 2" sqref="C3">
      <formula1>AND((C3&lt;=2048),(C3&gt;=64),(MOD(C3,2)=0))</formula1>
    </dataValidation>
    <dataValidation type="custom" allowBlank="1" showInputMessage="1" showErrorMessage="1" errorTitle="Input parameter error" error="Input range:[64, 2592],and is an integer multiple of 32" sqref="C2">
      <formula1>AND((C2&lt;=2592),(C2&gt;=64),(MOD(C2,32)=0))</formula1>
    </dataValidation>
    <dataValidation type="whole" allowBlank="1" showInputMessage="1" showErrorMessage="1" errorTitle="Input parameter error" error="Input range:[0, 'BandwidthReserveMaxValue'], and is an integer multiple of 1" sqref="C13">
      <formula1>0</formula1>
      <formula2>C14</formula2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C9</formula2>
    </dataValidation>
    <dataValidation allowBlank="1" showErrorMessage="1" prompt="设置值应在预留带宽范围内" sqref="C14"/>
    <dataValidation type="custom" allowBlank="1" showErrorMessage="1" errorTitle="Input parameter error" error="Input range:[0.1, 10000]" prompt="应在包间隔范围内" sqref="C10">
      <formula1>AND(TRUNC(C10,1)=C10,(C10&gt;=0.1),(C10&lt;=10000))</formula1>
    </dataValidation>
    <dataValidation type="whole" allowBlank="1" showInputMessage="1" showErrorMessage="1" errorTitle="Input parameter error" error="Input range:[5, 1000000]" sqref="C4">
      <formula1>5</formula1>
      <formula2>1000000</formula2>
    </dataValidation>
    <dataValidation type="whole" allowBlank="1" showErrorMessage="1" error="设置值超过最大值" prompt="应在包间隔范围内" sqref="C9">
      <formula1>0</formula1>
      <formula2>C72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B1" workbookViewId="0">
      <selection activeCell="C6" sqref="C6"/>
    </sheetView>
  </sheetViews>
  <sheetFormatPr defaultRowHeight="13.5" x14ac:dyDescent="0.15"/>
  <cols>
    <col min="1" max="1" width="32.75" hidden="1" customWidth="1"/>
    <col min="2" max="2" width="32.875" customWidth="1"/>
    <col min="3" max="3" width="11.875" customWidth="1"/>
  </cols>
  <sheetData>
    <row r="1" spans="1:3" x14ac:dyDescent="0.15">
      <c r="A1" s="14" t="s">
        <v>154</v>
      </c>
      <c r="B1" s="14"/>
      <c r="C1" s="15"/>
    </row>
    <row r="2" spans="1:3" x14ac:dyDescent="0.15">
      <c r="A2" s="4" t="s">
        <v>1</v>
      </c>
      <c r="B2" s="4" t="s">
        <v>155</v>
      </c>
      <c r="C2" s="2">
        <v>2592</v>
      </c>
    </row>
    <row r="3" spans="1:3" x14ac:dyDescent="0.15">
      <c r="A3" s="4" t="s">
        <v>2</v>
      </c>
      <c r="B3" s="4" t="s">
        <v>156</v>
      </c>
      <c r="C3" s="2">
        <v>2048</v>
      </c>
    </row>
    <row r="4" spans="1:3" x14ac:dyDescent="0.15">
      <c r="A4" s="4" t="s">
        <v>157</v>
      </c>
      <c r="B4" s="4" t="s">
        <v>158</v>
      </c>
      <c r="C4" s="2">
        <v>10000</v>
      </c>
    </row>
    <row r="5" spans="1:3" hidden="1" x14ac:dyDescent="0.15">
      <c r="A5" s="4" t="s">
        <v>159</v>
      </c>
      <c r="B5" s="4" t="s">
        <v>160</v>
      </c>
      <c r="C5" s="2">
        <v>0</v>
      </c>
    </row>
    <row r="6" spans="1:3" x14ac:dyDescent="0.15">
      <c r="A6" s="4" t="s">
        <v>161</v>
      </c>
      <c r="B6" s="4" t="s">
        <v>162</v>
      </c>
      <c r="C6" s="2">
        <v>8</v>
      </c>
    </row>
    <row r="7" spans="1:3" x14ac:dyDescent="0.15">
      <c r="A7" s="4" t="s">
        <v>5</v>
      </c>
      <c r="B7" s="4" t="s">
        <v>11</v>
      </c>
      <c r="C7" s="2">
        <v>1500</v>
      </c>
    </row>
    <row r="8" spans="1:3" x14ac:dyDescent="0.15">
      <c r="A8" s="4" t="s">
        <v>163</v>
      </c>
      <c r="B8" s="4" t="s">
        <v>75</v>
      </c>
      <c r="C8" s="2">
        <v>0</v>
      </c>
    </row>
    <row r="9" spans="1:3" x14ac:dyDescent="0.15">
      <c r="A9" s="4" t="s">
        <v>164</v>
      </c>
      <c r="B9" s="4" t="s">
        <v>165</v>
      </c>
      <c r="C9" s="4">
        <f>C72</f>
        <v>180000</v>
      </c>
    </row>
    <row r="10" spans="1:3" x14ac:dyDescent="0.15">
      <c r="A10" s="4" t="s">
        <v>166</v>
      </c>
      <c r="B10" s="4" t="s">
        <v>316</v>
      </c>
      <c r="C10" s="2">
        <v>20</v>
      </c>
    </row>
    <row r="11" spans="1:3" x14ac:dyDescent="0.15">
      <c r="A11" s="4" t="s">
        <v>167</v>
      </c>
      <c r="B11" s="4" t="s">
        <v>321</v>
      </c>
      <c r="C11" s="2">
        <v>0</v>
      </c>
    </row>
    <row r="12" spans="1:3" x14ac:dyDescent="0.15">
      <c r="A12" s="4" t="s">
        <v>168</v>
      </c>
      <c r="B12" s="4" t="s">
        <v>315</v>
      </c>
      <c r="C12" s="2">
        <v>1000</v>
      </c>
    </row>
    <row r="13" spans="1:3" x14ac:dyDescent="0.15">
      <c r="A13" s="4" t="s">
        <v>25</v>
      </c>
      <c r="B13" s="4" t="s">
        <v>28</v>
      </c>
      <c r="C13" s="2">
        <v>10</v>
      </c>
    </row>
    <row r="14" spans="1:3" x14ac:dyDescent="0.15">
      <c r="A14" s="4" t="s">
        <v>169</v>
      </c>
      <c r="B14" s="4" t="s">
        <v>170</v>
      </c>
      <c r="C14" s="4">
        <f>C75</f>
        <v>99</v>
      </c>
    </row>
    <row r="15" spans="1:3" x14ac:dyDescent="0.15">
      <c r="A15" s="4"/>
      <c r="B15" s="4"/>
      <c r="C15" s="4"/>
    </row>
    <row r="16" spans="1:3" x14ac:dyDescent="0.15">
      <c r="A16" s="10"/>
      <c r="B16" s="4"/>
      <c r="C16" s="4"/>
    </row>
    <row r="17" spans="1:3" hidden="1" x14ac:dyDescent="0.15">
      <c r="A17" s="10"/>
      <c r="B17" s="6" t="s">
        <v>171</v>
      </c>
      <c r="C17" s="6">
        <v>2</v>
      </c>
    </row>
    <row r="18" spans="1:3" hidden="1" x14ac:dyDescent="0.15">
      <c r="A18" s="10" t="s">
        <v>172</v>
      </c>
      <c r="B18" s="6" t="s">
        <v>173</v>
      </c>
      <c r="C18" s="6">
        <v>72</v>
      </c>
    </row>
    <row r="19" spans="1:3" hidden="1" x14ac:dyDescent="0.15">
      <c r="A19" s="10" t="s">
        <v>174</v>
      </c>
      <c r="B19" s="6" t="s">
        <v>175</v>
      </c>
      <c r="C19" s="6">
        <v>5</v>
      </c>
    </row>
    <row r="20" spans="1:3" hidden="1" x14ac:dyDescent="0.15">
      <c r="A20" s="10" t="s">
        <v>176</v>
      </c>
      <c r="B20" s="6" t="s">
        <v>177</v>
      </c>
      <c r="C20" s="6">
        <v>6</v>
      </c>
    </row>
    <row r="21" spans="1:3" hidden="1" x14ac:dyDescent="0.15">
      <c r="A21" s="10" t="s">
        <v>178</v>
      </c>
      <c r="B21" s="6" t="s">
        <v>179</v>
      </c>
      <c r="C21" s="6">
        <v>1</v>
      </c>
    </row>
    <row r="22" spans="1:3" hidden="1" x14ac:dyDescent="0.15">
      <c r="A22" s="10" t="s">
        <v>180</v>
      </c>
      <c r="B22" s="6" t="s">
        <v>181</v>
      </c>
      <c r="C22" s="6">
        <v>120</v>
      </c>
    </row>
    <row r="23" spans="1:3" hidden="1" x14ac:dyDescent="0.15">
      <c r="A23" s="10" t="s">
        <v>182</v>
      </c>
      <c r="B23" s="6" t="s">
        <v>183</v>
      </c>
      <c r="C23" s="6">
        <v>120</v>
      </c>
    </row>
    <row r="24" spans="1:3" hidden="1" x14ac:dyDescent="0.15">
      <c r="A24" s="10" t="s">
        <v>184</v>
      </c>
      <c r="B24" s="6" t="s">
        <v>185</v>
      </c>
      <c r="C24" s="6">
        <v>57900</v>
      </c>
    </row>
    <row r="25" spans="1:3" hidden="1" x14ac:dyDescent="0.15">
      <c r="A25" s="10" t="s">
        <v>186</v>
      </c>
      <c r="B25" s="6" t="s">
        <v>187</v>
      </c>
      <c r="C25" s="6">
        <v>4000</v>
      </c>
    </row>
    <row r="26" spans="1:3" hidden="1" x14ac:dyDescent="0.15">
      <c r="A26" s="10" t="s">
        <v>188</v>
      </c>
      <c r="B26" s="6" t="s">
        <v>189</v>
      </c>
      <c r="C26" s="6">
        <v>16</v>
      </c>
    </row>
    <row r="27" spans="1:3" hidden="1" x14ac:dyDescent="0.15">
      <c r="A27" s="10" t="s">
        <v>190</v>
      </c>
      <c r="B27" s="6" t="s">
        <v>191</v>
      </c>
      <c r="C27" s="6">
        <v>16</v>
      </c>
    </row>
    <row r="28" spans="1:3" hidden="1" x14ac:dyDescent="0.15">
      <c r="A28" s="10" t="s">
        <v>192</v>
      </c>
      <c r="B28" s="6" t="s">
        <v>193</v>
      </c>
      <c r="C28" s="6">
        <v>0</v>
      </c>
    </row>
    <row r="29" spans="1:3" hidden="1" x14ac:dyDescent="0.15">
      <c r="A29" s="10" t="s">
        <v>194</v>
      </c>
      <c r="B29" s="6" t="s">
        <v>195</v>
      </c>
      <c r="C29" s="6">
        <v>0</v>
      </c>
    </row>
    <row r="30" spans="1:3" hidden="1" x14ac:dyDescent="0.15">
      <c r="A30" s="10" t="s">
        <v>196</v>
      </c>
      <c r="B30" s="6" t="s">
        <v>197</v>
      </c>
      <c r="C30" s="6">
        <v>262</v>
      </c>
    </row>
    <row r="31" spans="1:3" hidden="1" x14ac:dyDescent="0.15">
      <c r="A31" s="10" t="s">
        <v>198</v>
      </c>
      <c r="B31" s="6" t="s">
        <v>199</v>
      </c>
      <c r="C31" s="6">
        <v>16</v>
      </c>
    </row>
    <row r="32" spans="1:3" hidden="1" x14ac:dyDescent="0.15">
      <c r="A32" s="10" t="s">
        <v>200</v>
      </c>
      <c r="B32" s="6" t="s">
        <v>201</v>
      </c>
      <c r="C32" s="6">
        <v>1065</v>
      </c>
    </row>
    <row r="33" spans="1:3" hidden="1" x14ac:dyDescent="0.15">
      <c r="A33" s="10" t="s">
        <v>202</v>
      </c>
      <c r="B33" s="6" t="s">
        <v>203</v>
      </c>
      <c r="C33" s="6">
        <v>40000</v>
      </c>
    </row>
    <row r="34" spans="1:3" hidden="1" x14ac:dyDescent="0.15">
      <c r="A34" s="6" t="s">
        <v>204</v>
      </c>
      <c r="B34" s="6"/>
      <c r="C34" s="6">
        <v>2592</v>
      </c>
    </row>
    <row r="35" spans="1:3" hidden="1" x14ac:dyDescent="0.15">
      <c r="A35" s="10" t="s">
        <v>205</v>
      </c>
      <c r="B35" s="6" t="s">
        <v>206</v>
      </c>
      <c r="C35" s="6">
        <f>ROUNDUP(MAX(C23+C29+C30,C34/C17+C27+C30)*1000/C18,0)</f>
        <v>21862</v>
      </c>
    </row>
    <row r="36" spans="1:3" hidden="1" x14ac:dyDescent="0.15">
      <c r="A36" s="10" t="s">
        <v>207</v>
      </c>
      <c r="B36" s="6" t="s">
        <v>208</v>
      </c>
      <c r="C36" s="6">
        <f>ROUNDUP(MAX(C22+C28+C30,C2/C17+C26+C30)*1000/C18,0)</f>
        <v>21862</v>
      </c>
    </row>
    <row r="37" spans="1:3" hidden="1" x14ac:dyDescent="0.15">
      <c r="A37" s="10" t="s">
        <v>209</v>
      </c>
      <c r="B37" s="6" t="s">
        <v>210</v>
      </c>
      <c r="C37" s="6">
        <f>C19*C35</f>
        <v>109310</v>
      </c>
    </row>
    <row r="38" spans="1:3" hidden="1" x14ac:dyDescent="0.15">
      <c r="A38" s="10" t="s">
        <v>211</v>
      </c>
      <c r="B38" s="6" t="s">
        <v>212</v>
      </c>
      <c r="C38" s="6">
        <f>C3*C36</f>
        <v>44773376</v>
      </c>
    </row>
    <row r="39" spans="1:3" hidden="1" x14ac:dyDescent="0.15">
      <c r="A39" s="10" t="s">
        <v>213</v>
      </c>
      <c r="B39" s="6" t="s">
        <v>214</v>
      </c>
      <c r="C39" s="6">
        <f>C20*C35</f>
        <v>131172</v>
      </c>
    </row>
    <row r="40" spans="1:3" hidden="1" x14ac:dyDescent="0.15">
      <c r="A40" s="10" t="s">
        <v>215</v>
      </c>
      <c r="B40" s="6" t="s">
        <v>216</v>
      </c>
      <c r="C40" s="6">
        <f>C21*C35</f>
        <v>21862</v>
      </c>
    </row>
    <row r="41" spans="1:3" hidden="1" x14ac:dyDescent="0.15">
      <c r="A41" s="10" t="s">
        <v>81</v>
      </c>
      <c r="B41" s="6"/>
      <c r="C41" s="6">
        <f>C10*10</f>
        <v>200</v>
      </c>
    </row>
    <row r="42" spans="1:3" hidden="1" x14ac:dyDescent="0.15">
      <c r="A42" s="10" t="s">
        <v>20</v>
      </c>
      <c r="B42" s="6"/>
      <c r="C42" s="6">
        <f>ROUNDUP((C23*1000/C18+C37+C38+C39+C24+C25+C33)/1000,0)</f>
        <v>45118</v>
      </c>
    </row>
    <row r="43" spans="1:3" hidden="1" x14ac:dyDescent="0.15">
      <c r="A43" s="10" t="s">
        <v>72</v>
      </c>
      <c r="B43" s="6"/>
      <c r="C43" s="6">
        <f>MAX(ROUNDDOWN((C4-14)*375/(10*900),0),1)</f>
        <v>416</v>
      </c>
    </row>
    <row r="44" spans="1:3" hidden="1" x14ac:dyDescent="0.15">
      <c r="A44" s="10" t="s">
        <v>73</v>
      </c>
      <c r="B44" s="6"/>
      <c r="C44" s="6">
        <f>ROUNDDOWN(C5*375/(10*900),0)</f>
        <v>0</v>
      </c>
    </row>
    <row r="45" spans="1:3" hidden="1" x14ac:dyDescent="0.15">
      <c r="A45" s="10" t="s">
        <v>217</v>
      </c>
      <c r="B45" s="6"/>
      <c r="C45" s="6">
        <f>ROUNDUP((C40+C4*1000+C5*1000+C24+C25+C33)/1000,0)</f>
        <v>10124</v>
      </c>
    </row>
    <row r="46" spans="1:3" hidden="1" x14ac:dyDescent="0.15">
      <c r="A46" s="10" t="s">
        <v>218</v>
      </c>
      <c r="B46" s="6"/>
      <c r="C46" s="6">
        <v>0</v>
      </c>
    </row>
    <row r="47" spans="1:3" hidden="1" x14ac:dyDescent="0.15">
      <c r="A47" s="10" t="s">
        <v>219</v>
      </c>
      <c r="B47" s="6" t="s">
        <v>220</v>
      </c>
      <c r="C47" s="6">
        <v>12</v>
      </c>
    </row>
    <row r="48" spans="1:3" hidden="1" x14ac:dyDescent="0.15">
      <c r="A48" s="10" t="s">
        <v>221</v>
      </c>
      <c r="B48" s="6" t="s">
        <v>222</v>
      </c>
      <c r="C48" s="6">
        <f>IF(C46=0,36,12)</f>
        <v>36</v>
      </c>
    </row>
    <row r="49" spans="1:3" hidden="1" x14ac:dyDescent="0.15">
      <c r="A49" s="10" t="s">
        <v>223</v>
      </c>
      <c r="B49" s="6" t="s">
        <v>224</v>
      </c>
      <c r="C49" s="6">
        <v>10</v>
      </c>
    </row>
    <row r="50" spans="1:3" hidden="1" x14ac:dyDescent="0.15">
      <c r="A50" s="10" t="s">
        <v>225</v>
      </c>
      <c r="B50" s="6" t="s">
        <v>226</v>
      </c>
      <c r="C50" s="6">
        <f>C2*C3*IF(C6=8,1,2)</f>
        <v>5308416</v>
      </c>
    </row>
    <row r="51" spans="1:3" hidden="1" x14ac:dyDescent="0.15">
      <c r="A51" s="10" t="s">
        <v>227</v>
      </c>
      <c r="B51" s="6" t="s">
        <v>228</v>
      </c>
      <c r="C51" s="6">
        <f>C50</f>
        <v>5308416</v>
      </c>
    </row>
    <row r="52" spans="1:3" hidden="1" x14ac:dyDescent="0.15">
      <c r="A52" s="10" t="s">
        <v>229</v>
      </c>
      <c r="B52" s="6" t="s">
        <v>230</v>
      </c>
      <c r="C52" s="6">
        <v>36</v>
      </c>
    </row>
    <row r="53" spans="1:3" hidden="1" x14ac:dyDescent="0.15">
      <c r="A53" s="10" t="s">
        <v>231</v>
      </c>
      <c r="B53" s="6" t="s">
        <v>232</v>
      </c>
      <c r="C53" s="6">
        <v>26</v>
      </c>
    </row>
    <row r="54" spans="1:3" hidden="1" x14ac:dyDescent="0.15">
      <c r="A54" s="10" t="s">
        <v>233</v>
      </c>
      <c r="B54" s="6" t="s">
        <v>234</v>
      </c>
      <c r="C54" s="6">
        <v>10</v>
      </c>
    </row>
    <row r="55" spans="1:3" hidden="1" x14ac:dyDescent="0.15">
      <c r="A55" s="10" t="s">
        <v>235</v>
      </c>
      <c r="B55" s="6" t="s">
        <v>236</v>
      </c>
      <c r="C55" s="6">
        <f>ROUNDDOWN((C2*C3*ROUNDUP(C6/8,0)+C46*32)/(C7-36),0)</f>
        <v>3625</v>
      </c>
    </row>
    <row r="56" spans="1:3" hidden="1" x14ac:dyDescent="0.15">
      <c r="A56" s="10" t="s">
        <v>237</v>
      </c>
      <c r="B56" s="6" t="s">
        <v>238</v>
      </c>
      <c r="C56" s="6">
        <f>IF(C57=0,0,1)</f>
        <v>1</v>
      </c>
    </row>
    <row r="57" spans="1:3" hidden="1" x14ac:dyDescent="0.15">
      <c r="A57" s="10" t="s">
        <v>17</v>
      </c>
      <c r="B57" s="6" t="s">
        <v>239</v>
      </c>
      <c r="C57" s="6">
        <f>C2*C3*ROUNDUP(C6/8,0)+C46*32-(C7-36)*C55</f>
        <v>1416</v>
      </c>
    </row>
    <row r="58" spans="1:3" hidden="1" x14ac:dyDescent="0.15">
      <c r="A58" s="10" t="s">
        <v>240</v>
      </c>
      <c r="B58" s="6" t="s">
        <v>241</v>
      </c>
      <c r="C58" s="6">
        <f>IF(C57&lt;C54,C54,C57)</f>
        <v>1416</v>
      </c>
    </row>
    <row r="59" spans="1:3" hidden="1" x14ac:dyDescent="0.15">
      <c r="A59" s="10" t="s">
        <v>242</v>
      </c>
      <c r="B59" s="6" t="s">
        <v>243</v>
      </c>
      <c r="C59" s="6">
        <v>98</v>
      </c>
    </row>
    <row r="60" spans="1:3" hidden="1" x14ac:dyDescent="0.15">
      <c r="A60" s="10" t="s">
        <v>244</v>
      </c>
      <c r="B60" s="6" t="s">
        <v>245</v>
      </c>
      <c r="C60" s="6">
        <v>72</v>
      </c>
    </row>
    <row r="61" spans="1:3" hidden="1" x14ac:dyDescent="0.15">
      <c r="A61" s="10" t="s">
        <v>246</v>
      </c>
      <c r="B61" s="6" t="s">
        <v>247</v>
      </c>
      <c r="C61" s="6">
        <f>C55*(C7+C53)+C56*(C58+C52+C53)</f>
        <v>5533228</v>
      </c>
    </row>
    <row r="62" spans="1:3" hidden="1" x14ac:dyDescent="0.15">
      <c r="A62" s="10" t="s">
        <v>248</v>
      </c>
      <c r="B62" s="6" t="s">
        <v>249</v>
      </c>
      <c r="C62" s="6">
        <f>(2+C55+C56)*(C8+C47)</f>
        <v>43536</v>
      </c>
    </row>
    <row r="63" spans="1:3" hidden="1" x14ac:dyDescent="0.15">
      <c r="A63" s="10" t="s">
        <v>250</v>
      </c>
      <c r="B63" s="6" t="s">
        <v>251</v>
      </c>
      <c r="C63" s="6">
        <f>C59+C60+C61+C62</f>
        <v>5576934</v>
      </c>
    </row>
    <row r="64" spans="1:3" hidden="1" x14ac:dyDescent="0.15">
      <c r="A64" s="10" t="s">
        <v>252</v>
      </c>
      <c r="B64" s="6" t="s">
        <v>253</v>
      </c>
      <c r="C64" s="6">
        <f>ROUNDDOWN(C12*(100-C13)/80,0)</f>
        <v>1125</v>
      </c>
    </row>
    <row r="65" spans="1:3" hidden="1" x14ac:dyDescent="0.15">
      <c r="A65" s="10" t="s">
        <v>254</v>
      </c>
      <c r="B65" s="6" t="s">
        <v>255</v>
      </c>
      <c r="C65" s="6">
        <f>INT(C63/C64)*10</f>
        <v>49570</v>
      </c>
    </row>
    <row r="66" spans="1:3" hidden="1" x14ac:dyDescent="0.15">
      <c r="A66" s="10" t="s">
        <v>256</v>
      </c>
      <c r="B66" s="6" t="s">
        <v>257</v>
      </c>
      <c r="C66" s="6">
        <f>INT((C51+C48+C49)/C32)*10</f>
        <v>49840</v>
      </c>
    </row>
    <row r="67" spans="1:3" hidden="1" x14ac:dyDescent="0.15">
      <c r="A67" s="6" t="s">
        <v>258</v>
      </c>
      <c r="B67" s="6"/>
      <c r="C67" s="6">
        <f>MAX(C65,C66)</f>
        <v>49840</v>
      </c>
    </row>
    <row r="68" spans="1:3" hidden="1" x14ac:dyDescent="0.15">
      <c r="A68" s="6" t="s">
        <v>259</v>
      </c>
      <c r="B68" s="6"/>
      <c r="C68" s="6">
        <f xml:space="preserve"> ROUNDDOWN((1000000/C10)*C11,0)</f>
        <v>0</v>
      </c>
    </row>
    <row r="69" spans="1:3" hidden="1" x14ac:dyDescent="0.15">
      <c r="A69" s="6" t="s">
        <v>260</v>
      </c>
      <c r="B69" s="6"/>
      <c r="C69" s="6">
        <f>IF(C11=1,MAX(C42,C45,C67,C68),MAX(C42,C45,C67))</f>
        <v>49840</v>
      </c>
    </row>
    <row r="70" spans="1:3" hidden="1" x14ac:dyDescent="0.15">
      <c r="A70" s="6" t="s">
        <v>261</v>
      </c>
      <c r="B70" s="6"/>
      <c r="C70" s="6">
        <f>ROUND(1000000/C69,2)</f>
        <v>20.059999999999999</v>
      </c>
    </row>
    <row r="71" spans="1:3" hidden="1" x14ac:dyDescent="0.15">
      <c r="A71" s="6" t="s">
        <v>262</v>
      </c>
      <c r="B71" s="6"/>
      <c r="C71" s="6">
        <f>12500*C12*(100-C13)</f>
        <v>1125000000</v>
      </c>
    </row>
    <row r="72" spans="1:3" hidden="1" x14ac:dyDescent="0.15">
      <c r="A72" s="6" t="s">
        <v>263</v>
      </c>
      <c r="B72" s="6"/>
      <c r="C72" s="6">
        <f>IF((ROUNDDOWN((C71-(62+C7-36)*C55-62-C57-170+C46*24)/(C55+3),0)-12)&gt;180000,180000,ROUNDDOWN((C71-(62+C7-36)*C55-62-C57-168+C46*24)/(C55+3),0)-12)</f>
        <v>180000</v>
      </c>
    </row>
    <row r="73" spans="1:3" hidden="1" x14ac:dyDescent="0.15">
      <c r="A73" s="6" t="s">
        <v>58</v>
      </c>
      <c r="B73" s="6"/>
      <c r="C73" s="6">
        <f>((62+(C7-36))*C55+62+C57+170)+(C8+12)*(C55+3)</f>
        <v>5576934</v>
      </c>
    </row>
    <row r="74" spans="1:3" hidden="1" x14ac:dyDescent="0.15">
      <c r="A74" s="6" t="s">
        <v>262</v>
      </c>
      <c r="B74" s="6"/>
      <c r="C74" s="6">
        <f>1250000*C12</f>
        <v>1250000000</v>
      </c>
    </row>
    <row r="75" spans="1:3" hidden="1" x14ac:dyDescent="0.15">
      <c r="A75" s="6" t="s">
        <v>264</v>
      </c>
      <c r="B75" s="6"/>
      <c r="C75" s="6">
        <f>IF((100-ROUNDDOWN(C73*10/(C74/10),0)-1)&lt;0,0,(100-ROUNDDOWN(C73*10/(C74/10),0)-1))</f>
        <v>99</v>
      </c>
    </row>
    <row r="76" spans="1:3" hidden="1" x14ac:dyDescent="0.15">
      <c r="A76" s="6" t="s">
        <v>265</v>
      </c>
      <c r="B76" s="6"/>
      <c r="C76" s="6">
        <f>ROUNDDOWN((C71-(62+C7-36)*C55-62-C57-170+C46*24)/(C55+3),0)-12</f>
        <v>308551</v>
      </c>
    </row>
    <row r="77" spans="1:3" hidden="1" x14ac:dyDescent="0.15">
      <c r="A77" s="6" t="s">
        <v>266</v>
      </c>
      <c r="B77" s="6"/>
      <c r="C77" s="6">
        <f>ROUNDDOWN(ROUNDDOWN(ROUNDDOWN(ROUNDDOWN(C2*ROUNDDOWN(1000000000/C69,0)/10,0)*ROUNDUP(C6/8,0)/10,0)*C3/10,0)*10/(100-C13),0)*10</f>
        <v>118342080</v>
      </c>
    </row>
    <row r="78" spans="1:3" x14ac:dyDescent="0.15">
      <c r="A78" s="6"/>
      <c r="B78" s="6"/>
      <c r="C78" s="6"/>
    </row>
    <row r="79" spans="1:3" ht="14.25" x14ac:dyDescent="0.15">
      <c r="A79" s="11" t="s">
        <v>267</v>
      </c>
      <c r="B79" s="11"/>
      <c r="C79" s="11"/>
    </row>
    <row r="80" spans="1:3" ht="14.25" x14ac:dyDescent="0.15">
      <c r="A80" s="11" t="s">
        <v>261</v>
      </c>
      <c r="B80" s="11" t="s">
        <v>308</v>
      </c>
      <c r="C80" s="11">
        <f>C70</f>
        <v>20.059999999999999</v>
      </c>
    </row>
  </sheetData>
  <sheetProtection algorithmName="SHA-512" hashValue="4/bor98sdQVOnleupjOj+X1f/ntxYWZXnZZ1QHOCf4ms2Pe7r61zioYW6vqPMM/ZCCDa570ZCMNExI+uqWAsOw==" saltValue="Gsg6ixh3EsqG42sGhK2aqA==" spinCount="100000" sheet="1" objects="1" scenarios="1"/>
  <phoneticPr fontId="1" type="noConversion"/>
  <dataValidations count="13">
    <dataValidation type="whole" allowBlank="1" showErrorMessage="1" error="设置值超过最大值" prompt="应在包间隔范围内" sqref="C9">
      <formula1>0</formula1>
      <formula2>C72</formula2>
    </dataValidation>
    <dataValidation type="whole" allowBlank="1" showInputMessage="1" showErrorMessage="1" errorTitle="Input parameter error" error="Input range:[5, 1000000]" sqref="C4">
      <formula1>5</formula1>
      <formula2>1000000</formula2>
    </dataValidation>
    <dataValidation type="custom" allowBlank="1" showErrorMessage="1" errorTitle="Input parameter error" error="Input range:[0.1, 10000]" prompt="应在包间隔范围内" sqref="C10">
      <formula1>AND(TRUNC(C10,1)=C10,(C10&gt;=0.1),(C10&lt;=10000))</formula1>
    </dataValidation>
    <dataValidation allowBlank="1" showErrorMessage="1" prompt="设置值应在预留带宽范围内" sqref="C14"/>
    <dataValidation type="whole" allowBlank="1" showInputMessage="1" showErrorMessage="1" errorTitle="Input parameter error" error="Input range:[0, 'GevSCPDMaxValue'], and is an integer multiple of 1" sqref="C8">
      <formula1>0</formula1>
      <formula2>C9</formula2>
    </dataValidation>
    <dataValidation type="whole" allowBlank="1" showInputMessage="1" showErrorMessage="1" errorTitle="Input parameter error" error="Input range:[0, 'BandwidthReserveMaxValue'], and is an integer multiple of 1" sqref="C13">
      <formula1>0</formula1>
      <formula2>C14</formula2>
    </dataValidation>
    <dataValidation type="custom" allowBlank="1" showInputMessage="1" showErrorMessage="1" errorTitle="Input parameter error" error="Input range:[64, 2592],and is an integer multiple of 32" sqref="C2">
      <formula1>AND((C2&lt;=2592),(C2&gt;=64),(MOD(C2,32)=0))</formula1>
    </dataValidation>
    <dataValidation type="custom" allowBlank="1" showInputMessage="1" showErrorMessage="1" errorTitle="Input parameter error" error="Input range:[64, 2048],and is an integer multiple of 2" sqref="C3">
      <formula1>AND((C3&lt;=2048),(C3&gt;=64),(MOD(C3,2)=0))</formula1>
    </dataValidation>
    <dataValidation type="whole" allowBlank="1" showInputMessage="1" showErrorMessage="1" error="输入范围是0~5000" sqref="C5">
      <formula1>0</formula1>
      <formula2>5000</formula2>
    </dataValidation>
    <dataValidation type="custom" allowBlank="1" showInputMessage="1" showErrorMessage="1" errorTitle="Input parameter error" error="Input 8 or 10" sqref="C6">
      <formula1>OR((C6=8),(C6=10))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custom" allowBlank="1" showInputMessage="1" showErrorMessage="1" errorTitle="Input parameter error" error="Input 1000 or 100" sqref="C12">
      <formula1>OR((C12=1000),(C12=100))</formula1>
    </dataValidation>
    <dataValidation type="custom" allowBlank="1" showErrorMessage="1" errorTitle="Input parameter error" error="Input 0 or 1" prompt="应在包间隔范围内" sqref="C11">
      <formula1>OR((C11=0),(C11=1))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"/>
  <sheetViews>
    <sheetView topLeftCell="B1" zoomScaleNormal="100" workbookViewId="0">
      <selection activeCell="E13" sqref="E13"/>
    </sheetView>
  </sheetViews>
  <sheetFormatPr defaultRowHeight="13.5" x14ac:dyDescent="0.15"/>
  <cols>
    <col min="1" max="1" width="20.375" hidden="1" customWidth="1"/>
    <col min="2" max="2" width="29" customWidth="1"/>
    <col min="3" max="3" width="17.25" customWidth="1"/>
  </cols>
  <sheetData>
    <row r="1" spans="1:3" x14ac:dyDescent="0.15">
      <c r="A1" s="4" t="s">
        <v>0</v>
      </c>
      <c r="B1" s="4"/>
      <c r="C1" s="2"/>
    </row>
    <row r="2" spans="1:3" x14ac:dyDescent="0.15">
      <c r="A2" s="4" t="s">
        <v>1</v>
      </c>
      <c r="B2" s="4" t="s">
        <v>7</v>
      </c>
      <c r="C2" s="2">
        <v>1628</v>
      </c>
    </row>
    <row r="3" spans="1:3" x14ac:dyDescent="0.15">
      <c r="A3" s="4" t="s">
        <v>2</v>
      </c>
      <c r="B3" s="4" t="s">
        <v>8</v>
      </c>
      <c r="C3" s="2">
        <v>1236</v>
      </c>
    </row>
    <row r="4" spans="1:3" x14ac:dyDescent="0.15">
      <c r="A4" s="4" t="s">
        <v>13</v>
      </c>
      <c r="B4" s="4" t="s">
        <v>314</v>
      </c>
      <c r="C4" s="2">
        <v>0</v>
      </c>
    </row>
    <row r="5" spans="1:3" x14ac:dyDescent="0.15">
      <c r="A5" s="4" t="s">
        <v>3</v>
      </c>
      <c r="B5" s="4" t="s">
        <v>9</v>
      </c>
      <c r="C5" s="2">
        <v>60000</v>
      </c>
    </row>
    <row r="6" spans="1:3" x14ac:dyDescent="0.15">
      <c r="A6" s="4" t="s">
        <v>4</v>
      </c>
      <c r="B6" s="4" t="s">
        <v>10</v>
      </c>
      <c r="C6" s="2">
        <v>8</v>
      </c>
    </row>
    <row r="7" spans="1:3" x14ac:dyDescent="0.15">
      <c r="A7" s="4" t="s">
        <v>5</v>
      </c>
      <c r="B7" s="4" t="s">
        <v>11</v>
      </c>
      <c r="C7" s="2">
        <v>1500</v>
      </c>
    </row>
    <row r="8" spans="1:3" x14ac:dyDescent="0.15">
      <c r="A8" s="4" t="s">
        <v>6</v>
      </c>
      <c r="B8" s="4" t="s">
        <v>12</v>
      </c>
      <c r="C8" s="2">
        <v>0</v>
      </c>
    </row>
    <row r="9" spans="1:3" x14ac:dyDescent="0.15">
      <c r="A9" s="4" t="s">
        <v>14</v>
      </c>
      <c r="B9" s="4" t="s">
        <v>315</v>
      </c>
      <c r="C9" s="2">
        <v>1000</v>
      </c>
    </row>
    <row r="10" spans="1:3" x14ac:dyDescent="0.15">
      <c r="A10" s="4" t="s">
        <v>59</v>
      </c>
      <c r="B10" s="4" t="s">
        <v>840</v>
      </c>
      <c r="C10" s="4">
        <f>C21</f>
        <v>161863</v>
      </c>
    </row>
    <row r="11" spans="1:3" x14ac:dyDescent="0.15">
      <c r="A11" s="4" t="s">
        <v>25</v>
      </c>
      <c r="B11" s="4" t="s">
        <v>28</v>
      </c>
      <c r="C11" s="2">
        <v>10</v>
      </c>
    </row>
    <row r="12" spans="1:3" x14ac:dyDescent="0.15">
      <c r="A12" s="4" t="s">
        <v>60</v>
      </c>
      <c r="B12" s="4" t="s">
        <v>841</v>
      </c>
      <c r="C12" s="4">
        <f>C28</f>
        <v>99</v>
      </c>
    </row>
    <row r="13" spans="1:3" x14ac:dyDescent="0.15">
      <c r="A13" s="4" t="s">
        <v>81</v>
      </c>
      <c r="B13" s="4" t="s">
        <v>317</v>
      </c>
      <c r="C13" s="2">
        <v>14.6</v>
      </c>
    </row>
    <row r="14" spans="1:3" x14ac:dyDescent="0.15">
      <c r="A14" s="4" t="s">
        <v>87</v>
      </c>
      <c r="B14" s="4" t="s">
        <v>319</v>
      </c>
      <c r="C14" s="2">
        <v>0</v>
      </c>
    </row>
    <row r="15" spans="1:3" x14ac:dyDescent="0.15">
      <c r="A15" s="4"/>
      <c r="B15" s="4"/>
      <c r="C15" s="2"/>
    </row>
    <row r="16" spans="1:3" hidden="1" x14ac:dyDescent="0.15">
      <c r="A16" s="4"/>
      <c r="B16" s="4"/>
      <c r="C16" s="4"/>
    </row>
    <row r="17" spans="1:3" hidden="1" x14ac:dyDescent="0.15">
      <c r="A17" s="6" t="s">
        <v>15</v>
      </c>
      <c r="B17" s="6"/>
      <c r="C17" s="6">
        <f>MAX(ROUNDDOWN((C5*36+195)/1920,0)-1,0)</f>
        <v>1124</v>
      </c>
    </row>
    <row r="18" spans="1:3" hidden="1" x14ac:dyDescent="0.15">
      <c r="A18" s="6" t="s">
        <v>16</v>
      </c>
      <c r="B18" s="6"/>
      <c r="C18" s="6">
        <f>ROUNDDOWN(C2*C3*ROUNDUP(C6/8,0)/(C7-36),0)</f>
        <v>1374</v>
      </c>
    </row>
    <row r="19" spans="1:3" hidden="1" x14ac:dyDescent="0.15">
      <c r="A19" s="6" t="s">
        <v>17</v>
      </c>
      <c r="B19" s="6"/>
      <c r="C19" s="6">
        <f>C2*C3*ROUNDUP(C6/8,0)-(C7-36)*C18</f>
        <v>672</v>
      </c>
    </row>
    <row r="20" spans="1:3" hidden="1" x14ac:dyDescent="0.15">
      <c r="A20" s="6" t="s">
        <v>59</v>
      </c>
      <c r="B20" s="6"/>
      <c r="C20" s="6">
        <f>ROUNDDOWN((C23-(62+C7-36)*C18-(62+C19)-168)/(C18+3),0)-12</f>
        <v>161863</v>
      </c>
    </row>
    <row r="21" spans="1:3" hidden="1" x14ac:dyDescent="0.15">
      <c r="A21" s="6" t="s">
        <v>91</v>
      </c>
      <c r="B21" s="6"/>
      <c r="C21" s="6">
        <f>IF(C20&gt;180000,180000,C20)</f>
        <v>161863</v>
      </c>
    </row>
    <row r="22" spans="1:3" hidden="1" x14ac:dyDescent="0.15">
      <c r="A22" s="6" t="s">
        <v>18</v>
      </c>
      <c r="B22" s="6"/>
      <c r="C22" s="6">
        <f>((62+C7-36))*C18+(62+C19)+(C8+12)*(C18+3)+168</f>
        <v>2114150</v>
      </c>
    </row>
    <row r="23" spans="1:3" hidden="1" x14ac:dyDescent="0.15">
      <c r="A23" s="6" t="s">
        <v>57</v>
      </c>
      <c r="B23" s="6"/>
      <c r="C23" s="6">
        <f>2500*C9*(100-C11)</f>
        <v>225000000</v>
      </c>
    </row>
    <row r="24" spans="1:3" hidden="1" x14ac:dyDescent="0.15">
      <c r="A24" s="6" t="s">
        <v>92</v>
      </c>
      <c r="B24" s="6"/>
      <c r="C24" s="6">
        <f>250000*C9</f>
        <v>250000000</v>
      </c>
    </row>
    <row r="25" spans="1:3" hidden="1" x14ac:dyDescent="0.15">
      <c r="A25" s="6" t="s">
        <v>19</v>
      </c>
      <c r="B25" s="6"/>
      <c r="C25" s="6">
        <f>ROUNDDOWN(C22/(ROUNDDOWN(C9*1920/(ROUNDDOWN(36*10/(100-C11),0)*10),0)),0)*8</f>
        <v>352</v>
      </c>
    </row>
    <row r="26" spans="1:3" hidden="1" x14ac:dyDescent="0.15">
      <c r="A26" s="6" t="s">
        <v>21</v>
      </c>
      <c r="B26" s="6"/>
      <c r="C26" s="6">
        <f>(MAX(ROUNDDOWN((C4+10)/8,0),1)-1+3+C4+10)-((MAX(ROUNDDOWN((C4+10)/8,0),1)-1)*8)+C3</f>
        <v>1249</v>
      </c>
    </row>
    <row r="27" spans="1:3" hidden="1" x14ac:dyDescent="0.15">
      <c r="A27" s="6" t="s">
        <v>20</v>
      </c>
      <c r="B27" s="6"/>
      <c r="C27" s="6">
        <f>ROUNDDOWN((1339-(C3+C4+10))/8,0)-1+C26+20</f>
        <v>1279</v>
      </c>
    </row>
    <row r="28" spans="1:3" hidden="1" x14ac:dyDescent="0.15">
      <c r="A28" s="6" t="s">
        <v>60</v>
      </c>
      <c r="B28" s="6"/>
      <c r="C28" s="6">
        <f>100-ROUNDDOWN(C22*10/(C24/10),0)-1</f>
        <v>99</v>
      </c>
    </row>
    <row r="29" spans="1:3" hidden="1" x14ac:dyDescent="0.15">
      <c r="A29" s="6" t="s">
        <v>69</v>
      </c>
      <c r="B29" s="6"/>
      <c r="C29" s="6">
        <f>IF(C14=1,MAX(ROUNDUP(ROUNDUP(10000000/(C13*10),0)*36/1920,0)-5,0),0)</f>
        <v>0</v>
      </c>
    </row>
    <row r="30" spans="1:3" hidden="1" x14ac:dyDescent="0.15">
      <c r="A30" s="6" t="s">
        <v>94</v>
      </c>
      <c r="B30" s="6"/>
      <c r="C30" s="6">
        <f>MAX(C25,C27,C17,C29)+5</f>
        <v>1284</v>
      </c>
    </row>
    <row r="31" spans="1:3" hidden="1" x14ac:dyDescent="0.15">
      <c r="A31" s="6" t="s">
        <v>22</v>
      </c>
      <c r="B31" s="6"/>
      <c r="C31" s="6">
        <f>ROUNDDOWN(ROUNDDOWN(36*1000000/1920,0)*1000/C30,0)</f>
        <v>14602</v>
      </c>
    </row>
    <row r="32" spans="1:3" hidden="1" x14ac:dyDescent="0.15">
      <c r="A32" s="6" t="s">
        <v>23</v>
      </c>
      <c r="B32" s="6"/>
      <c r="C32" s="6">
        <f>ROUND(C31/1000,2)</f>
        <v>14.6</v>
      </c>
    </row>
    <row r="33" spans="1:3" hidden="1" x14ac:dyDescent="0.15">
      <c r="A33" s="6"/>
      <c r="B33" s="6"/>
      <c r="C33" s="6"/>
    </row>
    <row r="34" spans="1:3" hidden="1" x14ac:dyDescent="0.15">
      <c r="A34" s="6"/>
      <c r="B34" s="6"/>
      <c r="C34" s="6"/>
    </row>
    <row r="35" spans="1:3" hidden="1" x14ac:dyDescent="0.15">
      <c r="A35" s="6"/>
      <c r="B35" s="6"/>
      <c r="C35" s="6"/>
    </row>
    <row r="36" spans="1:3" hidden="1" x14ac:dyDescent="0.15">
      <c r="A36" s="6"/>
      <c r="B36" s="6"/>
      <c r="C36" s="6"/>
    </row>
    <row r="37" spans="1:3" x14ac:dyDescent="0.15">
      <c r="A37" s="8" t="s">
        <v>24</v>
      </c>
      <c r="B37" s="6"/>
      <c r="C37" s="6"/>
    </row>
    <row r="38" spans="1:3" ht="18.75" x14ac:dyDescent="0.15">
      <c r="A38" s="9" t="s">
        <v>23</v>
      </c>
      <c r="B38" s="9" t="s">
        <v>306</v>
      </c>
      <c r="C38" s="9">
        <f>C32</f>
        <v>14.6</v>
      </c>
    </row>
  </sheetData>
  <sheetProtection algorithmName="SHA-512" hashValue="wjhiTS7IvZ2ModeQ/IPqvy8ufxM+RIcRi42Eu/Ho/4WzkaBwcAqfn3YheUJYBsSNpzhoRgh5mulwft+T9o3PAw==" saltValue="qHzvnSK+L2jBOWJRznUVuw==" spinCount="100000" sheet="1" objects="1" scenarios="1"/>
  <dataConsolidate/>
  <customSheetViews>
    <customSheetView guid="{9F73C155-CDDB-4969-BDA6-6B1932D3C988}" hiddenRows="1">
      <selection activeCell="B30" sqref="B30"/>
      <pageMargins left="0.7" right="0.7" top="0.75" bottom="0.75" header="0.3" footer="0.3"/>
      <pageSetup paperSize="9" orientation="portrait" verticalDpi="0" r:id="rId1"/>
    </customSheetView>
  </customSheetViews>
  <phoneticPr fontId="1" type="noConversion"/>
  <dataValidations count="13">
    <dataValidation showInputMessage="1" showErrorMessage="1" sqref="C12"/>
    <dataValidation type="whole" allowBlank="1" showInputMessage="1" showErrorMessage="1" errorTitle="Input parameter error" error="Input range:[0, 'BandwidthReserveMaxValue'], and is an integer multiple of 1" sqref="C11">
      <formula1>0</formula1>
      <formula2>C12</formula2>
    </dataValidation>
    <dataValidation type="custom" allowBlank="1" showInputMessage="1" showErrorMessage="1" error="请输入1000或者100" sqref="C15">
      <formula1>OR((C15=1000),(C15=100))</formula1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C10</formula2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custom" allowBlank="1" showInputMessage="1" showErrorMessage="1" errorTitle="Input parameter error" error="Input 8 or 12" sqref="C6">
      <formula1>OR((C6=8),(C6=12))</formula1>
    </dataValidation>
    <dataValidation type="whole" allowBlank="1" showInputMessage="1" showErrorMessage="1" errorTitle="Input parameter error" error="Input range:[20, 1000000]" sqref="C5">
      <formula1>20</formula1>
      <formula2>1000000</formula2>
    </dataValidation>
    <dataValidation type="custom" allowBlank="1" showInputMessage="1" showErrorMessage="1" errorTitle="Input parameter error" error="Input range:[0, (1236-'Height')],and is an integer multiple of 2" sqref="C4">
      <formula1>AND(((C3+C4)&lt;=1236),(MOD(C4,2)=0))</formula1>
    </dataValidation>
    <dataValidation type="custom" allowBlank="1" showInputMessage="1" showErrorMessage="1" errorTitle="Input parameter error" error="Input range:[64, (1236-'OffsetY')],and is an integer multiple of 2" sqref="C3">
      <formula1>AND(((C3+C4)&lt;=1236),(C3&gt;=64),(MOD(C3,2)=0))</formula1>
    </dataValidation>
    <dataValidation type="custom" allowBlank="1" showInputMessage="1" showErrorMessage="1" errorTitle="Input parameter error" error="Input range:[64, 1628],and is an integer multiple of 4" sqref="C2">
      <formula1>AND((C2&lt;=1628),(C2&gt;=64),(MOD(C2,4)=0))</formula1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custom" allowBlank="1" showInputMessage="1" showErrorMessage="1" errorTitle="Input parameter error" error="Input range:[0.1, 10000]" sqref="C13">
      <formula1>AND(TRUNC(C13,1)=C13,(C13&gt;=0.1),(C13&lt;=10000))</formula1>
    </dataValidation>
    <dataValidation type="custom" allowBlank="1" showInputMessage="1" showErrorMessage="1" errorTitle="Input parameter error" error="Input 0 or 1" sqref="C14">
      <formula1>OR((C14=0),(C14=1))</formula1>
    </dataValidation>
  </dataValidation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B1" workbookViewId="0">
      <selection activeCell="G54" sqref="G54"/>
    </sheetView>
  </sheetViews>
  <sheetFormatPr defaultRowHeight="13.5" x14ac:dyDescent="0.15"/>
  <cols>
    <col min="1" max="1" width="0" hidden="1" customWidth="1"/>
    <col min="2" max="2" width="29.75" customWidth="1"/>
    <col min="3" max="3" width="16.625" customWidth="1"/>
  </cols>
  <sheetData>
    <row r="1" spans="1:3" x14ac:dyDescent="0.15">
      <c r="A1" s="23" t="s">
        <v>0</v>
      </c>
      <c r="B1" s="23"/>
      <c r="C1" s="22"/>
    </row>
    <row r="2" spans="1:3" x14ac:dyDescent="0.15">
      <c r="A2" s="23" t="s">
        <v>1</v>
      </c>
      <c r="B2" s="23" t="s">
        <v>7</v>
      </c>
      <c r="C2" s="22">
        <v>1280</v>
      </c>
    </row>
    <row r="3" spans="1:3" x14ac:dyDescent="0.15">
      <c r="A3" s="23" t="s">
        <v>2</v>
      </c>
      <c r="B3" s="23" t="s">
        <v>8</v>
      </c>
      <c r="C3" s="22">
        <v>1024</v>
      </c>
    </row>
    <row r="4" spans="1:3" x14ac:dyDescent="0.15">
      <c r="A4" s="23" t="s">
        <v>3</v>
      </c>
      <c r="B4" s="23" t="s">
        <v>9</v>
      </c>
      <c r="C4" s="22">
        <v>3000</v>
      </c>
    </row>
    <row r="5" spans="1:3" x14ac:dyDescent="0.15">
      <c r="A5" s="23" t="s">
        <v>4</v>
      </c>
      <c r="B5" s="23" t="s">
        <v>38</v>
      </c>
      <c r="C5" s="22">
        <v>8</v>
      </c>
    </row>
    <row r="6" spans="1:3" x14ac:dyDescent="0.15">
      <c r="A6" s="23" t="s">
        <v>5</v>
      </c>
      <c r="B6" s="23" t="s">
        <v>11</v>
      </c>
      <c r="C6" s="22">
        <v>1500</v>
      </c>
    </row>
    <row r="7" spans="1:3" x14ac:dyDescent="0.15">
      <c r="A7" s="23" t="s">
        <v>6</v>
      </c>
      <c r="B7" s="23" t="s">
        <v>12</v>
      </c>
      <c r="C7" s="22">
        <v>0</v>
      </c>
    </row>
    <row r="8" spans="1:3" x14ac:dyDescent="0.15">
      <c r="A8" s="23" t="s">
        <v>164</v>
      </c>
      <c r="B8" s="23" t="s">
        <v>130</v>
      </c>
      <c r="C8" s="23">
        <f>IF(C39&gt;180000,180000,C39)</f>
        <v>10685</v>
      </c>
    </row>
    <row r="9" spans="1:3" x14ac:dyDescent="0.15">
      <c r="A9" s="23" t="s">
        <v>14</v>
      </c>
      <c r="B9" s="23" t="s">
        <v>418</v>
      </c>
      <c r="C9" s="22">
        <v>1000</v>
      </c>
    </row>
    <row r="10" spans="1:3" x14ac:dyDescent="0.15">
      <c r="A10" s="23" t="s">
        <v>25</v>
      </c>
      <c r="B10" s="23" t="s">
        <v>28</v>
      </c>
      <c r="C10" s="22">
        <v>10</v>
      </c>
    </row>
    <row r="11" spans="1:3" x14ac:dyDescent="0.15">
      <c r="A11" s="23" t="s">
        <v>85</v>
      </c>
      <c r="B11" s="23" t="s">
        <v>62</v>
      </c>
      <c r="C11" s="23">
        <f>C42</f>
        <v>87</v>
      </c>
    </row>
    <row r="12" spans="1:3" x14ac:dyDescent="0.15">
      <c r="A12" s="23" t="s">
        <v>427</v>
      </c>
      <c r="B12" s="23" t="s">
        <v>428</v>
      </c>
      <c r="C12" s="22">
        <v>0</v>
      </c>
    </row>
    <row r="13" spans="1:3" x14ac:dyDescent="0.15">
      <c r="A13" s="23" t="s">
        <v>429</v>
      </c>
      <c r="B13" s="23" t="s">
        <v>462</v>
      </c>
      <c r="C13" s="22">
        <v>30</v>
      </c>
    </row>
    <row r="14" spans="1:3" x14ac:dyDescent="0.15">
      <c r="A14" s="23" t="s">
        <v>430</v>
      </c>
      <c r="B14" s="23" t="s">
        <v>319</v>
      </c>
      <c r="C14" s="22">
        <v>0</v>
      </c>
    </row>
    <row r="15" spans="1:3" hidden="1" x14ac:dyDescent="0.15">
      <c r="A15" s="23"/>
      <c r="B15" s="23"/>
      <c r="C15" s="23"/>
    </row>
    <row r="16" spans="1:3" hidden="1" x14ac:dyDescent="0.15">
      <c r="A16" s="23"/>
      <c r="B16" s="23"/>
      <c r="C16" s="23"/>
    </row>
    <row r="17" spans="1:3" hidden="1" x14ac:dyDescent="0.15">
      <c r="A17" s="24" t="s">
        <v>431</v>
      </c>
      <c r="B17" s="24" t="s">
        <v>432</v>
      </c>
      <c r="C17" s="24">
        <v>48</v>
      </c>
    </row>
    <row r="18" spans="1:3" hidden="1" x14ac:dyDescent="0.15">
      <c r="A18" s="24" t="s">
        <v>433</v>
      </c>
      <c r="B18" s="24" t="s">
        <v>434</v>
      </c>
      <c r="C18" s="24">
        <v>25</v>
      </c>
    </row>
    <row r="19" spans="1:3" hidden="1" x14ac:dyDescent="0.15">
      <c r="A19" s="24" t="s">
        <v>435</v>
      </c>
      <c r="B19" s="24" t="s">
        <v>436</v>
      </c>
      <c r="C19" s="24">
        <v>1524</v>
      </c>
    </row>
    <row r="20" spans="1:3" hidden="1" x14ac:dyDescent="0.15">
      <c r="A20" s="24" t="s">
        <v>437</v>
      </c>
      <c r="B20" s="24" t="s">
        <v>438</v>
      </c>
      <c r="C20" s="24">
        <v>31752</v>
      </c>
    </row>
    <row r="21" spans="1:3" ht="27" hidden="1" x14ac:dyDescent="0.15">
      <c r="A21" s="21" t="s">
        <v>439</v>
      </c>
      <c r="B21" s="24"/>
      <c r="C21" s="24">
        <f>C19*(C3+C18+1)</f>
        <v>1600200</v>
      </c>
    </row>
    <row r="22" spans="1:3" hidden="1" x14ac:dyDescent="0.15">
      <c r="A22" s="24" t="s">
        <v>440</v>
      </c>
      <c r="B22" s="24"/>
      <c r="C22" s="24">
        <f>ROUNDDOWN(C2*C3*ROUNDUP(C5/8,0)/(C6-36),0)</f>
        <v>895</v>
      </c>
    </row>
    <row r="23" spans="1:3" hidden="1" x14ac:dyDescent="0.15">
      <c r="A23" s="24" t="s">
        <v>441</v>
      </c>
      <c r="B23" s="24"/>
      <c r="C23" s="24">
        <f>C2*C3*ROUNDUP(C5/8,0)-(C6-36)*C22</f>
        <v>440</v>
      </c>
    </row>
    <row r="24" spans="1:3" hidden="1" x14ac:dyDescent="0.15">
      <c r="A24" s="24" t="s">
        <v>442</v>
      </c>
      <c r="B24" s="24"/>
      <c r="C24" s="24">
        <f>(62+(C6-36))*C22+(62+C23)+(C7+12)*(C22+3)+170</f>
        <v>1377218</v>
      </c>
    </row>
    <row r="25" spans="1:3" hidden="1" x14ac:dyDescent="0.15">
      <c r="A25" s="24" t="s">
        <v>443</v>
      </c>
      <c r="B25" s="24"/>
      <c r="C25" s="24">
        <f>ROUNDDOWN(IF((C9*(100-C10)/80) &gt; 1125,1125,C9*(100-C10)/80),0)</f>
        <v>1125</v>
      </c>
    </row>
    <row r="26" spans="1:3" hidden="1" x14ac:dyDescent="0.15">
      <c r="A26" s="24" t="s">
        <v>444</v>
      </c>
      <c r="B26" s="24"/>
      <c r="C26" s="24">
        <f>ROUNDDOWN(IF((C9*(100)/80) &gt; 1125,1125,C9*(100)/80),0)</f>
        <v>1125</v>
      </c>
    </row>
    <row r="27" spans="1:3" hidden="1" x14ac:dyDescent="0.15">
      <c r="A27" s="24" t="s">
        <v>445</v>
      </c>
      <c r="B27" s="24"/>
      <c r="C27" s="24">
        <v>1125</v>
      </c>
    </row>
    <row r="28" spans="1:3" hidden="1" x14ac:dyDescent="0.15">
      <c r="A28" s="24" t="s">
        <v>446</v>
      </c>
      <c r="B28" s="24"/>
      <c r="C28" s="24">
        <f>INT(C24/MIN(C25,C27))*10*C17</f>
        <v>587520</v>
      </c>
    </row>
    <row r="29" spans="1:3" hidden="1" x14ac:dyDescent="0.15">
      <c r="A29" s="24" t="s">
        <v>447</v>
      </c>
      <c r="B29" s="24"/>
      <c r="C29" s="24">
        <v>180</v>
      </c>
    </row>
    <row r="30" spans="1:3" hidden="1" x14ac:dyDescent="0.15">
      <c r="A30" s="24" t="s">
        <v>448</v>
      </c>
      <c r="B30" s="24"/>
      <c r="C30" s="24">
        <v>0</v>
      </c>
    </row>
    <row r="31" spans="1:3" hidden="1" x14ac:dyDescent="0.15">
      <c r="A31" s="24" t="s">
        <v>449</v>
      </c>
      <c r="B31" s="24"/>
      <c r="C31" s="24">
        <f>4*C30</f>
        <v>0</v>
      </c>
    </row>
    <row r="32" spans="1:3" hidden="1" x14ac:dyDescent="0.15">
      <c r="A32" s="24" t="s">
        <v>419</v>
      </c>
      <c r="B32" s="24"/>
      <c r="C32" s="24">
        <f>ROUNDUP((C4*C17+C29+C31)/C19,0)</f>
        <v>95</v>
      </c>
    </row>
    <row r="33" spans="1:3" hidden="1" x14ac:dyDescent="0.15">
      <c r="A33" s="24" t="s">
        <v>420</v>
      </c>
      <c r="B33" s="24"/>
      <c r="C33" s="24">
        <f>(C32+1)*C19</f>
        <v>146304</v>
      </c>
    </row>
    <row r="34" spans="1:3" hidden="1" x14ac:dyDescent="0.15">
      <c r="A34" s="24" t="s">
        <v>153</v>
      </c>
      <c r="B34" s="24"/>
      <c r="C34" s="24">
        <f>MAX(C33,C21,C28,C50)</f>
        <v>1600200</v>
      </c>
    </row>
    <row r="35" spans="1:3" hidden="1" x14ac:dyDescent="0.15">
      <c r="A35" s="24" t="s">
        <v>143</v>
      </c>
      <c r="B35" s="24"/>
      <c r="C35" s="24">
        <f>ROUND(1000000/C34*C17,2)</f>
        <v>30</v>
      </c>
    </row>
    <row r="36" spans="1:3" hidden="1" x14ac:dyDescent="0.15">
      <c r="A36" s="24" t="s">
        <v>421</v>
      </c>
      <c r="B36" s="24"/>
      <c r="C36" s="24">
        <v>2047</v>
      </c>
    </row>
    <row r="37" spans="1:3" hidden="1" x14ac:dyDescent="0.15">
      <c r="A37" s="24" t="s">
        <v>422</v>
      </c>
      <c r="B37" s="24"/>
      <c r="C37" s="24">
        <f>INT(C19*(C36+1+C3)/C17)</f>
        <v>97536</v>
      </c>
    </row>
    <row r="38" spans="1:3" hidden="1" x14ac:dyDescent="0.15">
      <c r="A38" s="24" t="s">
        <v>423</v>
      </c>
      <c r="B38" s="24"/>
      <c r="C38" s="24">
        <f>C37*C25/10</f>
        <v>10972800</v>
      </c>
    </row>
    <row r="39" spans="1:3" hidden="1" x14ac:dyDescent="0.15">
      <c r="A39" s="24" t="s">
        <v>54</v>
      </c>
      <c r="B39" s="24"/>
      <c r="C39" s="24">
        <f>IF((ROUNDDOWN((C38-(62+(C6-36))*C22-62-C23-170)/(C22+3),0)-12)&lt;0,0,(ROUNDDOWN((C38-(62+(C6-36))*C22-62-C23-170)/(C22+3),0)-12))</f>
        <v>10685</v>
      </c>
    </row>
    <row r="40" spans="1:3" hidden="1" x14ac:dyDescent="0.15">
      <c r="A40" s="24" t="s">
        <v>58</v>
      </c>
      <c r="B40" s="24"/>
      <c r="C40" s="24">
        <f>((62+(C6-36))*C22+62+C23+170)+(C7+12)*(C22+3)</f>
        <v>1377218</v>
      </c>
    </row>
    <row r="41" spans="1:3" hidden="1" x14ac:dyDescent="0.15">
      <c r="A41" s="24" t="s">
        <v>424</v>
      </c>
      <c r="B41" s="24"/>
      <c r="C41" s="24">
        <f>C37*C26/10</f>
        <v>10972800</v>
      </c>
    </row>
    <row r="42" spans="1:3" hidden="1" x14ac:dyDescent="0.15">
      <c r="A42" s="24" t="s">
        <v>55</v>
      </c>
      <c r="B42" s="24"/>
      <c r="C42" s="24">
        <f>IF((100-ROUNDDOWN(C40*10/(C41/10),0)-1)&lt;0,0,(100-ROUNDDOWN(C40*10/(C41/10),0)-1))</f>
        <v>87</v>
      </c>
    </row>
    <row r="43" spans="1:3" hidden="1" x14ac:dyDescent="0.15">
      <c r="A43" s="24" t="s">
        <v>425</v>
      </c>
      <c r="B43" s="24" t="s">
        <v>426</v>
      </c>
      <c r="C43" s="24">
        <f>1*C19</f>
        <v>1524</v>
      </c>
    </row>
    <row r="44" spans="1:3" hidden="1" x14ac:dyDescent="0.15">
      <c r="A44" s="24" t="s">
        <v>450</v>
      </c>
      <c r="B44" s="24" t="s">
        <v>451</v>
      </c>
      <c r="C44" s="24">
        <v>8</v>
      </c>
    </row>
    <row r="45" spans="1:3" hidden="1" x14ac:dyDescent="0.15">
      <c r="A45" s="24" t="s">
        <v>452</v>
      </c>
      <c r="B45" s="24" t="s">
        <v>453</v>
      </c>
      <c r="C45" s="24">
        <f>(C3+C44)*C19</f>
        <v>1572768</v>
      </c>
    </row>
    <row r="46" spans="1:3" hidden="1" x14ac:dyDescent="0.15">
      <c r="A46" s="24" t="s">
        <v>454</v>
      </c>
      <c r="B46" s="24"/>
      <c r="C46" s="24">
        <f>C43+C32*C19+C45+C19+3*C17</f>
        <v>1720740</v>
      </c>
    </row>
    <row r="47" spans="1:3" hidden="1" x14ac:dyDescent="0.15">
      <c r="A47" s="24" t="s">
        <v>455</v>
      </c>
      <c r="B47" s="24"/>
      <c r="C47" s="24">
        <f>MAX(0,C28,C46,C50)</f>
        <v>1720740</v>
      </c>
    </row>
    <row r="48" spans="1:3" hidden="1" x14ac:dyDescent="0.15">
      <c r="A48" s="24" t="s">
        <v>456</v>
      </c>
      <c r="B48" s="24"/>
      <c r="C48" s="24">
        <f>ROUND(1000000/C47*C17,2)</f>
        <v>27.89</v>
      </c>
    </row>
    <row r="49" spans="1:3" ht="40.5" hidden="1" x14ac:dyDescent="0.15">
      <c r="A49" s="21" t="s">
        <v>457</v>
      </c>
      <c r="B49" s="23"/>
      <c r="C49" s="24">
        <f>C13*10</f>
        <v>300</v>
      </c>
    </row>
    <row r="50" spans="1:3" hidden="1" x14ac:dyDescent="0.15">
      <c r="A50" s="24" t="s">
        <v>458</v>
      </c>
      <c r="B50" s="24"/>
      <c r="C50" s="24">
        <f>ROUNDDOWN(10000000/C49,0)*C17*C14</f>
        <v>0</v>
      </c>
    </row>
    <row r="51" spans="1:3" hidden="1" x14ac:dyDescent="0.15">
      <c r="A51" s="24" t="s">
        <v>459</v>
      </c>
      <c r="B51" s="24"/>
      <c r="C51" s="24">
        <f>ROUND(ROUND(C2*ROUND(C54*10,0)*ROUNDUP(C5/8,0)*C3/10,0)*10/(100-C10),0)*10</f>
        <v>43690670</v>
      </c>
    </row>
    <row r="52" spans="1:3" hidden="1" x14ac:dyDescent="0.15">
      <c r="A52" s="24"/>
      <c r="B52" s="24"/>
      <c r="C52" s="24"/>
    </row>
    <row r="53" spans="1:3" x14ac:dyDescent="0.15">
      <c r="A53" s="19" t="s">
        <v>460</v>
      </c>
      <c r="B53" s="24"/>
      <c r="C53" s="24"/>
    </row>
    <row r="54" spans="1:3" ht="18.75" x14ac:dyDescent="0.15">
      <c r="A54" s="20" t="str">
        <f>IF(C12=0,A35,A48)</f>
        <v>连续采集帧率</v>
      </c>
      <c r="B54" s="20" t="s">
        <v>461</v>
      </c>
      <c r="C54" s="20">
        <f>IF(C12=0,C35,C48)</f>
        <v>30</v>
      </c>
    </row>
  </sheetData>
  <sheetProtection algorithmName="SHA-512" hashValue="cln7HkdpE8nbsCeuuwKglaq9qGrR5kUt2T25FvVkkHqGD3LunfV46mR9q8YNkVD9veO0BQ+0YJ2jzEdYtk9Bkw==" saltValue="ZRCdscnM4Qw1GDAkr77i9w==" spinCount="100000" sheet="1" objects="1" scenarios="1"/>
  <phoneticPr fontId="1" type="noConversion"/>
  <dataValidations count="13">
    <dataValidation type="whole" allowBlank="1" showErrorMessage="1" error="设置值超过最大值" prompt="应在包间隔范围内" sqref="C8">
      <formula1>0</formula1>
      <formula2>C63</formula2>
    </dataValidation>
    <dataValidation type="whole" allowBlank="1" error="设置值超过包间隔范围" prompt="设置值应在预留带宽范围内" sqref="C11">
      <formula1>0</formula1>
      <formula2>C65</formula2>
    </dataValidation>
    <dataValidation type="whole" allowBlank="1" showInputMessage="1" showErrorMessage="1" errorTitle="Input parameter error" error="Input 0 or 1" promptTitle="0=off，1=on" prompt="0表示连续采集，1表示触发采集" sqref="C12">
      <formula1>0</formula1>
      <formula2>1</formula2>
    </dataValidation>
    <dataValidation type="custom" allowBlank="1" showInputMessage="1" showErrorMessage="1" errorTitle="Input parameter error" error="Input range:[512, 8192],and is an integer multiple of 4" sqref="C6">
      <formula1>AND((C6&lt;=8192),(C6&gt;=512),(MOD(C6,4)=0))</formula1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custom" allowBlank="1" showInputMessage="1" showErrorMessage="1" errorTitle="Input parameter error" error="Input 8 or 10" sqref="C5">
      <formula1>OR((C5=8),(C5=10))</formula1>
    </dataValidation>
    <dataValidation type="whole" allowBlank="1" showInputMessage="1" showErrorMessage="1" errorTitle="Input parameter error" error="Input range:[28, 500000]" sqref="C4">
      <formula1>28</formula1>
      <formula2>500000</formula2>
    </dataValidation>
    <dataValidation type="custom" allowBlank="1" showInputMessage="1" showErrorMessage="1" errorTitle="Input parameter error" error="Input range:[64, 1024],and is an integer multiple of 4" sqref="C3">
      <formula1>AND((C3&lt;=1024),(C3&gt;=64),(MOD(C3,4)=0))</formula1>
    </dataValidation>
    <dataValidation type="custom" allowBlank="1" showInputMessage="1" showErrorMessage="1" errorTitle="Input parameter error" error="Input range:[64, 1280],and is an integer multiple of 4" sqref="C2">
      <formula1>AND((C2&lt;=1280),(C2&gt;=64),(MOD(C2,4)=0))</formula1>
    </dataValidation>
    <dataValidation type="whole" allowBlank="1" showInputMessage="1" showErrorMessage="1" errorTitle="Input parameter error" error="Input range:[0, 'BandwidthReserveMaxValue'], and is an integer multiple of 1" sqref="C10">
      <formula1>0</formula1>
      <formula2>C11</formula2>
    </dataValidation>
    <dataValidation type="whole" allowBlank="1" showInputMessage="1" showErrorMessage="1" errorTitle="Input parameter error" error="Input range:[0, 'GevSCPDMaxValue'], and is an integer multiple of 1" sqref="C7">
      <formula1>0</formula1>
      <formula2>C8</formula2>
    </dataValidation>
    <dataValidation type="custom" allowBlank="1" showErrorMessage="1" errorTitle="Input parameter error" error="Input 0 or 1" prompt="应在包间隔范围内" sqref="C14">
      <formula1>OR((C14=0),(C14=1))</formula1>
    </dataValidation>
    <dataValidation type="custom" allowBlank="1" showErrorMessage="1" errorTitle="Input parameter error" error="Input range:[15, 10000]" prompt="应在包间隔范围内" sqref="C13">
      <formula1>AND(TRUNC(C13,1)=C13,(C13&gt;=15),(C13&lt;=10000))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B1" workbookViewId="0">
      <selection activeCell="C13" sqref="C13"/>
    </sheetView>
  </sheetViews>
  <sheetFormatPr defaultRowHeight="13.5" x14ac:dyDescent="0.15"/>
  <cols>
    <col min="1" max="1" width="21.25" hidden="1" customWidth="1"/>
    <col min="2" max="2" width="28.875" customWidth="1"/>
    <col min="3" max="3" width="16.5" customWidth="1"/>
  </cols>
  <sheetData>
    <row r="1" spans="1:3" s="3" customFormat="1" x14ac:dyDescent="0.15">
      <c r="A1" s="26" t="s">
        <v>375</v>
      </c>
      <c r="B1" s="26"/>
      <c r="C1" s="27"/>
    </row>
    <row r="2" spans="1:3" s="3" customFormat="1" x14ac:dyDescent="0.15">
      <c r="A2" s="26" t="s">
        <v>268</v>
      </c>
      <c r="B2" s="26" t="s">
        <v>269</v>
      </c>
      <c r="C2" s="22">
        <v>808</v>
      </c>
    </row>
    <row r="3" spans="1:3" s="3" customFormat="1" x14ac:dyDescent="0.15">
      <c r="A3" s="26" t="s">
        <v>270</v>
      </c>
      <c r="B3" s="26" t="s">
        <v>271</v>
      </c>
      <c r="C3" s="22">
        <v>608</v>
      </c>
    </row>
    <row r="4" spans="1:3" s="3" customFormat="1" x14ac:dyDescent="0.15">
      <c r="A4" s="26" t="s">
        <v>272</v>
      </c>
      <c r="B4" s="26" t="s">
        <v>273</v>
      </c>
      <c r="C4" s="22">
        <v>10000</v>
      </c>
    </row>
    <row r="5" spans="1:3" s="3" customFormat="1" x14ac:dyDescent="0.15">
      <c r="A5" s="26" t="s">
        <v>274</v>
      </c>
      <c r="B5" s="26" t="s">
        <v>320</v>
      </c>
      <c r="C5" s="22">
        <v>0</v>
      </c>
    </row>
    <row r="6" spans="1:3" s="3" customFormat="1" x14ac:dyDescent="0.15">
      <c r="A6" s="26" t="s">
        <v>275</v>
      </c>
      <c r="B6" s="26" t="s">
        <v>276</v>
      </c>
      <c r="C6" s="22">
        <v>8</v>
      </c>
    </row>
    <row r="7" spans="1:3" s="3" customFormat="1" x14ac:dyDescent="0.15">
      <c r="A7" s="26" t="s">
        <v>277</v>
      </c>
      <c r="B7" s="26" t="s">
        <v>11</v>
      </c>
      <c r="C7" s="22">
        <v>1500</v>
      </c>
    </row>
    <row r="8" spans="1:3" s="3" customFormat="1" x14ac:dyDescent="0.15">
      <c r="A8" s="26" t="s">
        <v>278</v>
      </c>
      <c r="B8" s="26" t="s">
        <v>279</v>
      </c>
      <c r="C8" s="22">
        <v>0</v>
      </c>
    </row>
    <row r="9" spans="1:3" s="3" customFormat="1" x14ac:dyDescent="0.15">
      <c r="A9" s="26" t="s">
        <v>280</v>
      </c>
      <c r="B9" s="26" t="s">
        <v>281</v>
      </c>
      <c r="C9" s="23">
        <f>C71</f>
        <v>180000</v>
      </c>
    </row>
    <row r="10" spans="1:3" s="3" customFormat="1" x14ac:dyDescent="0.15">
      <c r="A10" s="26" t="s">
        <v>282</v>
      </c>
      <c r="B10" s="23" t="s">
        <v>317</v>
      </c>
      <c r="C10" s="22">
        <v>100</v>
      </c>
    </row>
    <row r="11" spans="1:3" s="3" customFormat="1" x14ac:dyDescent="0.15">
      <c r="A11" s="26" t="s">
        <v>283</v>
      </c>
      <c r="B11" s="23" t="s">
        <v>319</v>
      </c>
      <c r="C11" s="22">
        <v>0</v>
      </c>
    </row>
    <row r="12" spans="1:3" s="3" customFormat="1" x14ac:dyDescent="0.15">
      <c r="A12" s="26" t="s">
        <v>284</v>
      </c>
      <c r="B12" s="26" t="s">
        <v>326</v>
      </c>
      <c r="C12" s="22">
        <v>1000</v>
      </c>
    </row>
    <row r="13" spans="1:3" s="7" customFormat="1" x14ac:dyDescent="0.15">
      <c r="A13" s="26" t="s">
        <v>285</v>
      </c>
      <c r="B13" s="26" t="s">
        <v>28</v>
      </c>
      <c r="C13" s="22">
        <v>10</v>
      </c>
    </row>
    <row r="14" spans="1:3" s="7" customFormat="1" ht="14.25" customHeight="1" x14ac:dyDescent="0.15">
      <c r="A14" s="26" t="s">
        <v>286</v>
      </c>
      <c r="B14" s="26" t="s">
        <v>287</v>
      </c>
      <c r="C14" s="23">
        <f>C74</f>
        <v>99</v>
      </c>
    </row>
    <row r="15" spans="1:3" s="7" customFormat="1" ht="14.25" hidden="1" customHeight="1" x14ac:dyDescent="0.15">
      <c r="A15" s="26"/>
      <c r="B15" s="26"/>
      <c r="C15" s="23"/>
    </row>
    <row r="16" spans="1:3" hidden="1" x14ac:dyDescent="0.15">
      <c r="A16" s="28" t="s">
        <v>376</v>
      </c>
      <c r="B16" s="28" t="s">
        <v>377</v>
      </c>
      <c r="C16" s="28">
        <v>20</v>
      </c>
    </row>
    <row r="17" spans="1:3" hidden="1" x14ac:dyDescent="0.15">
      <c r="A17" s="28" t="s">
        <v>378</v>
      </c>
      <c r="B17" s="28" t="s">
        <v>379</v>
      </c>
      <c r="C17" s="28">
        <f xml:space="preserve"> ROUNDUP(866*1000/C19,0)</f>
        <v>12736</v>
      </c>
    </row>
    <row r="18" spans="1:3" s="7" customFormat="1" hidden="1" x14ac:dyDescent="0.15">
      <c r="A18" s="28"/>
      <c r="B18" s="29" t="s">
        <v>380</v>
      </c>
      <c r="C18" s="24">
        <v>1</v>
      </c>
    </row>
    <row r="19" spans="1:3" s="7" customFormat="1" hidden="1" x14ac:dyDescent="0.15">
      <c r="A19" s="28" t="s">
        <v>381</v>
      </c>
      <c r="B19" s="29" t="s">
        <v>382</v>
      </c>
      <c r="C19" s="24">
        <v>68</v>
      </c>
    </row>
    <row r="20" spans="1:3" s="7" customFormat="1" hidden="1" x14ac:dyDescent="0.15">
      <c r="A20" s="28" t="s">
        <v>383</v>
      </c>
      <c r="B20" s="29" t="s">
        <v>384</v>
      </c>
      <c r="C20" s="24">
        <v>4</v>
      </c>
    </row>
    <row r="21" spans="1:3" s="7" customFormat="1" hidden="1" x14ac:dyDescent="0.15">
      <c r="A21" s="28" t="s">
        <v>385</v>
      </c>
      <c r="B21" s="29" t="s">
        <v>386</v>
      </c>
      <c r="C21" s="24">
        <v>3</v>
      </c>
    </row>
    <row r="22" spans="1:3" s="7" customFormat="1" hidden="1" x14ac:dyDescent="0.15">
      <c r="A22" s="28" t="s">
        <v>387</v>
      </c>
      <c r="B22" s="29" t="s">
        <v>388</v>
      </c>
      <c r="C22" s="24">
        <v>1</v>
      </c>
    </row>
    <row r="23" spans="1:3" s="7" customFormat="1" hidden="1" x14ac:dyDescent="0.15">
      <c r="A23" s="28" t="s">
        <v>389</v>
      </c>
      <c r="B23" s="29" t="s">
        <v>390</v>
      </c>
      <c r="C23" s="24">
        <v>74</v>
      </c>
    </row>
    <row r="24" spans="1:3" s="7" customFormat="1" hidden="1" x14ac:dyDescent="0.15">
      <c r="A24" s="28" t="s">
        <v>391</v>
      </c>
      <c r="B24" s="29" t="s">
        <v>392</v>
      </c>
      <c r="C24" s="24">
        <v>74</v>
      </c>
    </row>
    <row r="25" spans="1:3" s="7" customFormat="1" hidden="1" x14ac:dyDescent="0.15">
      <c r="A25" s="28" t="s">
        <v>393</v>
      </c>
      <c r="B25" s="29" t="s">
        <v>394</v>
      </c>
      <c r="C25" s="24">
        <v>42853</v>
      </c>
    </row>
    <row r="26" spans="1:3" s="7" customFormat="1" hidden="1" x14ac:dyDescent="0.15">
      <c r="A26" s="28" t="s">
        <v>395</v>
      </c>
      <c r="B26" s="29" t="s">
        <v>396</v>
      </c>
      <c r="C26" s="24">
        <v>3353</v>
      </c>
    </row>
    <row r="27" spans="1:3" s="7" customFormat="1" hidden="1" x14ac:dyDescent="0.15">
      <c r="A27" s="28" t="s">
        <v>397</v>
      </c>
      <c r="B27" s="29" t="s">
        <v>398</v>
      </c>
      <c r="C27" s="24">
        <v>4</v>
      </c>
    </row>
    <row r="28" spans="1:3" s="7" customFormat="1" hidden="1" x14ac:dyDescent="0.15">
      <c r="A28" s="28" t="s">
        <v>399</v>
      </c>
      <c r="B28" s="29" t="s">
        <v>400</v>
      </c>
      <c r="C28" s="24">
        <v>4</v>
      </c>
    </row>
    <row r="29" spans="1:3" s="7" customFormat="1" hidden="1" x14ac:dyDescent="0.15">
      <c r="A29" s="28" t="s">
        <v>397</v>
      </c>
      <c r="B29" s="29" t="s">
        <v>401</v>
      </c>
      <c r="C29" s="24">
        <v>0</v>
      </c>
    </row>
    <row r="30" spans="1:3" s="7" customFormat="1" hidden="1" x14ac:dyDescent="0.15">
      <c r="A30" s="28" t="s">
        <v>399</v>
      </c>
      <c r="B30" s="29" t="s">
        <v>402</v>
      </c>
      <c r="C30" s="24">
        <v>0</v>
      </c>
    </row>
    <row r="31" spans="1:3" s="7" customFormat="1" hidden="1" x14ac:dyDescent="0.15">
      <c r="A31" s="28" t="s">
        <v>403</v>
      </c>
      <c r="B31" s="29" t="s">
        <v>404</v>
      </c>
      <c r="C31" s="24">
        <v>0</v>
      </c>
    </row>
    <row r="32" spans="1:3" s="7" customFormat="1" ht="27" hidden="1" x14ac:dyDescent="0.15">
      <c r="A32" s="28" t="s">
        <v>405</v>
      </c>
      <c r="B32" s="29" t="s">
        <v>406</v>
      </c>
      <c r="C32" s="24">
        <v>2</v>
      </c>
    </row>
    <row r="33" spans="1:3" s="7" customFormat="1" hidden="1" x14ac:dyDescent="0.15">
      <c r="A33" s="28" t="s">
        <v>407</v>
      </c>
      <c r="B33" s="29" t="s">
        <v>408</v>
      </c>
      <c r="C33" s="24">
        <v>1200</v>
      </c>
    </row>
    <row r="34" spans="1:3" s="7" customFormat="1" hidden="1" x14ac:dyDescent="0.15">
      <c r="A34" s="28" t="s">
        <v>409</v>
      </c>
      <c r="B34" s="29" t="s">
        <v>410</v>
      </c>
      <c r="C34" s="24">
        <v>20000</v>
      </c>
    </row>
    <row r="35" spans="1:3" s="7" customFormat="1" hidden="1" x14ac:dyDescent="0.15">
      <c r="A35" s="29" t="s">
        <v>289</v>
      </c>
      <c r="B35" s="29"/>
      <c r="C35" s="24">
        <v>808</v>
      </c>
    </row>
    <row r="36" spans="1:3" hidden="1" x14ac:dyDescent="0.15">
      <c r="A36" s="28" t="s">
        <v>290</v>
      </c>
      <c r="B36" s="29" t="s">
        <v>291</v>
      </c>
      <c r="C36" s="24">
        <f>ROUNDUP((C24+C35/C18+C28+C31)*1000/C19,0)</f>
        <v>13030</v>
      </c>
    </row>
    <row r="37" spans="1:3" hidden="1" x14ac:dyDescent="0.15">
      <c r="A37" s="28" t="s">
        <v>292</v>
      </c>
      <c r="B37" s="29" t="s">
        <v>293</v>
      </c>
      <c r="C37" s="24">
        <f>ROUNDUP((C23+C2/C18+C27+C31)*1000/C19,0)</f>
        <v>13030</v>
      </c>
    </row>
    <row r="38" spans="1:3" hidden="1" x14ac:dyDescent="0.15">
      <c r="A38" s="28" t="s">
        <v>294</v>
      </c>
      <c r="B38" s="29" t="s">
        <v>295</v>
      </c>
      <c r="C38" s="24">
        <f>C20*C36</f>
        <v>52120</v>
      </c>
    </row>
    <row r="39" spans="1:3" hidden="1" x14ac:dyDescent="0.15">
      <c r="A39" s="28" t="s">
        <v>296</v>
      </c>
      <c r="B39" s="29" t="s">
        <v>297</v>
      </c>
      <c r="C39" s="24">
        <f>C3*C37</f>
        <v>7922240</v>
      </c>
    </row>
    <row r="40" spans="1:3" hidden="1" x14ac:dyDescent="0.15">
      <c r="A40" s="28" t="s">
        <v>298</v>
      </c>
      <c r="B40" s="29" t="s">
        <v>299</v>
      </c>
      <c r="C40" s="24">
        <f>C21*C36</f>
        <v>39090</v>
      </c>
    </row>
    <row r="41" spans="1:3" ht="27" hidden="1" x14ac:dyDescent="0.15">
      <c r="A41" s="28" t="s">
        <v>411</v>
      </c>
      <c r="B41" s="29" t="s">
        <v>412</v>
      </c>
      <c r="C41" s="24">
        <f>C22*C36</f>
        <v>13030</v>
      </c>
    </row>
    <row r="42" spans="1:3" hidden="1" x14ac:dyDescent="0.15">
      <c r="A42" s="28" t="s">
        <v>300</v>
      </c>
      <c r="B42" s="29"/>
      <c r="C42" s="24">
        <f>C10*10</f>
        <v>1000</v>
      </c>
    </row>
    <row r="43" spans="1:3" hidden="1" x14ac:dyDescent="0.15">
      <c r="A43" s="28" t="s">
        <v>301</v>
      </c>
      <c r="B43" s="29"/>
      <c r="C43" s="24">
        <f>ROUNDUP((C24*1000/C19+C38+C17*C16+C39+C40+C25+C26+C34)/1000,0)</f>
        <v>8336</v>
      </c>
    </row>
    <row r="44" spans="1:3" hidden="1" x14ac:dyDescent="0.15">
      <c r="A44" s="28" t="s">
        <v>302</v>
      </c>
      <c r="B44" s="29"/>
      <c r="C44" s="24">
        <f>ROUNDUP((C41+C4*1000+C5*1000+C25+C26+C34)/1000,0)</f>
        <v>10080</v>
      </c>
    </row>
    <row r="45" spans="1:3" hidden="1" x14ac:dyDescent="0.15">
      <c r="A45" s="28" t="s">
        <v>303</v>
      </c>
      <c r="B45" s="29"/>
      <c r="C45" s="24">
        <v>0</v>
      </c>
    </row>
    <row r="46" spans="1:3" hidden="1" x14ac:dyDescent="0.15">
      <c r="A46" s="28" t="s">
        <v>304</v>
      </c>
      <c r="B46" s="29" t="s">
        <v>305</v>
      </c>
      <c r="C46" s="24">
        <v>12</v>
      </c>
    </row>
    <row r="47" spans="1:3" hidden="1" x14ac:dyDescent="0.15">
      <c r="A47" s="28" t="s">
        <v>413</v>
      </c>
      <c r="B47" s="29" t="s">
        <v>414</v>
      </c>
      <c r="C47" s="24">
        <v>52</v>
      </c>
    </row>
    <row r="48" spans="1:3" hidden="1" x14ac:dyDescent="0.15">
      <c r="A48" s="28" t="s">
        <v>327</v>
      </c>
      <c r="B48" s="29" t="s">
        <v>328</v>
      </c>
      <c r="C48" s="24">
        <v>32</v>
      </c>
    </row>
    <row r="49" spans="1:3" hidden="1" x14ac:dyDescent="0.15">
      <c r="A49" s="28" t="s">
        <v>329</v>
      </c>
      <c r="B49" s="29" t="s">
        <v>330</v>
      </c>
      <c r="C49" s="24">
        <f>C2*C3*IF(C6=8,1,2)</f>
        <v>491264</v>
      </c>
    </row>
    <row r="50" spans="1:3" hidden="1" x14ac:dyDescent="0.15">
      <c r="A50" s="28" t="s">
        <v>331</v>
      </c>
      <c r="B50" s="29" t="s">
        <v>332</v>
      </c>
      <c r="C50" s="24">
        <f>C49</f>
        <v>491264</v>
      </c>
    </row>
    <row r="51" spans="1:3" ht="27" hidden="1" x14ac:dyDescent="0.15">
      <c r="A51" s="28" t="s">
        <v>333</v>
      </c>
      <c r="B51" s="29" t="s">
        <v>334</v>
      </c>
      <c r="C51" s="24">
        <v>36</v>
      </c>
    </row>
    <row r="52" spans="1:3" hidden="1" x14ac:dyDescent="0.15">
      <c r="A52" s="28" t="s">
        <v>335</v>
      </c>
      <c r="B52" s="29" t="s">
        <v>336</v>
      </c>
      <c r="C52" s="24">
        <v>26</v>
      </c>
    </row>
    <row r="53" spans="1:3" hidden="1" x14ac:dyDescent="0.15">
      <c r="A53" s="28" t="s">
        <v>337</v>
      </c>
      <c r="B53" s="29" t="s">
        <v>338</v>
      </c>
      <c r="C53" s="24">
        <v>10</v>
      </c>
    </row>
    <row r="54" spans="1:3" hidden="1" x14ac:dyDescent="0.15">
      <c r="A54" s="28" t="s">
        <v>339</v>
      </c>
      <c r="B54" s="29" t="s">
        <v>340</v>
      </c>
      <c r="C54" s="24">
        <f>ROUNDDOWN((C2*C3*ROUNDUP(C6/8,0)+C45*32)/(C7-36),0)</f>
        <v>335</v>
      </c>
    </row>
    <row r="55" spans="1:3" hidden="1" x14ac:dyDescent="0.15">
      <c r="A55" s="28" t="s">
        <v>341</v>
      </c>
      <c r="B55" s="29" t="s">
        <v>342</v>
      </c>
      <c r="C55" s="24">
        <f>IF(C56=0,0,1)</f>
        <v>1</v>
      </c>
    </row>
    <row r="56" spans="1:3" hidden="1" x14ac:dyDescent="0.15">
      <c r="A56" s="28" t="s">
        <v>343</v>
      </c>
      <c r="B56" s="29" t="s">
        <v>344</v>
      </c>
      <c r="C56" s="24">
        <f>C2*C3*ROUNDUP(C6/8,0)+C45*32-(C7-36)*C54</f>
        <v>824</v>
      </c>
    </row>
    <row r="57" spans="1:3" ht="27" hidden="1" x14ac:dyDescent="0.15">
      <c r="A57" s="28" t="s">
        <v>345</v>
      </c>
      <c r="B57" s="29" t="s">
        <v>346</v>
      </c>
      <c r="C57" s="24">
        <f>IF(C56&lt;C53,C53,C56)</f>
        <v>824</v>
      </c>
    </row>
    <row r="58" spans="1:3" ht="27" hidden="1" x14ac:dyDescent="0.15">
      <c r="A58" s="28" t="s">
        <v>347</v>
      </c>
      <c r="B58" s="29" t="s">
        <v>348</v>
      </c>
      <c r="C58" s="24">
        <v>98</v>
      </c>
    </row>
    <row r="59" spans="1:3" ht="27" hidden="1" x14ac:dyDescent="0.15">
      <c r="A59" s="28" t="s">
        <v>349</v>
      </c>
      <c r="B59" s="29" t="s">
        <v>350</v>
      </c>
      <c r="C59" s="24">
        <v>72</v>
      </c>
    </row>
    <row r="60" spans="1:3" ht="27" hidden="1" x14ac:dyDescent="0.15">
      <c r="A60" s="28" t="s">
        <v>351</v>
      </c>
      <c r="B60" s="29" t="s">
        <v>352</v>
      </c>
      <c r="C60" s="24">
        <f>C54*(C7+C52)+C55*(C57+C51+C52)</f>
        <v>512096</v>
      </c>
    </row>
    <row r="61" spans="1:3" hidden="1" x14ac:dyDescent="0.15">
      <c r="A61" s="28" t="s">
        <v>353</v>
      </c>
      <c r="B61" s="29" t="s">
        <v>354</v>
      </c>
      <c r="C61" s="24">
        <f>(2+C54+C55)*(C8+C46)</f>
        <v>4056</v>
      </c>
    </row>
    <row r="62" spans="1:3" hidden="1" x14ac:dyDescent="0.15">
      <c r="A62" s="28" t="s">
        <v>355</v>
      </c>
      <c r="B62" s="29" t="s">
        <v>356</v>
      </c>
      <c r="C62" s="24">
        <f>C58+C59+C60+C61</f>
        <v>516322</v>
      </c>
    </row>
    <row r="63" spans="1:3" hidden="1" x14ac:dyDescent="0.15">
      <c r="A63" s="28" t="s">
        <v>357</v>
      </c>
      <c r="B63" s="29" t="s">
        <v>358</v>
      </c>
      <c r="C63" s="24">
        <f>ROUNDDOWN(C12*(100-C13)/80,0)</f>
        <v>1125</v>
      </c>
    </row>
    <row r="64" spans="1:3" hidden="1" x14ac:dyDescent="0.15">
      <c r="A64" s="28" t="s">
        <v>359</v>
      </c>
      <c r="B64" s="29" t="s">
        <v>360</v>
      </c>
      <c r="C64" s="24">
        <f>INT(C62/C63)*10</f>
        <v>4580</v>
      </c>
    </row>
    <row r="65" spans="1:3" ht="27" hidden="1" x14ac:dyDescent="0.15">
      <c r="A65" s="28" t="s">
        <v>361</v>
      </c>
      <c r="B65" s="29" t="s">
        <v>362</v>
      </c>
      <c r="C65" s="24">
        <f>INT((C50+C47+C48)/C33)*10</f>
        <v>4090</v>
      </c>
    </row>
    <row r="66" spans="1:3" hidden="1" x14ac:dyDescent="0.15">
      <c r="A66" s="29" t="s">
        <v>363</v>
      </c>
      <c r="B66" s="29"/>
      <c r="C66" s="24">
        <f>MAX(C64,C65)</f>
        <v>4580</v>
      </c>
    </row>
    <row r="67" spans="1:3" hidden="1" x14ac:dyDescent="0.15">
      <c r="A67" s="29" t="s">
        <v>364</v>
      </c>
      <c r="B67" s="29"/>
      <c r="C67" s="24">
        <f xml:space="preserve"> ROUNDDOWN((1000000/C10)*C11,0)</f>
        <v>0</v>
      </c>
    </row>
    <row r="68" spans="1:3" hidden="1" x14ac:dyDescent="0.15">
      <c r="A68" s="29" t="s">
        <v>365</v>
      </c>
      <c r="B68" s="29"/>
      <c r="C68" s="24">
        <f>IF(C11=1,MAX(C43,C44,C66,C67),MAX(C43,C44,C66))</f>
        <v>10080</v>
      </c>
    </row>
    <row r="69" spans="1:3" hidden="1" x14ac:dyDescent="0.15">
      <c r="A69" s="29" t="s">
        <v>366</v>
      </c>
      <c r="B69" s="29"/>
      <c r="C69" s="24">
        <f>ROUND(1000000/C68,2)</f>
        <v>99.21</v>
      </c>
    </row>
    <row r="70" spans="1:3" hidden="1" x14ac:dyDescent="0.15">
      <c r="A70" s="29" t="s">
        <v>367</v>
      </c>
      <c r="B70" s="29"/>
      <c r="C70" s="24">
        <f>12500*C12*(100-C13)</f>
        <v>1125000000</v>
      </c>
    </row>
    <row r="71" spans="1:3" hidden="1" x14ac:dyDescent="0.15">
      <c r="A71" s="29" t="s">
        <v>368</v>
      </c>
      <c r="B71" s="29"/>
      <c r="C71" s="24">
        <f>IF((ROUNDDOWN((C70-(62+C7-36)*C54-62-C56-170+C45*24)/(C54+3),0)-12)&gt;180000,180000,ROUNDDOWN((C70-(62+C7-36)*C54-62-C56-168+C45*24)/(C54+3),0)-12)</f>
        <v>180000</v>
      </c>
    </row>
    <row r="72" spans="1:3" hidden="1" x14ac:dyDescent="0.15">
      <c r="A72" s="29" t="s">
        <v>58</v>
      </c>
      <c r="B72" s="29"/>
      <c r="C72" s="24">
        <f>((62+(C7-36))*C54+62+C56+170)+(C8+12)*(C54+3)</f>
        <v>516322</v>
      </c>
    </row>
    <row r="73" spans="1:3" hidden="1" x14ac:dyDescent="0.15">
      <c r="A73" s="29" t="s">
        <v>367</v>
      </c>
      <c r="B73" s="29"/>
      <c r="C73" s="24">
        <f>1250000*C12</f>
        <v>1250000000</v>
      </c>
    </row>
    <row r="74" spans="1:3" hidden="1" x14ac:dyDescent="0.15">
      <c r="A74" s="29" t="s">
        <v>369</v>
      </c>
      <c r="B74" s="29"/>
      <c r="C74" s="24">
        <f>IF((100-ROUNDDOWN(C72*10/(C73/10),0)-1)&lt;0,0,(100-ROUNDDOWN(C72*10/(C73/10),0)-1))</f>
        <v>99</v>
      </c>
    </row>
    <row r="75" spans="1:3" hidden="1" x14ac:dyDescent="0.15">
      <c r="A75" s="29" t="s">
        <v>370</v>
      </c>
      <c r="B75" s="29"/>
      <c r="C75" s="24">
        <f>ROUNDDOWN((C70-(62+C7-36)*C54-62-C56-170+C45*24)/(C54+3),0)-12</f>
        <v>3326874</v>
      </c>
    </row>
    <row r="76" spans="1:3" hidden="1" x14ac:dyDescent="0.15">
      <c r="A76" s="29" t="s">
        <v>371</v>
      </c>
      <c r="B76" s="29"/>
      <c r="C76" s="24">
        <f>ROUNDDOWN(ROUNDDOWN(ROUNDDOWN(ROUNDDOWN(C2*ROUNDDOWN(1000000000/C68,0)/10,0)*ROUNDUP(C6/8,0)/10,0)*C3/10,0)*10/(100-C13),0)*10</f>
        <v>54151450</v>
      </c>
    </row>
    <row r="77" spans="1:3" ht="14.25" x14ac:dyDescent="0.15">
      <c r="A77" s="30" t="s">
        <v>372</v>
      </c>
      <c r="B77" s="30"/>
      <c r="C77" s="25"/>
    </row>
    <row r="78" spans="1:3" ht="14.25" x14ac:dyDescent="0.15">
      <c r="A78" s="30" t="s">
        <v>366</v>
      </c>
      <c r="B78" s="30" t="s">
        <v>415</v>
      </c>
      <c r="C78" s="25">
        <f>C69</f>
        <v>99.21</v>
      </c>
    </row>
    <row r="79" spans="1:3" hidden="1" x14ac:dyDescent="0.15">
      <c r="A79" s="28" t="s">
        <v>373</v>
      </c>
      <c r="B79" s="29"/>
      <c r="C79" s="29">
        <f>C43</f>
        <v>8336</v>
      </c>
    </row>
    <row r="80" spans="1:3" hidden="1" x14ac:dyDescent="0.15">
      <c r="A80" s="28" t="s">
        <v>374</v>
      </c>
      <c r="B80" s="29"/>
      <c r="C80" s="29">
        <f>C44</f>
        <v>10080</v>
      </c>
    </row>
    <row r="81" spans="1:3" hidden="1" x14ac:dyDescent="0.15">
      <c r="A81" s="29" t="s">
        <v>364</v>
      </c>
      <c r="B81" s="29"/>
      <c r="C81" s="29">
        <f>C67</f>
        <v>0</v>
      </c>
    </row>
    <row r="82" spans="1:3" hidden="1" x14ac:dyDescent="0.15">
      <c r="A82" s="29" t="s">
        <v>363</v>
      </c>
      <c r="B82" s="29"/>
      <c r="C82" s="29">
        <f>C66</f>
        <v>4580</v>
      </c>
    </row>
  </sheetData>
  <sheetProtection algorithmName="SHA-512" hashValue="HA8RtRGgE8w8X2qPOgrsbzkn5M0IwiOU1Fz3YboOjN43Z4R+ToWgZfipH0LuyMpHHWwCyH4tU2ok6xkDyHNfaA==" saltValue="7hcnaLGl/MhtrTCBCqec3Q==" spinCount="100000" sheet="1" objects="1" scenarios="1"/>
  <phoneticPr fontId="1" type="noConversion"/>
  <dataValidations count="12">
    <dataValidation allowBlank="1" showInputMessage="1" showErrorMessage="1" error="输入范围是64~1024，步长为2" sqref="A1:C1"/>
    <dataValidation type="whole" allowBlank="1" showInputMessage="1" showErrorMessage="1" errorTitle="Input parameter error" error="Input range:[1, 1000000]" sqref="C4">
      <formula1>1</formula1>
      <formula2>1000000</formula2>
    </dataValidation>
    <dataValidation type="whole" allowBlank="1" showInputMessage="1" showErrorMessage="1" errorTitle="Input parameter error" error="Input range:[0, 5000]" sqref="C5">
      <formula1>0</formula1>
      <formula2>5000</formula2>
    </dataValidation>
    <dataValidation type="custom" allowBlank="1" showInputMessage="1" showErrorMessage="1" errorTitle="Input parameter error" error="Input range:[0.1, 10000]" sqref="C10">
      <formula1>AND(TRUNC(C10,1)=C10,(C10&gt;=0.1),(C10&lt;=10000))</formula1>
    </dataValidation>
    <dataValidation type="custom" allowBlank="1" showInputMessage="1" showErrorMessage="1" errorTitle="Input parameter error" error="Input 0 or 1" sqref="C11">
      <formula1>OR((C11=0),(C11=1))</formula1>
    </dataValidation>
    <dataValidation type="custom" allowBlank="1" showInputMessage="1" showErrorMessage="1" errorTitle="Input parameter error" error="Input 1000 or 100" sqref="C12">
      <formula1>OR((C12=1000),(C12=100))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custom" allowBlank="1" showInputMessage="1" showErrorMessage="1" errorTitle="Input parameter error" error="Input 8 or 10" sqref="C6">
      <formula1>OR((C6=8),(C6=10))</formula1>
    </dataValidation>
    <dataValidation type="custom" allowBlank="1" showInputMessage="1" showErrorMessage="1" errorTitle="Input parameter error" error="Input range:[64, 608],and is an integer multiple of 2" sqref="C3">
      <formula1>AND((C3&lt;=608),(C3&gt;=64),(MOD(C3,2)=0))</formula1>
    </dataValidation>
    <dataValidation type="custom" allowBlank="1" showInputMessage="1" showErrorMessage="1" errorTitle="Input parameter error" error="Input range:[64, 808],and is an integer multiple of 8" sqref="C2">
      <formula1>AND((C2&lt;=808),(C2&gt;=64),(MOD(C2,8)=0))</formula1>
    </dataValidation>
    <dataValidation type="whole" allowBlank="1" showInputMessage="1" showErrorMessage="1" errorTitle="Input parameter error" error="Input range:[0, 'BandwidthReserveMaxValue'], and is an integer multiple of 1" sqref="C13">
      <formula1>0</formula1>
      <formula2>C14</formula2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B1" workbookViewId="0">
      <selection activeCell="G70" sqref="G70"/>
    </sheetView>
  </sheetViews>
  <sheetFormatPr defaultRowHeight="13.5" x14ac:dyDescent="0.15"/>
  <cols>
    <col min="1" max="1" width="19" hidden="1" customWidth="1"/>
    <col min="2" max="2" width="34.625" customWidth="1"/>
    <col min="3" max="3" width="14.875" customWidth="1"/>
  </cols>
  <sheetData>
    <row r="1" spans="1:3" s="3" customFormat="1" x14ac:dyDescent="0.15">
      <c r="A1" s="23" t="s">
        <v>467</v>
      </c>
      <c r="B1" s="23"/>
      <c r="C1" s="22"/>
    </row>
    <row r="2" spans="1:3" s="3" customFormat="1" x14ac:dyDescent="0.15">
      <c r="A2" s="23" t="s">
        <v>468</v>
      </c>
      <c r="B2" s="23" t="s">
        <v>469</v>
      </c>
      <c r="C2" s="22">
        <v>1280</v>
      </c>
    </row>
    <row r="3" spans="1:3" s="3" customFormat="1" x14ac:dyDescent="0.15">
      <c r="A3" s="23" t="s">
        <v>470</v>
      </c>
      <c r="B3" s="23" t="s">
        <v>471</v>
      </c>
      <c r="C3" s="22">
        <v>960</v>
      </c>
    </row>
    <row r="4" spans="1:3" s="3" customFormat="1" x14ac:dyDescent="0.15">
      <c r="A4" s="23" t="s">
        <v>472</v>
      </c>
      <c r="B4" s="23" t="s">
        <v>473</v>
      </c>
      <c r="C4" s="22">
        <v>10000</v>
      </c>
    </row>
    <row r="5" spans="1:3" s="3" customFormat="1" x14ac:dyDescent="0.15">
      <c r="A5" s="23" t="s">
        <v>474</v>
      </c>
      <c r="B5" s="23" t="s">
        <v>475</v>
      </c>
      <c r="C5" s="22">
        <v>8</v>
      </c>
    </row>
    <row r="6" spans="1:3" s="3" customFormat="1" x14ac:dyDescent="0.15">
      <c r="A6" s="23" t="s">
        <v>476</v>
      </c>
      <c r="B6" s="23" t="s">
        <v>11</v>
      </c>
      <c r="C6" s="22">
        <v>1500</v>
      </c>
    </row>
    <row r="7" spans="1:3" s="3" customFormat="1" x14ac:dyDescent="0.15">
      <c r="A7" s="23" t="s">
        <v>477</v>
      </c>
      <c r="B7" s="23" t="s">
        <v>12</v>
      </c>
      <c r="C7" s="22">
        <v>0</v>
      </c>
    </row>
    <row r="8" spans="1:3" s="3" customFormat="1" x14ac:dyDescent="0.15">
      <c r="A8" s="23" t="s">
        <v>478</v>
      </c>
      <c r="B8" s="23" t="s">
        <v>479</v>
      </c>
      <c r="C8" s="23">
        <f>C62</f>
        <v>165426</v>
      </c>
    </row>
    <row r="9" spans="1:3" s="3" customFormat="1" ht="15" customHeight="1" x14ac:dyDescent="0.15">
      <c r="A9" s="23" t="s">
        <v>480</v>
      </c>
      <c r="B9" s="23" t="s">
        <v>481</v>
      </c>
      <c r="C9" s="22">
        <v>1000</v>
      </c>
    </row>
    <row r="10" spans="1:3" s="3" customFormat="1" x14ac:dyDescent="0.15">
      <c r="A10" s="23" t="s">
        <v>482</v>
      </c>
      <c r="B10" s="23" t="s">
        <v>28</v>
      </c>
      <c r="C10" s="22">
        <v>10</v>
      </c>
    </row>
    <row r="11" spans="1:3" s="3" customFormat="1" x14ac:dyDescent="0.15">
      <c r="A11" s="23" t="s">
        <v>483</v>
      </c>
      <c r="B11" s="23" t="s">
        <v>484</v>
      </c>
      <c r="C11" s="23">
        <f>C66</f>
        <v>99</v>
      </c>
    </row>
    <row r="12" spans="1:3" x14ac:dyDescent="0.15">
      <c r="A12" s="23" t="s">
        <v>485</v>
      </c>
      <c r="B12" s="23" t="s">
        <v>486</v>
      </c>
      <c r="C12" s="31" t="s">
        <v>487</v>
      </c>
    </row>
    <row r="13" spans="1:3" s="3" customFormat="1" ht="14.25" customHeight="1" x14ac:dyDescent="0.15">
      <c r="A13" s="23" t="s">
        <v>488</v>
      </c>
      <c r="B13" s="23" t="s">
        <v>563</v>
      </c>
      <c r="C13" s="22">
        <v>54</v>
      </c>
    </row>
    <row r="14" spans="1:3" s="3" customFormat="1" ht="14.25" customHeight="1" x14ac:dyDescent="0.15">
      <c r="A14" s="23" t="s">
        <v>489</v>
      </c>
      <c r="B14" s="23" t="s">
        <v>318</v>
      </c>
      <c r="C14" s="31" t="s">
        <v>490</v>
      </c>
    </row>
    <row r="15" spans="1:3" s="3" customFormat="1" ht="14.25" customHeight="1" x14ac:dyDescent="0.15">
      <c r="A15" s="23"/>
      <c r="B15" s="23"/>
      <c r="C15" s="22"/>
    </row>
    <row r="16" spans="1:3" s="7" customFormat="1" ht="16.5" hidden="1" customHeight="1" x14ac:dyDescent="0.15">
      <c r="A16" s="21" t="s">
        <v>491</v>
      </c>
      <c r="B16" s="23"/>
      <c r="C16" s="24"/>
    </row>
    <row r="17" spans="1:3" s="7" customFormat="1" ht="16.5" hidden="1" customHeight="1" x14ac:dyDescent="0.15">
      <c r="A17" s="21" t="s">
        <v>492</v>
      </c>
      <c r="B17" s="23"/>
      <c r="C17" s="24">
        <f>IF(C12="on",C3+30,IF(MAX(C3+C23,INT(C31/C26),INT(C32/C26))&gt;65535,65535,MAX(C3+C23,ROUNDUP(C31/C26,0),ROUNDUP(C32/C26,0))))</f>
        <v>990</v>
      </c>
    </row>
    <row r="18" spans="1:3" s="7" customFormat="1" ht="16.5" hidden="1" customHeight="1" x14ac:dyDescent="0.15">
      <c r="A18" s="21" t="s">
        <v>493</v>
      </c>
      <c r="B18" s="23"/>
      <c r="C18" s="24">
        <f>IF(C12="off",1388,1650)</f>
        <v>1388</v>
      </c>
    </row>
    <row r="19" spans="1:3" s="7" customFormat="1" ht="16.5" hidden="1" customHeight="1" x14ac:dyDescent="0.15">
      <c r="A19" s="21" t="s">
        <v>494</v>
      </c>
      <c r="B19" s="23"/>
      <c r="C19" s="24">
        <f>INT(IF(C12="on",IF(C4&gt;67,C4,67),IF(C4&gt;20,C4,20))*C25/C18)</f>
        <v>534</v>
      </c>
    </row>
    <row r="20" spans="1:3" s="7" customFormat="1" ht="16.5" hidden="1" customHeight="1" x14ac:dyDescent="0.15">
      <c r="A20" s="21" t="s">
        <v>495</v>
      </c>
      <c r="B20" s="23"/>
      <c r="C20" s="24">
        <v>0</v>
      </c>
    </row>
    <row r="21" spans="1:3" s="7" customFormat="1" ht="16.5" hidden="1" customHeight="1" x14ac:dyDescent="0.15">
      <c r="A21" s="21"/>
      <c r="B21" s="23"/>
      <c r="C21" s="24"/>
    </row>
    <row r="22" spans="1:3" s="7" customFormat="1" ht="16.5" hidden="1" customHeight="1" x14ac:dyDescent="0.15">
      <c r="A22" s="21" t="s">
        <v>496</v>
      </c>
      <c r="B22" s="23"/>
      <c r="C22" s="24"/>
    </row>
    <row r="23" spans="1:3" s="7" customFormat="1" ht="13.5" hidden="1" customHeight="1" x14ac:dyDescent="0.15">
      <c r="A23" s="21" t="s">
        <v>497</v>
      </c>
      <c r="B23" s="24"/>
      <c r="C23" s="24">
        <v>30</v>
      </c>
    </row>
    <row r="24" spans="1:3" s="7" customFormat="1" ht="13.5" hidden="1" customHeight="1" x14ac:dyDescent="0.15">
      <c r="A24" s="21" t="s">
        <v>498</v>
      </c>
      <c r="B24" s="24"/>
      <c r="C24" s="24">
        <v>1297</v>
      </c>
    </row>
    <row r="25" spans="1:3" s="7" customFormat="1" ht="13.5" hidden="1" customHeight="1" x14ac:dyDescent="0.15">
      <c r="A25" s="21" t="s">
        <v>499</v>
      </c>
      <c r="B25" s="24"/>
      <c r="C25" s="24">
        <v>74.25</v>
      </c>
    </row>
    <row r="26" spans="1:3" s="7" customFormat="1" ht="13.5" hidden="1" customHeight="1" x14ac:dyDescent="0.15">
      <c r="A26" s="21" t="s">
        <v>500</v>
      </c>
      <c r="B26" s="24"/>
      <c r="C26" s="24">
        <f>ROUNDUP(C18/C25,3)</f>
        <v>18.694000000000003</v>
      </c>
    </row>
    <row r="27" spans="1:3" s="7" customFormat="1" ht="13.5" hidden="1" customHeight="1" x14ac:dyDescent="0.15">
      <c r="A27" s="21" t="s">
        <v>501</v>
      </c>
      <c r="B27" s="24"/>
      <c r="C27" s="24">
        <f>ROUNDUP(C3*C26,0)</f>
        <v>17947</v>
      </c>
    </row>
    <row r="28" spans="1:3" s="7" customFormat="1" ht="13.5" hidden="1" customHeight="1" x14ac:dyDescent="0.15">
      <c r="A28" s="21" t="s">
        <v>502</v>
      </c>
      <c r="B28" s="24"/>
      <c r="C28" s="24">
        <f>ROUNDUP((C3+C23)*C26, 0)</f>
        <v>18508</v>
      </c>
    </row>
    <row r="29" spans="1:3" s="7" customFormat="1" ht="15" hidden="1" customHeight="1" x14ac:dyDescent="0.15">
      <c r="A29" s="21" t="s">
        <v>503</v>
      </c>
      <c r="B29" s="24"/>
      <c r="C29" s="24">
        <f>C4+C27+C24</f>
        <v>29244</v>
      </c>
    </row>
    <row r="30" spans="1:3" s="7" customFormat="1" ht="13.5" hidden="1" customHeight="1" x14ac:dyDescent="0.15">
      <c r="A30" s="21" t="s">
        <v>504</v>
      </c>
      <c r="B30" s="24"/>
      <c r="C30" s="24">
        <f>INT((C19+2)*C26)</f>
        <v>10019</v>
      </c>
    </row>
    <row r="31" spans="1:3" s="7" customFormat="1" ht="13.5" hidden="1" customHeight="1" x14ac:dyDescent="0.15">
      <c r="A31" s="21" t="s">
        <v>505</v>
      </c>
      <c r="B31" s="24"/>
      <c r="C31" s="24">
        <f>C59</f>
        <v>11470</v>
      </c>
    </row>
    <row r="32" spans="1:3" s="7" customFormat="1" ht="13.5" hidden="1" customHeight="1" x14ac:dyDescent="0.15">
      <c r="A32" s="21" t="s">
        <v>506</v>
      </c>
      <c r="B32" s="24"/>
      <c r="C32" s="24">
        <f xml:space="preserve"> ROUNDUP((1000000/C13)*IF(C14="off",0,1),0)</f>
        <v>0</v>
      </c>
    </row>
    <row r="33" spans="1:3" s="7" customFormat="1" ht="13.5" hidden="1" customHeight="1" x14ac:dyDescent="0.15">
      <c r="A33" s="21" t="s">
        <v>507</v>
      </c>
      <c r="B33" s="24"/>
      <c r="C33" s="24">
        <f>INT(IF(C14="off",(IF(C12="off",MAX(C17*C26,C30),MAX(C29,C31))),(IF(C12="off",MAX(C17*C26,C30),MAX(C29,C31,C32)))))</f>
        <v>18507</v>
      </c>
    </row>
    <row r="34" spans="1:3" s="7" customFormat="1" ht="13.5" hidden="1" customHeight="1" x14ac:dyDescent="0.15">
      <c r="A34" s="21" t="s">
        <v>508</v>
      </c>
      <c r="B34" s="24"/>
      <c r="C34" s="24">
        <f>ROUND(1000000/C33,2)</f>
        <v>54.03</v>
      </c>
    </row>
    <row r="35" spans="1:3" s="7" customFormat="1" ht="13.5" hidden="1" customHeight="1" x14ac:dyDescent="0.15">
      <c r="A35" s="21"/>
      <c r="B35" s="24"/>
      <c r="C35" s="24"/>
    </row>
    <row r="36" spans="1:3" s="7" customFormat="1" ht="13.5" hidden="1" customHeight="1" x14ac:dyDescent="0.15">
      <c r="A36" s="21" t="s">
        <v>509</v>
      </c>
      <c r="B36" s="24"/>
      <c r="C36" s="24"/>
    </row>
    <row r="37" spans="1:3" s="7" customFormat="1" ht="13.5" hidden="1" customHeight="1" x14ac:dyDescent="0.15">
      <c r="A37" s="21" t="s">
        <v>510</v>
      </c>
      <c r="B37" s="24"/>
      <c r="C37" s="24">
        <v>0</v>
      </c>
    </row>
    <row r="38" spans="1:3" s="7" customFormat="1" ht="13.5" hidden="1" customHeight="1" x14ac:dyDescent="0.15">
      <c r="A38" s="21" t="s">
        <v>511</v>
      </c>
      <c r="B38" s="24" t="s">
        <v>512</v>
      </c>
      <c r="C38" s="24">
        <v>5000</v>
      </c>
    </row>
    <row r="39" spans="1:3" s="7" customFormat="1" ht="13.5" hidden="1" customHeight="1" x14ac:dyDescent="0.15">
      <c r="A39" s="21" t="s">
        <v>513</v>
      </c>
      <c r="B39" s="24" t="s">
        <v>514</v>
      </c>
      <c r="C39" s="24">
        <v>12</v>
      </c>
    </row>
    <row r="40" spans="1:3" s="7" customFormat="1" ht="13.5" hidden="1" customHeight="1" x14ac:dyDescent="0.15">
      <c r="A40" s="21" t="s">
        <v>515</v>
      </c>
      <c r="B40" s="24" t="s">
        <v>516</v>
      </c>
      <c r="C40" s="24">
        <f xml:space="preserve"> IF(C37=0,36,12)</f>
        <v>36</v>
      </c>
    </row>
    <row r="41" spans="1:3" s="7" customFormat="1" ht="13.5" hidden="1" customHeight="1" x14ac:dyDescent="0.15">
      <c r="A41" s="21" t="s">
        <v>517</v>
      </c>
      <c r="B41" s="24" t="s">
        <v>518</v>
      </c>
      <c r="C41" s="24">
        <v>10</v>
      </c>
    </row>
    <row r="42" spans="1:3" s="7" customFormat="1" ht="15" hidden="1" customHeight="1" x14ac:dyDescent="0.15">
      <c r="A42" s="21" t="s">
        <v>519</v>
      </c>
      <c r="B42" s="24" t="s">
        <v>520</v>
      </c>
      <c r="C42" s="24">
        <f>C2*C3*IF(C5=8,1,2)</f>
        <v>1228800</v>
      </c>
    </row>
    <row r="43" spans="1:3" s="7" customFormat="1" ht="13.5" hidden="1" customHeight="1" x14ac:dyDescent="0.15">
      <c r="A43" s="21" t="s">
        <v>521</v>
      </c>
      <c r="B43" s="24" t="s">
        <v>522</v>
      </c>
      <c r="C43" s="24">
        <f>C42+32*C37</f>
        <v>1228800</v>
      </c>
    </row>
    <row r="44" spans="1:3" s="7" customFormat="1" ht="13.5" hidden="1" customHeight="1" x14ac:dyDescent="0.15">
      <c r="A44" s="21" t="s">
        <v>523</v>
      </c>
      <c r="B44" s="24" t="s">
        <v>524</v>
      </c>
      <c r="C44" s="24">
        <v>36</v>
      </c>
    </row>
    <row r="45" spans="1:3" s="7" customFormat="1" ht="13.5" hidden="1" customHeight="1" x14ac:dyDescent="0.15">
      <c r="A45" s="21" t="s">
        <v>525</v>
      </c>
      <c r="B45" s="24" t="s">
        <v>526</v>
      </c>
      <c r="C45" s="24">
        <v>26</v>
      </c>
    </row>
    <row r="46" spans="1:3" s="7" customFormat="1" ht="13.5" hidden="1" customHeight="1" x14ac:dyDescent="0.15">
      <c r="A46" s="21" t="s">
        <v>527</v>
      </c>
      <c r="B46" s="24" t="s">
        <v>528</v>
      </c>
      <c r="C46" s="24">
        <v>10</v>
      </c>
    </row>
    <row r="47" spans="1:3" s="7" customFormat="1" ht="13.5" hidden="1" customHeight="1" x14ac:dyDescent="0.15">
      <c r="A47" s="24" t="s">
        <v>529</v>
      </c>
      <c r="B47" s="24" t="s">
        <v>530</v>
      </c>
      <c r="C47" s="24">
        <f>INT(C43/(C6-C44))</f>
        <v>839</v>
      </c>
    </row>
    <row r="48" spans="1:3" s="7" customFormat="1" ht="13.5" hidden="1" customHeight="1" x14ac:dyDescent="0.15">
      <c r="A48" s="24" t="s">
        <v>531</v>
      </c>
      <c r="B48" s="24" t="s">
        <v>532</v>
      </c>
      <c r="C48" s="24">
        <f>IF(MOD(C42,(C6-C44))=0,0,1)</f>
        <v>1</v>
      </c>
    </row>
    <row r="49" spans="1:3" s="7" customFormat="1" ht="13.5" hidden="1" customHeight="1" x14ac:dyDescent="0.15">
      <c r="A49" s="24" t="s">
        <v>533</v>
      </c>
      <c r="B49" s="24" t="s">
        <v>534</v>
      </c>
      <c r="C49" s="24">
        <f>C43-(C6-C44)*C47</f>
        <v>504</v>
      </c>
    </row>
    <row r="50" spans="1:3" s="7" customFormat="1" ht="13.5" hidden="1" customHeight="1" x14ac:dyDescent="0.15">
      <c r="A50" s="24" t="s">
        <v>535</v>
      </c>
      <c r="B50" s="24" t="s">
        <v>536</v>
      </c>
      <c r="C50" s="24">
        <f>IF(C49&lt;C46,C46,C49)</f>
        <v>504</v>
      </c>
    </row>
    <row r="51" spans="1:3" s="7" customFormat="1" ht="13.5" hidden="1" customHeight="1" x14ac:dyDescent="0.15">
      <c r="A51" s="24" t="s">
        <v>537</v>
      </c>
      <c r="B51" s="24" t="s">
        <v>538</v>
      </c>
      <c r="C51" s="24">
        <f>C45+C44+C40</f>
        <v>98</v>
      </c>
    </row>
    <row r="52" spans="1:3" s="7" customFormat="1" ht="13.5" hidden="1" customHeight="1" x14ac:dyDescent="0.15">
      <c r="A52" s="24" t="s">
        <v>539</v>
      </c>
      <c r="B52" s="24" t="s">
        <v>540</v>
      </c>
      <c r="C52" s="24">
        <f>C44+C45+C41</f>
        <v>72</v>
      </c>
    </row>
    <row r="53" spans="1:3" s="7" customFormat="1" ht="13.5" hidden="1" customHeight="1" x14ac:dyDescent="0.15">
      <c r="A53" s="24" t="s">
        <v>541</v>
      </c>
      <c r="B53" s="24" t="s">
        <v>542</v>
      </c>
      <c r="C53" s="24">
        <f>C47*(C6+C45)+C48*(C50+C45+C44)</f>
        <v>1280880</v>
      </c>
    </row>
    <row r="54" spans="1:3" s="7" customFormat="1" ht="13.5" hidden="1" customHeight="1" x14ac:dyDescent="0.15">
      <c r="A54" s="24" t="s">
        <v>543</v>
      </c>
      <c r="B54" s="24" t="s">
        <v>544</v>
      </c>
      <c r="C54" s="24">
        <f>(2+C48+C47)*(C7+C39)</f>
        <v>10104</v>
      </c>
    </row>
    <row r="55" spans="1:3" s="7" customFormat="1" ht="13.5" hidden="1" customHeight="1" x14ac:dyDescent="0.15">
      <c r="A55" s="24" t="s">
        <v>545</v>
      </c>
      <c r="B55" s="24" t="s">
        <v>546</v>
      </c>
      <c r="C55" s="24">
        <f>C51+C52+C53+C54</f>
        <v>1291154</v>
      </c>
    </row>
    <row r="56" spans="1:3" s="7" customFormat="1" ht="13.5" hidden="1" customHeight="1" x14ac:dyDescent="0.15">
      <c r="A56" s="24" t="s">
        <v>547</v>
      </c>
      <c r="B56" s="24" t="s">
        <v>548</v>
      </c>
      <c r="C56" s="24">
        <f>INT(C9*(100-C10)/80)</f>
        <v>1125</v>
      </c>
    </row>
    <row r="57" spans="1:3" s="7" customFormat="1" ht="13.5" hidden="1" customHeight="1" x14ac:dyDescent="0.15">
      <c r="A57" s="24" t="s">
        <v>549</v>
      </c>
      <c r="B57" s="24" t="s">
        <v>550</v>
      </c>
      <c r="C57" s="24">
        <f>INT(C55/C56)*10</f>
        <v>11470</v>
      </c>
    </row>
    <row r="58" spans="1:3" s="7" customFormat="1" ht="13.5" hidden="1" customHeight="1" x14ac:dyDescent="0.15">
      <c r="A58" s="24" t="s">
        <v>551</v>
      </c>
      <c r="B58" s="24" t="s">
        <v>552</v>
      </c>
      <c r="C58" s="24">
        <f>INT((C43+C44+C41)/C38)*10</f>
        <v>2450</v>
      </c>
    </row>
    <row r="59" spans="1:3" s="7" customFormat="1" ht="13.5" hidden="1" customHeight="1" x14ac:dyDescent="0.15">
      <c r="A59" s="24" t="s">
        <v>553</v>
      </c>
      <c r="B59" s="24"/>
      <c r="C59" s="24">
        <f>MAX(C57,C58)</f>
        <v>11470</v>
      </c>
    </row>
    <row r="60" spans="1:3" s="7" customFormat="1" ht="13.5" hidden="1" customHeight="1" x14ac:dyDescent="0.15">
      <c r="A60" s="24"/>
      <c r="B60" s="24"/>
      <c r="C60" s="24"/>
    </row>
    <row r="61" spans="1:3" s="7" customFormat="1" ht="13.5" hidden="1" customHeight="1" x14ac:dyDescent="0.15">
      <c r="A61" s="29" t="s">
        <v>56</v>
      </c>
      <c r="B61" s="24"/>
      <c r="C61" s="24">
        <f>1562*C9*(100-C10)</f>
        <v>140580000</v>
      </c>
    </row>
    <row r="62" spans="1:3" s="7" customFormat="1" ht="13.5" hidden="1" customHeight="1" x14ac:dyDescent="0.15">
      <c r="A62" s="24" t="s">
        <v>554</v>
      </c>
      <c r="B62" s="24"/>
      <c r="C62" s="24">
        <f>IF((ROUNDDOWN((C61-(62+C6-36)*C47-62-C49-170+C37*24)/(C47+3),0)-12)&gt;180000,180000,ROUNDDOWN((C61-(62+C6-36)*C47-62-C49-168+C37*24)/(C47+3),0)-12)</f>
        <v>165426</v>
      </c>
    </row>
    <row r="63" spans="1:3" s="7" customFormat="1" ht="13.5" hidden="1" customHeight="1" x14ac:dyDescent="0.15">
      <c r="A63" s="24" t="s">
        <v>555</v>
      </c>
      <c r="B63" s="24"/>
      <c r="C63" s="24">
        <f>((62+(C6-36))*C47+62+C49+170)+(C7+12)*(C47+3)</f>
        <v>1291154</v>
      </c>
    </row>
    <row r="64" spans="1:3" s="7" customFormat="1" ht="13.5" hidden="1" customHeight="1" x14ac:dyDescent="0.15">
      <c r="A64" s="24" t="s">
        <v>556</v>
      </c>
      <c r="B64" s="24"/>
      <c r="C64" s="24">
        <f>156250*C9</f>
        <v>156250000</v>
      </c>
    </row>
    <row r="65" spans="1:3" s="7" customFormat="1" ht="13.5" hidden="1" customHeight="1" x14ac:dyDescent="0.15">
      <c r="A65" s="24" t="s">
        <v>58</v>
      </c>
      <c r="B65" s="24"/>
      <c r="C65" s="24">
        <v>5293748</v>
      </c>
    </row>
    <row r="66" spans="1:3" s="7" customFormat="1" ht="13.5" hidden="1" customHeight="1" x14ac:dyDescent="0.15">
      <c r="A66" s="24" t="s">
        <v>557</v>
      </c>
      <c r="B66" s="24"/>
      <c r="C66" s="24">
        <f>IF((100-ROUNDDOWN(C63*10/(C64/10),0)-1)&lt;0,0,(100-ROUNDDOWN(C63*10/(C64/10),0)-1))</f>
        <v>99</v>
      </c>
    </row>
    <row r="67" spans="1:3" s="7" customFormat="1" ht="13.5" hidden="1" customHeight="1" x14ac:dyDescent="0.15">
      <c r="A67" s="29" t="s">
        <v>558</v>
      </c>
      <c r="B67" s="29"/>
      <c r="C67" s="24">
        <f>ROUNDDOWN((C61-(62+C6-36)*C47-62-C49-170+C37*24)/(C47+3),0)-12</f>
        <v>165426</v>
      </c>
    </row>
    <row r="68" spans="1:3" s="7" customFormat="1" ht="13.5" hidden="1" customHeight="1" x14ac:dyDescent="0.15">
      <c r="A68" s="29" t="s">
        <v>559</v>
      </c>
      <c r="B68" s="29"/>
      <c r="C68" s="24">
        <f>ROUNDDOWN(ROUNDDOWN(ROUNDDOWN(ROUNDDOWN(C2*ROUNDDOWN(1000000000/ROUNDDOWN(C33,0),0)/10,0)*ROUNDUP(C5/8,0)/10,0)*C3/10,0)*10/(100-C10),0)*10</f>
        <v>73773010</v>
      </c>
    </row>
    <row r="69" spans="1:3" s="7" customFormat="1" ht="18.75" x14ac:dyDescent="0.15">
      <c r="A69" s="12" t="s">
        <v>560</v>
      </c>
      <c r="B69" s="12"/>
      <c r="C69" s="13"/>
    </row>
    <row r="70" spans="1:3" s="7" customFormat="1" ht="18.75" x14ac:dyDescent="0.15">
      <c r="A70" s="12" t="s">
        <v>561</v>
      </c>
      <c r="B70" s="12" t="s">
        <v>562</v>
      </c>
      <c r="C70" s="12">
        <f>C34</f>
        <v>54.03</v>
      </c>
    </row>
  </sheetData>
  <sheetProtection algorithmName="SHA-512" hashValue="69ipU6pQXVP7QPyu6ntPXtOY/VXgrbR6PHFS0lTsawhRdCfAjZWzz7HUP/ISsdbhhwPAIaEymA8hxtI+IU8LcQ==" saltValue="S/7IHZg0HqJNgaqtWxGrog==" spinCount="100000" sheet="1" objects="1" scenarios="1"/>
  <phoneticPr fontId="1" type="noConversion"/>
  <dataValidations count="16">
    <dataValidation type="custom" allowBlank="1" showErrorMessage="1" errorTitle="Input parameter error" error="Input range:[0.8, 10000]" prompt="设置值应在预留带宽范围内" sqref="C13">
      <formula1>AND(TRUNC(C13,1)=C13,(C13&gt;=0.8),(C13&lt;=10000))</formula1>
    </dataValidation>
    <dataValidation type="list" allowBlank="1" showErrorMessage="1" errorTitle="Input parameter error" error="Input &quot;off&quot; or &quot;on&quot;" promptTitle="0=off，1=on" prompt="0表示关闭帧率限制模式，1表示开启帧率限制模式" sqref="C14">
      <formula1>"off,on"</formula1>
    </dataValidation>
    <dataValidation type="custom" allowBlank="1" showErrorMessage="1" error="设置值范围1.0~100000.0，精确到一位小数" prompt="设置值应在预留带宽范围内" sqref="C15">
      <formula1>AND(TRUNC(C15,1)=C15,(C15&gt;=1),(C15&lt;=100000))</formula1>
    </dataValidation>
    <dataValidation type="list" allowBlank="1" showInputMessage="1" showErrorMessage="1" errorTitle="Input parameter error" error="Input 1000 or 100_x000a_" sqref="C9">
      <formula1>"1000,100"</formula1>
    </dataValidation>
    <dataValidation type="custom" allowBlank="1" showInputMessage="1" showErrorMessage="1" errorTitle="Input parameter error" error="Input range:[512, 8192],and is an integer multiple of 4" sqref="C6">
      <formula1>AND((C6&lt;=8192),(C6&gt;=512),(MOD(C6,4)=0))</formula1>
    </dataValidation>
    <dataValidation type="list" allowBlank="1" showInputMessage="1" showErrorMessage="1" errorTitle="Input parameter error" error="Input 8 or 10" sqref="C5">
      <formula1>"8,10"</formula1>
    </dataValidation>
    <dataValidation type="whole" allowBlank="1" showInputMessage="1" showErrorMessage="1" errorTitle="Input parameter error" error="Input range:[20, 1000000]" sqref="C4">
      <formula1>20</formula1>
      <formula2>1000000</formula2>
    </dataValidation>
    <dataValidation type="custom" allowBlank="1" showInputMessage="1" showErrorMessage="1" errorTitle="Input parameter error" error="Input range:[64, 960],and is an integer multiple of 2" sqref="C3">
      <formula1>AND((C3&lt;=960),(C3&gt;=64),(MOD(C3,2)=0))</formula1>
    </dataValidation>
    <dataValidation type="custom" allowBlank="1" showInputMessage="1" showErrorMessage="1" errorTitle="Input parameter error" error="Input range:[64, 1280],and is an integer multiple of 4" sqref="C2">
      <formula1>AND((C2&lt;=1280),(C2&gt;=64),(MOD(C2,4)=0))</formula1>
    </dataValidation>
    <dataValidation type="whole" allowBlank="1" showInputMessage="1" showErrorMessage="1" errorTitle="Input parameter error" error="Input range:[0, 'BandwidthReserveMaxValue'], and is an integer multiple of 1" sqref="C10">
      <formula1>0</formula1>
      <formula2>C11</formula2>
    </dataValidation>
    <dataValidation type="whole" allowBlank="1" showInputMessage="1" showErrorMessage="1" errorTitle="Input parameter error" error="Input range:[0, 'GevSCPDMaxValue'], and is an integer multiple of 1" sqref="C7">
      <formula1>0</formula1>
      <formula2>C8</formula2>
    </dataValidation>
    <dataValidation type="whole" allowBlank="1" showErrorMessage="1" error="设置值超过最大值" prompt="应在包间隔范围内" sqref="C8">
      <formula1>0</formula1>
      <formula2>C65</formula2>
    </dataValidation>
    <dataValidation type="list" allowBlank="1" showErrorMessage="1" errorTitle="Input parameter error" error="Input &quot;off&quot; or &quot;on&quot;_x000a_" promptTitle="0=off，1=on" prompt="0表示连续采集，1表示触发采集" sqref="C12">
      <formula1>"off,on"</formula1>
    </dataValidation>
    <dataValidation type="list" allowBlank="1" showInputMessage="1" showErrorMessage="1" sqref="C37">
      <formula1>"0,1"</formula1>
    </dataValidation>
    <dataValidation showInputMessage="1" showErrorMessage="1" sqref="C38"/>
    <dataValidation type="whole" allowBlank="1" error="设置值超过包间隔范围" prompt="设置值应在预留带宽范围内" sqref="C11">
      <formula1>0</formula1>
      <formula2>#REF!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B1" workbookViewId="0">
      <selection activeCell="C2" sqref="C2"/>
    </sheetView>
  </sheetViews>
  <sheetFormatPr defaultRowHeight="13.5" x14ac:dyDescent="0.15"/>
  <cols>
    <col min="1" max="1" width="18.625" hidden="1" customWidth="1"/>
    <col min="2" max="2" width="29.125" customWidth="1"/>
    <col min="3" max="3" width="18.625" customWidth="1"/>
  </cols>
  <sheetData>
    <row r="1" spans="1:3" s="33" customFormat="1" x14ac:dyDescent="0.15">
      <c r="A1" s="26" t="s">
        <v>574</v>
      </c>
      <c r="B1" s="26"/>
      <c r="C1" s="27"/>
    </row>
    <row r="2" spans="1:3" s="33" customFormat="1" x14ac:dyDescent="0.15">
      <c r="A2" s="26" t="s">
        <v>575</v>
      </c>
      <c r="B2" s="26" t="s">
        <v>576</v>
      </c>
      <c r="C2" s="34">
        <v>1920</v>
      </c>
    </row>
    <row r="3" spans="1:3" s="33" customFormat="1" x14ac:dyDescent="0.15">
      <c r="A3" s="26" t="s">
        <v>577</v>
      </c>
      <c r="B3" s="26" t="s">
        <v>578</v>
      </c>
      <c r="C3" s="34">
        <v>1200</v>
      </c>
    </row>
    <row r="4" spans="1:3" s="33" customFormat="1" x14ac:dyDescent="0.15">
      <c r="A4" s="26" t="s">
        <v>579</v>
      </c>
      <c r="B4" s="26" t="s">
        <v>580</v>
      </c>
      <c r="C4" s="34">
        <v>20000</v>
      </c>
    </row>
    <row r="5" spans="1:3" s="33" customFormat="1" hidden="1" x14ac:dyDescent="0.15">
      <c r="A5" s="26" t="s">
        <v>581</v>
      </c>
      <c r="B5" s="26" t="s">
        <v>582</v>
      </c>
      <c r="C5" s="34">
        <v>0</v>
      </c>
    </row>
    <row r="6" spans="1:3" s="33" customFormat="1" x14ac:dyDescent="0.15">
      <c r="A6" s="26" t="s">
        <v>583</v>
      </c>
      <c r="B6" s="26" t="s">
        <v>584</v>
      </c>
      <c r="C6" s="34">
        <v>8</v>
      </c>
    </row>
    <row r="7" spans="1:3" s="33" customFormat="1" x14ac:dyDescent="0.15">
      <c r="A7" s="26" t="s">
        <v>585</v>
      </c>
      <c r="B7" s="26" t="s">
        <v>11</v>
      </c>
      <c r="C7" s="34">
        <v>1500</v>
      </c>
    </row>
    <row r="8" spans="1:3" s="33" customFormat="1" x14ac:dyDescent="0.15">
      <c r="A8" s="26" t="s">
        <v>586</v>
      </c>
      <c r="B8" s="26" t="s">
        <v>587</v>
      </c>
      <c r="C8" s="34">
        <v>0</v>
      </c>
    </row>
    <row r="9" spans="1:3" s="33" customFormat="1" x14ac:dyDescent="0.15">
      <c r="A9" s="26" t="s">
        <v>588</v>
      </c>
      <c r="B9" s="26" t="s">
        <v>589</v>
      </c>
      <c r="C9" s="35">
        <f>C71</f>
        <v>180000</v>
      </c>
    </row>
    <row r="10" spans="1:3" s="33" customFormat="1" x14ac:dyDescent="0.15">
      <c r="A10" s="26" t="s">
        <v>590</v>
      </c>
      <c r="B10" s="23" t="s">
        <v>563</v>
      </c>
      <c r="C10" s="34">
        <v>48</v>
      </c>
    </row>
    <row r="11" spans="1:3" s="33" customFormat="1" x14ac:dyDescent="0.15">
      <c r="A11" s="26" t="s">
        <v>591</v>
      </c>
      <c r="B11" s="23" t="s">
        <v>318</v>
      </c>
      <c r="C11" s="34">
        <v>0</v>
      </c>
    </row>
    <row r="12" spans="1:3" s="33" customFormat="1" x14ac:dyDescent="0.15">
      <c r="A12" s="26" t="s">
        <v>592</v>
      </c>
      <c r="B12" s="26" t="s">
        <v>593</v>
      </c>
      <c r="C12" s="34">
        <v>1000</v>
      </c>
    </row>
    <row r="13" spans="1:3" s="36" customFormat="1" x14ac:dyDescent="0.15">
      <c r="A13" s="26" t="s">
        <v>594</v>
      </c>
      <c r="B13" s="26" t="s">
        <v>28</v>
      </c>
      <c r="C13" s="34">
        <v>10</v>
      </c>
    </row>
    <row r="14" spans="1:3" s="36" customFormat="1" ht="14.25" customHeight="1" x14ac:dyDescent="0.15">
      <c r="A14" s="26" t="s">
        <v>595</v>
      </c>
      <c r="B14" s="26" t="s">
        <v>596</v>
      </c>
      <c r="C14" s="35">
        <f>C74</f>
        <v>99</v>
      </c>
    </row>
    <row r="15" spans="1:3" s="36" customFormat="1" ht="14.25" hidden="1" customHeight="1" x14ac:dyDescent="0.15">
      <c r="A15" s="26"/>
      <c r="B15" s="26"/>
      <c r="C15" s="35"/>
    </row>
    <row r="16" spans="1:3" s="37" customFormat="1" hidden="1" x14ac:dyDescent="0.15">
      <c r="A16" s="28" t="s">
        <v>597</v>
      </c>
      <c r="B16" s="28" t="s">
        <v>598</v>
      </c>
      <c r="C16" s="28">
        <v>0</v>
      </c>
    </row>
    <row r="17" spans="1:3" s="37" customFormat="1" hidden="1" x14ac:dyDescent="0.15">
      <c r="A17" s="28" t="s">
        <v>599</v>
      </c>
      <c r="B17" s="28" t="s">
        <v>600</v>
      </c>
      <c r="C17" s="28">
        <f xml:space="preserve"> ROUNDUP(866*1000/C19,0)</f>
        <v>12028</v>
      </c>
    </row>
    <row r="18" spans="1:3" s="36" customFormat="1" hidden="1" x14ac:dyDescent="0.15">
      <c r="A18" s="28"/>
      <c r="B18" s="29" t="s">
        <v>601</v>
      </c>
      <c r="C18" s="38">
        <v>2</v>
      </c>
    </row>
    <row r="19" spans="1:3" s="36" customFormat="1" hidden="1" x14ac:dyDescent="0.15">
      <c r="A19" s="28" t="s">
        <v>602</v>
      </c>
      <c r="B19" s="29" t="s">
        <v>603</v>
      </c>
      <c r="C19" s="38">
        <v>72</v>
      </c>
    </row>
    <row r="20" spans="1:3" s="36" customFormat="1" hidden="1" x14ac:dyDescent="0.15">
      <c r="A20" s="28" t="s">
        <v>604</v>
      </c>
      <c r="B20" s="29" t="s">
        <v>288</v>
      </c>
      <c r="C20" s="38">
        <v>4</v>
      </c>
    </row>
    <row r="21" spans="1:3" s="36" customFormat="1" hidden="1" x14ac:dyDescent="0.15">
      <c r="A21" s="28" t="s">
        <v>605</v>
      </c>
      <c r="B21" s="29" t="s">
        <v>606</v>
      </c>
      <c r="C21" s="38">
        <v>6</v>
      </c>
    </row>
    <row r="22" spans="1:3" s="36" customFormat="1" hidden="1" x14ac:dyDescent="0.15">
      <c r="A22" s="28" t="s">
        <v>607</v>
      </c>
      <c r="B22" s="29" t="s">
        <v>608</v>
      </c>
      <c r="C22" s="38">
        <v>1</v>
      </c>
    </row>
    <row r="23" spans="1:3" s="36" customFormat="1" hidden="1" x14ac:dyDescent="0.15">
      <c r="A23" s="28" t="s">
        <v>609</v>
      </c>
      <c r="B23" s="29" t="s">
        <v>610</v>
      </c>
      <c r="C23" s="38">
        <v>120</v>
      </c>
    </row>
    <row r="24" spans="1:3" s="36" customFormat="1" hidden="1" x14ac:dyDescent="0.15">
      <c r="A24" s="28" t="s">
        <v>611</v>
      </c>
      <c r="B24" s="29" t="s">
        <v>612</v>
      </c>
      <c r="C24" s="38">
        <v>120</v>
      </c>
    </row>
    <row r="25" spans="1:3" s="36" customFormat="1" hidden="1" x14ac:dyDescent="0.15">
      <c r="A25" s="28" t="s">
        <v>613</v>
      </c>
      <c r="B25" s="29" t="s">
        <v>614</v>
      </c>
      <c r="C25" s="38">
        <v>57778</v>
      </c>
    </row>
    <row r="26" spans="1:3" s="36" customFormat="1" hidden="1" x14ac:dyDescent="0.15">
      <c r="A26" s="28" t="s">
        <v>615</v>
      </c>
      <c r="B26" s="29" t="s">
        <v>616</v>
      </c>
      <c r="C26" s="38">
        <v>4000</v>
      </c>
    </row>
    <row r="27" spans="1:3" s="36" customFormat="1" hidden="1" x14ac:dyDescent="0.15">
      <c r="A27" s="28" t="s">
        <v>617</v>
      </c>
      <c r="B27" s="29" t="s">
        <v>618</v>
      </c>
      <c r="C27" s="38">
        <v>16</v>
      </c>
    </row>
    <row r="28" spans="1:3" s="36" customFormat="1" hidden="1" x14ac:dyDescent="0.15">
      <c r="A28" s="28" t="s">
        <v>619</v>
      </c>
      <c r="B28" s="29" t="s">
        <v>620</v>
      </c>
      <c r="C28" s="38">
        <v>16</v>
      </c>
    </row>
    <row r="29" spans="1:3" s="36" customFormat="1" hidden="1" x14ac:dyDescent="0.15">
      <c r="A29" s="28" t="s">
        <v>617</v>
      </c>
      <c r="B29" s="29" t="s">
        <v>621</v>
      </c>
      <c r="C29" s="38">
        <v>2</v>
      </c>
    </row>
    <row r="30" spans="1:3" s="36" customFormat="1" hidden="1" x14ac:dyDescent="0.15">
      <c r="A30" s="28" t="s">
        <v>619</v>
      </c>
      <c r="B30" s="29" t="s">
        <v>622</v>
      </c>
      <c r="C30" s="38">
        <v>0</v>
      </c>
    </row>
    <row r="31" spans="1:3" s="36" customFormat="1" hidden="1" x14ac:dyDescent="0.15">
      <c r="A31" s="28" t="s">
        <v>623</v>
      </c>
      <c r="B31" s="29" t="s">
        <v>624</v>
      </c>
      <c r="C31" s="38">
        <v>250</v>
      </c>
    </row>
    <row r="32" spans="1:3" s="36" customFormat="1" ht="27" hidden="1" x14ac:dyDescent="0.15">
      <c r="A32" s="28" t="s">
        <v>625</v>
      </c>
      <c r="B32" s="29" t="s">
        <v>626</v>
      </c>
      <c r="C32" s="38">
        <v>16</v>
      </c>
    </row>
    <row r="33" spans="1:3" s="36" customFormat="1" hidden="1" x14ac:dyDescent="0.15">
      <c r="A33" s="28" t="s">
        <v>627</v>
      </c>
      <c r="B33" s="29" t="s">
        <v>628</v>
      </c>
      <c r="C33" s="38">
        <v>1200</v>
      </c>
    </row>
    <row r="34" spans="1:3" s="36" customFormat="1" hidden="1" x14ac:dyDescent="0.15">
      <c r="A34" s="28" t="s">
        <v>629</v>
      </c>
      <c r="B34" s="29" t="s">
        <v>630</v>
      </c>
      <c r="C34" s="38">
        <v>40000</v>
      </c>
    </row>
    <row r="35" spans="1:3" s="36" customFormat="1" hidden="1" x14ac:dyDescent="0.15">
      <c r="A35" s="29" t="s">
        <v>631</v>
      </c>
      <c r="B35" s="29"/>
      <c r="C35" s="38">
        <v>1920</v>
      </c>
    </row>
    <row r="36" spans="1:3" s="37" customFormat="1" hidden="1" x14ac:dyDescent="0.15">
      <c r="A36" s="28" t="s">
        <v>632</v>
      </c>
      <c r="B36" s="29" t="s">
        <v>633</v>
      </c>
      <c r="C36" s="38">
        <f>ROUNDUP(MAX((C24+C30+C31), ( C35/C18+C28+C31) ) *1000/C19,0)</f>
        <v>17028</v>
      </c>
    </row>
    <row r="37" spans="1:3" s="37" customFormat="1" hidden="1" x14ac:dyDescent="0.15">
      <c r="A37" s="28" t="s">
        <v>634</v>
      </c>
      <c r="B37" s="29" t="s">
        <v>635</v>
      </c>
      <c r="C37" s="38">
        <f>ROUNDUP(MAX((C23+C29+C31), ( C2/C18+C27+C31) ) *1000/C19,0)</f>
        <v>17028</v>
      </c>
    </row>
    <row r="38" spans="1:3" s="37" customFormat="1" hidden="1" x14ac:dyDescent="0.15">
      <c r="A38" s="28" t="s">
        <v>294</v>
      </c>
      <c r="B38" s="29" t="s">
        <v>636</v>
      </c>
      <c r="C38" s="38">
        <f>C20*C36</f>
        <v>68112</v>
      </c>
    </row>
    <row r="39" spans="1:3" s="37" customFormat="1" hidden="1" x14ac:dyDescent="0.15">
      <c r="A39" s="28" t="s">
        <v>637</v>
      </c>
      <c r="B39" s="29" t="s">
        <v>638</v>
      </c>
      <c r="C39" s="38">
        <f>C3*C37</f>
        <v>20433600</v>
      </c>
    </row>
    <row r="40" spans="1:3" s="37" customFormat="1" hidden="1" x14ac:dyDescent="0.15">
      <c r="A40" s="28" t="s">
        <v>298</v>
      </c>
      <c r="B40" s="29" t="s">
        <v>639</v>
      </c>
      <c r="C40" s="38">
        <f>C21*C36</f>
        <v>102168</v>
      </c>
    </row>
    <row r="41" spans="1:3" s="37" customFormat="1" ht="27" hidden="1" x14ac:dyDescent="0.15">
      <c r="A41" s="28" t="s">
        <v>640</v>
      </c>
      <c r="B41" s="29" t="s">
        <v>641</v>
      </c>
      <c r="C41" s="38">
        <f>C22*C36</f>
        <v>17028</v>
      </c>
    </row>
    <row r="42" spans="1:3" s="37" customFormat="1" hidden="1" x14ac:dyDescent="0.15">
      <c r="A42" s="28" t="s">
        <v>642</v>
      </c>
      <c r="B42" s="29"/>
      <c r="C42" s="38">
        <f>C10*10</f>
        <v>480</v>
      </c>
    </row>
    <row r="43" spans="1:3" s="37" customFormat="1" hidden="1" x14ac:dyDescent="0.15">
      <c r="A43" s="28" t="s">
        <v>643</v>
      </c>
      <c r="B43" s="29"/>
      <c r="C43" s="38">
        <f>ROUNDUP((C24*1000/C19+C38+C17*C16+C39+C40+C25+C26+C34)/1000,0)</f>
        <v>20708</v>
      </c>
    </row>
    <row r="44" spans="1:3" s="37" customFormat="1" hidden="1" x14ac:dyDescent="0.15">
      <c r="A44" s="28" t="s">
        <v>644</v>
      </c>
      <c r="B44" s="29"/>
      <c r="C44" s="38">
        <f>ROUNDUP((C41+C4*1000+C5*1000+C25+C26+C34)/1000,0)</f>
        <v>20119</v>
      </c>
    </row>
    <row r="45" spans="1:3" s="37" customFormat="1" hidden="1" x14ac:dyDescent="0.15">
      <c r="A45" s="28" t="s">
        <v>645</v>
      </c>
      <c r="B45" s="29"/>
      <c r="C45" s="38">
        <v>0</v>
      </c>
    </row>
    <row r="46" spans="1:3" s="37" customFormat="1" hidden="1" x14ac:dyDescent="0.15">
      <c r="A46" s="28" t="s">
        <v>646</v>
      </c>
      <c r="B46" s="29" t="s">
        <v>647</v>
      </c>
      <c r="C46" s="38">
        <v>12</v>
      </c>
    </row>
    <row r="47" spans="1:3" s="37" customFormat="1" hidden="1" x14ac:dyDescent="0.15">
      <c r="A47" s="28" t="s">
        <v>648</v>
      </c>
      <c r="B47" s="29" t="s">
        <v>649</v>
      </c>
      <c r="C47" s="38">
        <v>52</v>
      </c>
    </row>
    <row r="48" spans="1:3" s="37" customFormat="1" hidden="1" x14ac:dyDescent="0.15">
      <c r="A48" s="28" t="s">
        <v>650</v>
      </c>
      <c r="B48" s="29" t="s">
        <v>651</v>
      </c>
      <c r="C48" s="38">
        <v>32</v>
      </c>
    </row>
    <row r="49" spans="1:3" s="37" customFormat="1" hidden="1" x14ac:dyDescent="0.15">
      <c r="A49" s="28" t="s">
        <v>652</v>
      </c>
      <c r="B49" s="29" t="s">
        <v>653</v>
      </c>
      <c r="C49" s="38">
        <f>C2*C3*IF(C6=8,1,2)</f>
        <v>2304000</v>
      </c>
    </row>
    <row r="50" spans="1:3" s="37" customFormat="1" hidden="1" x14ac:dyDescent="0.15">
      <c r="A50" s="28" t="s">
        <v>654</v>
      </c>
      <c r="B50" s="29" t="s">
        <v>655</v>
      </c>
      <c r="C50" s="38">
        <f>C49</f>
        <v>2304000</v>
      </c>
    </row>
    <row r="51" spans="1:3" s="37" customFormat="1" ht="27" hidden="1" x14ac:dyDescent="0.15">
      <c r="A51" s="28" t="s">
        <v>656</v>
      </c>
      <c r="B51" s="29" t="s">
        <v>657</v>
      </c>
      <c r="C51" s="38">
        <v>36</v>
      </c>
    </row>
    <row r="52" spans="1:3" s="37" customFormat="1" hidden="1" x14ac:dyDescent="0.15">
      <c r="A52" s="28" t="s">
        <v>658</v>
      </c>
      <c r="B52" s="29" t="s">
        <v>659</v>
      </c>
      <c r="C52" s="38">
        <v>26</v>
      </c>
    </row>
    <row r="53" spans="1:3" s="37" customFormat="1" hidden="1" x14ac:dyDescent="0.15">
      <c r="A53" s="28" t="s">
        <v>660</v>
      </c>
      <c r="B53" s="29" t="s">
        <v>661</v>
      </c>
      <c r="C53" s="38">
        <v>10</v>
      </c>
    </row>
    <row r="54" spans="1:3" s="37" customFormat="1" hidden="1" x14ac:dyDescent="0.15">
      <c r="A54" s="28" t="s">
        <v>662</v>
      </c>
      <c r="B54" s="29" t="s">
        <v>663</v>
      </c>
      <c r="C54" s="38">
        <f>ROUNDDOWN((C2*C3*ROUNDUP(C6/8,0)+C45*32)/(C7-36),0)</f>
        <v>1573</v>
      </c>
    </row>
    <row r="55" spans="1:3" s="37" customFormat="1" hidden="1" x14ac:dyDescent="0.15">
      <c r="A55" s="28" t="s">
        <v>664</v>
      </c>
      <c r="B55" s="29" t="s">
        <v>665</v>
      </c>
      <c r="C55" s="38">
        <f>IF(C56=0,0,1)</f>
        <v>1</v>
      </c>
    </row>
    <row r="56" spans="1:3" s="37" customFormat="1" hidden="1" x14ac:dyDescent="0.15">
      <c r="A56" s="28" t="s">
        <v>666</v>
      </c>
      <c r="B56" s="29" t="s">
        <v>667</v>
      </c>
      <c r="C56" s="38">
        <f>C2*C3*ROUNDUP(C6/8,0)+C45*32-(C7-36)*C54</f>
        <v>1128</v>
      </c>
    </row>
    <row r="57" spans="1:3" s="37" customFormat="1" ht="27" hidden="1" x14ac:dyDescent="0.15">
      <c r="A57" s="28" t="s">
        <v>668</v>
      </c>
      <c r="B57" s="29" t="s">
        <v>669</v>
      </c>
      <c r="C57" s="38">
        <f>IF(C56&lt;C53,C53,C56)</f>
        <v>1128</v>
      </c>
    </row>
    <row r="58" spans="1:3" s="37" customFormat="1" ht="27" hidden="1" x14ac:dyDescent="0.15">
      <c r="A58" s="28" t="s">
        <v>670</v>
      </c>
      <c r="B58" s="29" t="s">
        <v>671</v>
      </c>
      <c r="C58" s="38">
        <v>98</v>
      </c>
    </row>
    <row r="59" spans="1:3" s="37" customFormat="1" ht="27" hidden="1" x14ac:dyDescent="0.15">
      <c r="A59" s="28" t="s">
        <v>672</v>
      </c>
      <c r="B59" s="29" t="s">
        <v>673</v>
      </c>
      <c r="C59" s="38">
        <v>72</v>
      </c>
    </row>
    <row r="60" spans="1:3" s="37" customFormat="1" ht="27" hidden="1" x14ac:dyDescent="0.15">
      <c r="A60" s="28" t="s">
        <v>674</v>
      </c>
      <c r="B60" s="29" t="s">
        <v>675</v>
      </c>
      <c r="C60" s="38">
        <f>C54*(C7+C52)+C55*(C57+C51+C52)</f>
        <v>2401588</v>
      </c>
    </row>
    <row r="61" spans="1:3" s="37" customFormat="1" hidden="1" x14ac:dyDescent="0.15">
      <c r="A61" s="28" t="s">
        <v>676</v>
      </c>
      <c r="B61" s="29" t="s">
        <v>677</v>
      </c>
      <c r="C61" s="38">
        <f>(2+C54+C55)*(C8+C46)</f>
        <v>18912</v>
      </c>
    </row>
    <row r="62" spans="1:3" s="37" customFormat="1" hidden="1" x14ac:dyDescent="0.15">
      <c r="A62" s="28" t="s">
        <v>678</v>
      </c>
      <c r="B62" s="29" t="s">
        <v>679</v>
      </c>
      <c r="C62" s="38">
        <f>C58+C59+C60+C61</f>
        <v>2420670</v>
      </c>
    </row>
    <row r="63" spans="1:3" s="37" customFormat="1" hidden="1" x14ac:dyDescent="0.15">
      <c r="A63" s="28" t="s">
        <v>680</v>
      </c>
      <c r="B63" s="29" t="s">
        <v>681</v>
      </c>
      <c r="C63" s="38">
        <f>ROUNDDOWN(C12*(100-C13)/80,0)</f>
        <v>1125</v>
      </c>
    </row>
    <row r="64" spans="1:3" s="37" customFormat="1" ht="27" hidden="1" x14ac:dyDescent="0.15">
      <c r="A64" s="28" t="s">
        <v>682</v>
      </c>
      <c r="B64" s="29" t="s">
        <v>683</v>
      </c>
      <c r="C64" s="38">
        <f>INT(C62/C63)*10</f>
        <v>21510</v>
      </c>
    </row>
    <row r="65" spans="1:3" s="37" customFormat="1" ht="27" hidden="1" x14ac:dyDescent="0.15">
      <c r="A65" s="28" t="s">
        <v>684</v>
      </c>
      <c r="B65" s="29" t="s">
        <v>685</v>
      </c>
      <c r="C65" s="38">
        <f>INT((C50+C47+C48)/C33)*10</f>
        <v>19200</v>
      </c>
    </row>
    <row r="66" spans="1:3" s="37" customFormat="1" hidden="1" x14ac:dyDescent="0.15">
      <c r="A66" s="29" t="s">
        <v>686</v>
      </c>
      <c r="B66" s="29"/>
      <c r="C66" s="38">
        <f>MAX(C64,C65)</f>
        <v>21510</v>
      </c>
    </row>
    <row r="67" spans="1:3" s="37" customFormat="1" hidden="1" x14ac:dyDescent="0.15">
      <c r="A67" s="29" t="s">
        <v>687</v>
      </c>
      <c r="B67" s="29"/>
      <c r="C67" s="38">
        <f xml:space="preserve"> ROUNDDOWN((1000000/C10)*C11,0)</f>
        <v>0</v>
      </c>
    </row>
    <row r="68" spans="1:3" s="37" customFormat="1" hidden="1" x14ac:dyDescent="0.15">
      <c r="A68" s="29" t="s">
        <v>688</v>
      </c>
      <c r="B68" s="29"/>
      <c r="C68" s="38">
        <f>IF(C11=1,MAX(C43,C44,C66,C67),MAX(C43,C44,C66))</f>
        <v>21510</v>
      </c>
    </row>
    <row r="69" spans="1:3" s="37" customFormat="1" hidden="1" x14ac:dyDescent="0.15">
      <c r="A69" s="29">
        <v>0</v>
      </c>
      <c r="B69" s="29"/>
      <c r="C69" s="38">
        <f>ROUND(1000000/C68,2)</f>
        <v>46.49</v>
      </c>
    </row>
    <row r="70" spans="1:3" s="37" customFormat="1" hidden="1" x14ac:dyDescent="0.15">
      <c r="A70" s="29" t="s">
        <v>689</v>
      </c>
      <c r="B70" s="29"/>
      <c r="C70" s="38">
        <f>12500*C12*(100-C13)</f>
        <v>1125000000</v>
      </c>
    </row>
    <row r="71" spans="1:3" s="37" customFormat="1" hidden="1" x14ac:dyDescent="0.15">
      <c r="A71" s="29" t="s">
        <v>690</v>
      </c>
      <c r="B71" s="29"/>
      <c r="C71" s="38">
        <f>IF((ROUNDDOWN((C70-(62+C7-36)*C54-62-C56-170+C45*24)/(C54+3),0)-12)&gt;180000,180000,ROUNDDOWN((C70-(62+C7-36)*C54-62-C56-168+C45*24)/(C54+3),0)-12)</f>
        <v>180000</v>
      </c>
    </row>
    <row r="72" spans="1:3" s="37" customFormat="1" hidden="1" x14ac:dyDescent="0.15">
      <c r="A72" s="29" t="s">
        <v>58</v>
      </c>
      <c r="B72" s="29"/>
      <c r="C72" s="38">
        <f>((62+(C7-36))*C54+62+C56+170)+(C8+12)*(C54+3)</f>
        <v>2420670</v>
      </c>
    </row>
    <row r="73" spans="1:3" s="37" customFormat="1" hidden="1" x14ac:dyDescent="0.15">
      <c r="A73" s="29" t="s">
        <v>689</v>
      </c>
      <c r="B73" s="29"/>
      <c r="C73" s="38">
        <f>1250000*C12</f>
        <v>1250000000</v>
      </c>
    </row>
    <row r="74" spans="1:3" s="37" customFormat="1" hidden="1" x14ac:dyDescent="0.15">
      <c r="A74" s="29" t="s">
        <v>691</v>
      </c>
      <c r="B74" s="29"/>
      <c r="C74" s="38">
        <f>IF((100-ROUNDDOWN(C72*10/(C73/10),0)-1)&lt;0,0,(100-ROUNDDOWN(C72*10/(C73/10),0)-1))</f>
        <v>99</v>
      </c>
    </row>
    <row r="75" spans="1:3" s="37" customFormat="1" hidden="1" x14ac:dyDescent="0.15">
      <c r="A75" s="29" t="s">
        <v>692</v>
      </c>
      <c r="B75" s="29"/>
      <c r="C75" s="38">
        <f>ROUNDDOWN((C70-(62+C7-36)*C54-62-C56-170+C45*24)/(C54+3),0)-12</f>
        <v>712296</v>
      </c>
    </row>
    <row r="76" spans="1:3" s="37" customFormat="1" hidden="1" x14ac:dyDescent="0.15">
      <c r="A76" s="29" t="s">
        <v>693</v>
      </c>
      <c r="B76" s="29"/>
      <c r="C76" s="38">
        <f>ROUNDDOWN(ROUNDDOWN(ROUNDDOWN(ROUNDDOWN(C2*ROUNDDOWN(1000000000/C68,0)/10,0)*ROUNDUP(C6/8,0)/10,0)*C3/10,0)*10/(100-C13),0)*10</f>
        <v>119014400</v>
      </c>
    </row>
    <row r="77" spans="1:3" s="37" customFormat="1" hidden="1" x14ac:dyDescent="0.15">
      <c r="A77" s="29"/>
      <c r="B77" s="29"/>
      <c r="C77" s="38"/>
    </row>
    <row r="78" spans="1:3" s="37" customFormat="1" ht="14.25" x14ac:dyDescent="0.15">
      <c r="A78" s="30" t="s">
        <v>694</v>
      </c>
      <c r="B78" s="30"/>
      <c r="C78" s="39"/>
    </row>
    <row r="79" spans="1:3" s="37" customFormat="1" ht="14.25" x14ac:dyDescent="0.15">
      <c r="A79" s="30" t="s">
        <v>695</v>
      </c>
      <c r="B79" s="30" t="s">
        <v>699</v>
      </c>
      <c r="C79" s="39">
        <f>C69</f>
        <v>46.49</v>
      </c>
    </row>
    <row r="80" spans="1:3" s="37" customFormat="1" hidden="1" x14ac:dyDescent="0.15">
      <c r="A80" s="28" t="s">
        <v>696</v>
      </c>
      <c r="B80" s="29"/>
      <c r="C80" s="29">
        <f>C43</f>
        <v>20708</v>
      </c>
    </row>
    <row r="81" spans="1:3" s="37" customFormat="1" hidden="1" x14ac:dyDescent="0.15">
      <c r="A81" s="28" t="s">
        <v>697</v>
      </c>
      <c r="B81" s="29"/>
      <c r="C81" s="29">
        <f>C44</f>
        <v>20119</v>
      </c>
    </row>
    <row r="82" spans="1:3" s="37" customFormat="1" hidden="1" x14ac:dyDescent="0.15">
      <c r="A82" s="29" t="s">
        <v>698</v>
      </c>
      <c r="B82" s="29"/>
      <c r="C82" s="29">
        <f>C67</f>
        <v>0</v>
      </c>
    </row>
    <row r="83" spans="1:3" s="37" customFormat="1" hidden="1" x14ac:dyDescent="0.15">
      <c r="A83" s="29" t="s">
        <v>686</v>
      </c>
      <c r="B83" s="29"/>
      <c r="C83" s="29">
        <f>C66</f>
        <v>21510</v>
      </c>
    </row>
    <row r="84" spans="1:3" s="40" customFormat="1" x14ac:dyDescent="0.15"/>
    <row r="85" spans="1:3" s="40" customFormat="1" x14ac:dyDescent="0.15"/>
  </sheetData>
  <sheetProtection algorithmName="SHA-512" hashValue="XCCiKpNaPimcXwTSUPUHz1L+EjpsfK1KD7IMUzB2zUOR99nr5kbIgko+EpSP090JkptohizOhgKluSlfG1zwIw==" saltValue="XY9+SFY9MY9CsTTuRCIOcw==" spinCount="100000" sheet="1" objects="1" scenarios="1"/>
  <dataConsolidate/>
  <phoneticPr fontId="1" type="noConversion"/>
  <dataValidations count="12">
    <dataValidation allowBlank="1" showInputMessage="1" showErrorMessage="1" error="输入范围是64~1024，步长为2" sqref="A1:C1"/>
    <dataValidation type="whole" allowBlank="1" showInputMessage="1" showErrorMessage="1" errorTitle="Input parameter error" error="Input range:[1, 1000000]" sqref="C4">
      <formula1>1</formula1>
      <formula2>1000000</formula2>
    </dataValidation>
    <dataValidation type="whole" allowBlank="1" showInputMessage="1" showErrorMessage="1" error="输入范围是0~5000" sqref="C5">
      <formula1>0</formula1>
      <formula2>5000</formula2>
    </dataValidation>
    <dataValidation type="custom" allowBlank="1" showInputMessage="1" showErrorMessage="1" errorTitle="Input parameter error" error="Input range:[0.1, 10000]" sqref="C10">
      <formula1>AND(TRUNC(C10,1)=C10,(C10&gt;=0.1),(C10&lt;=10000))</formula1>
    </dataValidation>
    <dataValidation type="list" allowBlank="1" showInputMessage="1" showErrorMessage="1" errorTitle="Input parameter error" error="Input 0 or 1" sqref="C11">
      <formula1>"0,1"</formula1>
    </dataValidation>
    <dataValidation type="custom" allowBlank="1" showInputMessage="1" showErrorMessage="1" errorTitle="Input parameter error" error="Input 1000 or 100" sqref="C12">
      <formula1>OR((C12=1000),(C12=100))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list" allowBlank="1" showInputMessage="1" showErrorMessage="1" errorTitle="Input parameter error" error="Input 8 or 10" sqref="C6">
      <formula1>"8,10"</formula1>
    </dataValidation>
    <dataValidation type="custom" allowBlank="1" showInputMessage="1" showErrorMessage="1" errorTitle="Input parameter error" error="Input range:[64, 1200],and is an integer multiple of 2" sqref="C3">
      <formula1>AND((C3&lt;=1200),(C3&gt;=64),(MOD(C3,2)=0))</formula1>
    </dataValidation>
    <dataValidation type="custom" allowBlank="1" showInputMessage="1" showErrorMessage="1" errorTitle="Input parameter error" error="Input range:[64, 1920],and is an integer multiple of 32" sqref="C2">
      <formula1>AND((C2&lt;=1920),(C2&gt;=64),(MOD(C2,32)=0))</formula1>
    </dataValidation>
    <dataValidation type="whole" allowBlank="1" showInputMessage="1" showErrorMessage="1" errorTitle="Input parameter error" error="Input range:[0, 'BandwidthReserveMaxValue'], and is an integer multiple of 1" sqref="C13">
      <formula1>0</formula1>
      <formula2>C14</formula2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C9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B1" zoomScaleNormal="100" workbookViewId="0">
      <selection activeCell="D8" sqref="D8"/>
    </sheetView>
  </sheetViews>
  <sheetFormatPr defaultRowHeight="13.5" x14ac:dyDescent="0.15"/>
  <cols>
    <col min="1" max="1" width="12.875" style="41" hidden="1" customWidth="1"/>
    <col min="2" max="2" width="29.375" style="41" customWidth="1"/>
    <col min="3" max="3" width="14.75" style="41" customWidth="1"/>
    <col min="4" max="4" width="14.125" style="41" customWidth="1"/>
    <col min="5" max="5" width="17.375" style="41" customWidth="1"/>
    <col min="6" max="16384" width="9" style="41"/>
  </cols>
  <sheetData>
    <row r="1" spans="1:3" s="42" customFormat="1" x14ac:dyDescent="0.15">
      <c r="A1" s="47" t="s">
        <v>762</v>
      </c>
      <c r="B1" s="47"/>
      <c r="C1" s="48"/>
    </row>
    <row r="2" spans="1:3" s="42" customFormat="1" x14ac:dyDescent="0.15">
      <c r="A2" s="47" t="s">
        <v>761</v>
      </c>
      <c r="B2" s="47" t="s">
        <v>722</v>
      </c>
      <c r="C2" s="48">
        <v>5496</v>
      </c>
    </row>
    <row r="3" spans="1:3" s="42" customFormat="1" x14ac:dyDescent="0.15">
      <c r="A3" s="47" t="s">
        <v>760</v>
      </c>
      <c r="B3" s="47" t="s">
        <v>721</v>
      </c>
      <c r="C3" s="48">
        <v>3672</v>
      </c>
    </row>
    <row r="4" spans="1:3" s="42" customFormat="1" x14ac:dyDescent="0.15">
      <c r="A4" s="47" t="s">
        <v>759</v>
      </c>
      <c r="B4" s="47" t="s">
        <v>720</v>
      </c>
      <c r="C4" s="48">
        <v>60000</v>
      </c>
    </row>
    <row r="5" spans="1:3" s="42" customFormat="1" x14ac:dyDescent="0.15">
      <c r="A5" s="47" t="s">
        <v>758</v>
      </c>
      <c r="B5" s="47" t="s">
        <v>719</v>
      </c>
      <c r="C5" s="48">
        <v>8</v>
      </c>
    </row>
    <row r="6" spans="1:3" s="42" customFormat="1" x14ac:dyDescent="0.15">
      <c r="A6" s="47" t="s">
        <v>757</v>
      </c>
      <c r="B6" s="47" t="s">
        <v>11</v>
      </c>
      <c r="C6" s="48">
        <v>1500</v>
      </c>
    </row>
    <row r="7" spans="1:3" s="42" customFormat="1" x14ac:dyDescent="0.15">
      <c r="A7" s="47" t="s">
        <v>756</v>
      </c>
      <c r="B7" s="47" t="s">
        <v>12</v>
      </c>
      <c r="C7" s="48">
        <v>0</v>
      </c>
    </row>
    <row r="8" spans="1:3" s="42" customFormat="1" x14ac:dyDescent="0.15">
      <c r="A8" s="47" t="s">
        <v>755</v>
      </c>
      <c r="B8" s="47" t="s">
        <v>718</v>
      </c>
      <c r="C8" s="47">
        <f>C48</f>
        <v>80054</v>
      </c>
    </row>
    <row r="9" spans="1:3" s="42" customFormat="1" x14ac:dyDescent="0.15">
      <c r="A9" s="47" t="s">
        <v>754</v>
      </c>
      <c r="B9" s="47" t="s">
        <v>717</v>
      </c>
      <c r="C9" s="48">
        <v>1000</v>
      </c>
    </row>
    <row r="10" spans="1:3" s="42" customFormat="1" x14ac:dyDescent="0.15">
      <c r="A10" s="47" t="s">
        <v>753</v>
      </c>
      <c r="B10" s="47" t="s">
        <v>28</v>
      </c>
      <c r="C10" s="48">
        <v>10</v>
      </c>
    </row>
    <row r="11" spans="1:3" s="42" customFormat="1" x14ac:dyDescent="0.15">
      <c r="A11" s="47" t="s">
        <v>752</v>
      </c>
      <c r="B11" s="47" t="s">
        <v>716</v>
      </c>
      <c r="C11" s="47">
        <f>C51</f>
        <v>98</v>
      </c>
    </row>
    <row r="12" spans="1:3" s="42" customFormat="1" x14ac:dyDescent="0.15">
      <c r="A12" s="47" t="s">
        <v>751</v>
      </c>
      <c r="B12" s="48" t="s">
        <v>715</v>
      </c>
      <c r="C12" s="48">
        <v>0</v>
      </c>
    </row>
    <row r="13" spans="1:3" s="42" customFormat="1" ht="15" customHeight="1" x14ac:dyDescent="0.15">
      <c r="A13" s="47" t="s">
        <v>750</v>
      </c>
      <c r="B13" s="47" t="s">
        <v>714</v>
      </c>
      <c r="C13" s="48">
        <v>5</v>
      </c>
    </row>
    <row r="14" spans="1:3" s="42" customFormat="1" x14ac:dyDescent="0.15">
      <c r="A14" s="47" t="s">
        <v>749</v>
      </c>
      <c r="B14" s="47" t="s">
        <v>713</v>
      </c>
      <c r="C14" s="48">
        <v>0</v>
      </c>
    </row>
    <row r="15" spans="1:3" s="42" customFormat="1" ht="13.5" customHeight="1" x14ac:dyDescent="0.15">
      <c r="A15" s="47"/>
      <c r="B15" s="47"/>
      <c r="C15" s="47"/>
    </row>
    <row r="16" spans="1:3" s="42" customFormat="1" ht="13.5" hidden="1" customHeight="1" x14ac:dyDescent="0.15">
      <c r="A16" s="46" t="s">
        <v>748</v>
      </c>
      <c r="B16" s="46" t="s">
        <v>712</v>
      </c>
      <c r="C16" s="46">
        <v>72000</v>
      </c>
    </row>
    <row r="17" spans="1:3" s="42" customFormat="1" ht="13.5" hidden="1" customHeight="1" x14ac:dyDescent="0.15">
      <c r="A17" s="46" t="s">
        <v>747</v>
      </c>
      <c r="B17" s="46" t="s">
        <v>711</v>
      </c>
      <c r="C17" s="46">
        <v>2232</v>
      </c>
    </row>
    <row r="18" spans="1:3" s="42" customFormat="1" ht="13.5" hidden="1" customHeight="1" x14ac:dyDescent="0.15">
      <c r="A18" s="46" t="s">
        <v>746</v>
      </c>
      <c r="B18" s="46" t="s">
        <v>710</v>
      </c>
      <c r="C18" s="46">
        <f>ROUNDUP(C17*(1000000/C16),0)</f>
        <v>31000</v>
      </c>
    </row>
    <row r="19" spans="1:3" s="42" customFormat="1" ht="13.5" hidden="1" customHeight="1" x14ac:dyDescent="0.15">
      <c r="A19" s="46" t="s">
        <v>745</v>
      </c>
      <c r="B19" s="46" t="s">
        <v>709</v>
      </c>
      <c r="C19" s="46">
        <v>38</v>
      </c>
    </row>
    <row r="20" spans="1:3" s="42" customFormat="1" ht="27" hidden="1" customHeight="1" x14ac:dyDescent="0.15">
      <c r="A20" s="46" t="s">
        <v>744</v>
      </c>
      <c r="B20" s="46" t="s">
        <v>708</v>
      </c>
      <c r="C20" s="46">
        <v>33</v>
      </c>
    </row>
    <row r="21" spans="1:3" s="42" customFormat="1" ht="54" hidden="1" customHeight="1" x14ac:dyDescent="0.15">
      <c r="A21" s="46" t="s">
        <v>743</v>
      </c>
      <c r="B21" s="46" t="s">
        <v>707</v>
      </c>
      <c r="C21" s="46">
        <v>17</v>
      </c>
    </row>
    <row r="22" spans="1:3" s="42" customFormat="1" ht="13.5" hidden="1" customHeight="1" x14ac:dyDescent="0.15">
      <c r="A22" s="46" t="s">
        <v>706</v>
      </c>
      <c r="B22" s="46" t="s">
        <v>706</v>
      </c>
      <c r="C22" s="46">
        <v>8</v>
      </c>
    </row>
    <row r="23" spans="1:3" s="42" customFormat="1" ht="27" hidden="1" customHeight="1" x14ac:dyDescent="0.15">
      <c r="A23" s="46" t="s">
        <v>742</v>
      </c>
      <c r="B23" s="46" t="s">
        <v>705</v>
      </c>
      <c r="C23" s="46">
        <v>2000</v>
      </c>
    </row>
    <row r="24" spans="1:3" s="42" customFormat="1" ht="13.5" hidden="1" customHeight="1" x14ac:dyDescent="0.15">
      <c r="A24" s="46" t="s">
        <v>741</v>
      </c>
      <c r="B24" s="46" t="s">
        <v>704</v>
      </c>
      <c r="C24" s="46">
        <v>1010</v>
      </c>
    </row>
    <row r="25" spans="1:3" s="42" customFormat="1" ht="13.5" hidden="1" customHeight="1" x14ac:dyDescent="0.15">
      <c r="A25" s="46" t="s">
        <v>740</v>
      </c>
      <c r="B25" s="46" t="s">
        <v>703</v>
      </c>
      <c r="C25" s="46">
        <v>1848</v>
      </c>
    </row>
    <row r="26" spans="1:3" s="42" customFormat="1" ht="13.5" hidden="1" customHeight="1" x14ac:dyDescent="0.15">
      <c r="A26" s="46" t="s">
        <v>739</v>
      </c>
      <c r="B26" s="47"/>
      <c r="C26" s="44">
        <v>16</v>
      </c>
    </row>
    <row r="27" spans="1:3" s="42" customFormat="1" ht="13.5" hidden="1" customHeight="1" x14ac:dyDescent="0.15">
      <c r="A27" s="46" t="s">
        <v>738</v>
      </c>
      <c r="B27" s="44"/>
      <c r="C27" s="44">
        <f>C20+MAX(MAX(C3,C25)+C19-C20,2 + C21)</f>
        <v>3710</v>
      </c>
    </row>
    <row r="28" spans="1:3" s="42" customFormat="1" ht="13.5" hidden="1" customHeight="1" x14ac:dyDescent="0.15">
      <c r="A28" s="46" t="s">
        <v>737</v>
      </c>
      <c r="B28" s="44"/>
      <c r="C28" s="44">
        <f>ROUNDDOWN(1000000000/C13/C18,0)*C14</f>
        <v>0</v>
      </c>
    </row>
    <row r="29" spans="1:3" s="42" customFormat="1" ht="13.5" hidden="1" customHeight="1" x14ac:dyDescent="0.15">
      <c r="A29" s="46" t="s">
        <v>736</v>
      </c>
      <c r="B29" s="44"/>
      <c r="C29" s="44">
        <f>ROUNDUP(C4*1000/C18,0)+C22</f>
        <v>1944</v>
      </c>
    </row>
    <row r="30" spans="1:3" s="42" customFormat="1" ht="13.5" hidden="1" customHeight="1" x14ac:dyDescent="0.15">
      <c r="A30" s="46" t="s">
        <v>735</v>
      </c>
      <c r="B30" s="44"/>
      <c r="C30" s="44">
        <f>C27+C29+C26</f>
        <v>5670</v>
      </c>
    </row>
    <row r="31" spans="1:3" s="42" customFormat="1" ht="13.5" hidden="1" customHeight="1" x14ac:dyDescent="0.15">
      <c r="A31" s="46"/>
      <c r="B31" s="44"/>
      <c r="C31" s="44"/>
    </row>
    <row r="32" spans="1:3" s="42" customFormat="1" ht="13.5" hidden="1" customHeight="1" x14ac:dyDescent="0.15">
      <c r="A32" s="46" t="s">
        <v>734</v>
      </c>
      <c r="B32" s="44"/>
      <c r="C32" s="44">
        <v>0</v>
      </c>
    </row>
    <row r="33" spans="1:3" s="42" customFormat="1" ht="13.5" hidden="1" customHeight="1" x14ac:dyDescent="0.15">
      <c r="A33" s="46" t="s">
        <v>733</v>
      </c>
      <c r="B33" s="44"/>
      <c r="C33" s="44">
        <f>C2*C3*IF(C5=8,1,2)+C32*32</f>
        <v>20181312</v>
      </c>
    </row>
    <row r="34" spans="1:3" s="42" customFormat="1" ht="13.5" hidden="1" customHeight="1" x14ac:dyDescent="0.15">
      <c r="A34" s="46" t="s">
        <v>529</v>
      </c>
      <c r="B34" s="44"/>
      <c r="C34" s="44">
        <f>INT(C33/(C6-36))</f>
        <v>13785</v>
      </c>
    </row>
    <row r="35" spans="1:3" s="42" customFormat="1" ht="13.5" hidden="1" customHeight="1" x14ac:dyDescent="0.15">
      <c r="A35" s="46" t="s">
        <v>533</v>
      </c>
      <c r="B35" s="44"/>
      <c r="C35" s="44">
        <f>IF((C33-(C6-36)*C34)&lt; 64, 64,(C33-(C6-36)*C34))</f>
        <v>72</v>
      </c>
    </row>
    <row r="36" spans="1:3" s="42" customFormat="1" ht="13.5" hidden="1" customHeight="1" x14ac:dyDescent="0.15">
      <c r="A36" s="46" t="s">
        <v>531</v>
      </c>
      <c r="B36" s="44"/>
      <c r="C36" s="44">
        <f>IF(C35=0,0,1)</f>
        <v>1</v>
      </c>
    </row>
    <row r="37" spans="1:3" s="42" customFormat="1" ht="13.5" hidden="1" customHeight="1" x14ac:dyDescent="0.15">
      <c r="A37" s="46" t="s">
        <v>515</v>
      </c>
      <c r="B37" s="44"/>
      <c r="C37" s="44">
        <f>IF(C32=0,36,12)</f>
        <v>36</v>
      </c>
    </row>
    <row r="38" spans="1:3" s="42" customFormat="1" ht="40.5" hidden="1" customHeight="1" x14ac:dyDescent="0.15">
      <c r="A38" s="46" t="s">
        <v>732</v>
      </c>
      <c r="B38" s="44"/>
      <c r="C38" s="44">
        <f>C34*(C6+26)+C36*(C35+26+36)</f>
        <v>21036044</v>
      </c>
    </row>
    <row r="39" spans="1:3" s="42" customFormat="1" ht="13.5" hidden="1" customHeight="1" x14ac:dyDescent="0.15">
      <c r="A39" s="46" t="s">
        <v>543</v>
      </c>
      <c r="B39" s="44"/>
      <c r="C39" s="44">
        <f>(2+C36+C34)*(C7+12)</f>
        <v>165456</v>
      </c>
    </row>
    <row r="40" spans="1:3" s="42" customFormat="1" ht="13.5" hidden="1" customHeight="1" x14ac:dyDescent="0.15">
      <c r="A40" s="46" t="s">
        <v>545</v>
      </c>
      <c r="B40" s="44"/>
      <c r="C40" s="44">
        <f>C38+C39+170-24*C32</f>
        <v>21201670</v>
      </c>
    </row>
    <row r="41" spans="1:3" s="42" customFormat="1" ht="13.5" hidden="1" customHeight="1" x14ac:dyDescent="0.15">
      <c r="A41" s="46" t="s">
        <v>547</v>
      </c>
      <c r="B41" s="44"/>
      <c r="C41" s="44">
        <f>INT(C9*(100-C10)/80)</f>
        <v>1125</v>
      </c>
    </row>
    <row r="42" spans="1:3" s="42" customFormat="1" ht="13.5" hidden="1" customHeight="1" x14ac:dyDescent="0.15">
      <c r="A42" s="46" t="s">
        <v>549</v>
      </c>
      <c r="B42" s="44"/>
      <c r="C42" s="44">
        <f>ROUNDUP(C40/C41*10*1000/C18,0)</f>
        <v>6080</v>
      </c>
    </row>
    <row r="43" spans="1:3" s="42" customFormat="1" ht="27" hidden="1" customHeight="1" x14ac:dyDescent="0.15">
      <c r="A43" s="46" t="s">
        <v>551</v>
      </c>
      <c r="B43" s="44"/>
      <c r="C43" s="44">
        <f>ROUNDUP((C33+C37+10)*10*1000/C24/C18,0)</f>
        <v>6446</v>
      </c>
    </row>
    <row r="44" spans="1:3" s="42" customFormat="1" ht="13.5" hidden="1" customHeight="1" x14ac:dyDescent="0.15">
      <c r="A44" s="46" t="s">
        <v>731</v>
      </c>
      <c r="B44" s="44"/>
      <c r="C44" s="44">
        <f>MAX(C42,C43)</f>
        <v>6446</v>
      </c>
    </row>
    <row r="45" spans="1:3" s="42" customFormat="1" ht="13.5" hidden="1" customHeight="1" x14ac:dyDescent="0.15">
      <c r="A45" s="46"/>
      <c r="B45" s="44"/>
      <c r="C45" s="44"/>
    </row>
    <row r="46" spans="1:3" s="42" customFormat="1" ht="13.5" hidden="1" customHeight="1" x14ac:dyDescent="0.15">
      <c r="A46" s="44"/>
      <c r="B46" s="44"/>
      <c r="C46" s="44"/>
    </row>
    <row r="47" spans="1:3" s="42" customFormat="1" ht="13.5" hidden="1" customHeight="1" x14ac:dyDescent="0.15">
      <c r="A47" s="44" t="s">
        <v>56</v>
      </c>
      <c r="B47" s="44"/>
      <c r="C47" s="44">
        <f>12500*C9*(100-C10)</f>
        <v>1125000000</v>
      </c>
    </row>
    <row r="48" spans="1:3" s="42" customFormat="1" ht="13.5" hidden="1" customHeight="1" x14ac:dyDescent="0.15">
      <c r="A48" s="44" t="s">
        <v>554</v>
      </c>
      <c r="B48" s="44"/>
      <c r="C48" s="44">
        <f>IF((ROUNDDOWN((C47-(62+C6-36)*C34-62-C35-168+C32*24)/(C34+3),0)-12)&gt;180000,180000,ROUNDDOWN((C47-(62+C6-36)*C34-62-C35-168+C32*24)/(C34+3),0)-12)</f>
        <v>80054</v>
      </c>
    </row>
    <row r="49" spans="1:4" s="42" customFormat="1" ht="13.5" hidden="1" customHeight="1" x14ac:dyDescent="0.15">
      <c r="A49" s="44" t="s">
        <v>58</v>
      </c>
      <c r="B49" s="44"/>
      <c r="C49" s="44">
        <f>((62+(C6-36))*C34+62+C35+168)+(C7+12)*(C34+3)</f>
        <v>21201668</v>
      </c>
    </row>
    <row r="50" spans="1:4" s="42" customFormat="1" ht="13.5" hidden="1" customHeight="1" x14ac:dyDescent="0.15">
      <c r="A50" s="44" t="s">
        <v>56</v>
      </c>
      <c r="B50" s="44"/>
      <c r="C50" s="44">
        <f>125000*C9</f>
        <v>125000000</v>
      </c>
    </row>
    <row r="51" spans="1:4" s="42" customFormat="1" ht="13.5" hidden="1" customHeight="1" x14ac:dyDescent="0.15">
      <c r="A51" s="44" t="s">
        <v>557</v>
      </c>
      <c r="B51" s="44"/>
      <c r="C51" s="44">
        <f>IF((100-ROUNDDOWN(C49*10/(1250000*C9/10),0)-1)&lt;0,0,(100-ROUNDDOWN(C49*10/(1250000*C9/10),0)-1))</f>
        <v>98</v>
      </c>
    </row>
    <row r="52" spans="1:4" s="42" customFormat="1" ht="13.5" hidden="1" customHeight="1" x14ac:dyDescent="0.15">
      <c r="A52" s="44"/>
      <c r="B52" s="44"/>
      <c r="C52" s="44"/>
    </row>
    <row r="53" spans="1:4" s="42" customFormat="1" ht="13.5" hidden="1" customHeight="1" x14ac:dyDescent="0.15">
      <c r="A53" s="50"/>
      <c r="B53" s="44"/>
      <c r="C53" s="44"/>
    </row>
    <row r="54" spans="1:4" s="42" customFormat="1" ht="13.5" hidden="1" customHeight="1" x14ac:dyDescent="0.15">
      <c r="A54" s="49" t="s">
        <v>730</v>
      </c>
      <c r="B54" s="44"/>
      <c r="C54" s="45" t="str">
        <f>"0x"&amp;DEC2HEX(C17)</f>
        <v>0x8B8</v>
      </c>
      <c r="D54" s="42" t="s">
        <v>702</v>
      </c>
    </row>
    <row r="55" spans="1:4" s="42" customFormat="1" ht="13.5" hidden="1" customHeight="1" x14ac:dyDescent="0.15">
      <c r="A55" s="46" t="s">
        <v>729</v>
      </c>
      <c r="B55" s="44"/>
      <c r="C55" s="44">
        <f>0</f>
        <v>0</v>
      </c>
    </row>
    <row r="56" spans="1:4" s="42" customFormat="1" ht="13.5" hidden="1" customHeight="1" x14ac:dyDescent="0.15">
      <c r="A56" s="46" t="s">
        <v>728</v>
      </c>
      <c r="B56" s="44"/>
      <c r="C56" s="45" t="str">
        <f xml:space="preserve">  "0x"&amp;DEC2HEX( ROUNDUP(C4*1000/C18,0))</f>
        <v>0x790</v>
      </c>
      <c r="D56" s="42" t="s">
        <v>701</v>
      </c>
    </row>
    <row r="57" spans="1:4" s="42" customFormat="1" ht="13.5" hidden="1" customHeight="1" x14ac:dyDescent="0.15">
      <c r="A57" s="46" t="s">
        <v>727</v>
      </c>
      <c r="B57" s="44"/>
      <c r="C57" s="45" t="str">
        <f>"0x"&amp;DEC2HEX(C59)</f>
        <v>0x192E</v>
      </c>
      <c r="D57" s="42" t="s">
        <v>700</v>
      </c>
    </row>
    <row r="58" spans="1:4" s="42" customFormat="1" ht="13.5" hidden="1" customHeight="1" x14ac:dyDescent="0.15">
      <c r="A58" s="46"/>
      <c r="B58" s="44"/>
      <c r="C58" s="45"/>
    </row>
    <row r="59" spans="1:4" s="42" customFormat="1" ht="13.5" hidden="1" customHeight="1" x14ac:dyDescent="0.15">
      <c r="A59" s="44" t="s">
        <v>726</v>
      </c>
      <c r="B59" s="44"/>
      <c r="C59" s="44">
        <f>IF(C12=0,MAX(C27,C28,C29,C44),MAX(C28,C30,C44))</f>
        <v>6446</v>
      </c>
    </row>
    <row r="60" spans="1:4" s="42" customFormat="1" ht="13.5" hidden="1" customHeight="1" x14ac:dyDescent="0.15">
      <c r="A60" s="44" t="s">
        <v>725</v>
      </c>
      <c r="B60" s="44"/>
      <c r="C60" s="44">
        <f>ROUNDUP(C59*C17/(C16/1000),0)</f>
        <v>199826</v>
      </c>
    </row>
    <row r="61" spans="1:4" s="42" customFormat="1" ht="13.5" hidden="1" customHeight="1" x14ac:dyDescent="0.15">
      <c r="A61" s="44" t="s">
        <v>559</v>
      </c>
      <c r="B61" s="44"/>
      <c r="C61" s="44">
        <f>ROUNDDOWN(ROUNDDOWN(C2*(ROUNDDOWN(1000000000/(C59*C17*10/(C16/100)),0))/10*IF(C5=8,1,2)/10*C3/10,0)*10/(100-C10)*10,0)</f>
        <v>112208094</v>
      </c>
    </row>
    <row r="62" spans="1:4" s="42" customFormat="1" ht="12.75" hidden="1" customHeight="1" x14ac:dyDescent="0.15">
      <c r="A62" s="44"/>
      <c r="B62" s="44"/>
      <c r="C62" s="44"/>
    </row>
    <row r="63" spans="1:4" s="42" customFormat="1" ht="14.25" x14ac:dyDescent="0.15">
      <c r="A63" s="43" t="s">
        <v>724</v>
      </c>
      <c r="B63" s="43"/>
      <c r="C63" s="43"/>
    </row>
    <row r="64" spans="1:4" s="42" customFormat="1" ht="14.25" x14ac:dyDescent="0.15">
      <c r="A64" s="43" t="s">
        <v>723</v>
      </c>
      <c r="B64" s="43" t="s">
        <v>763</v>
      </c>
      <c r="C64" s="43">
        <f>ROUND(1000000/C60,2)</f>
        <v>5</v>
      </c>
    </row>
  </sheetData>
  <sheetProtection algorithmName="SHA-512" hashValue="vhe8aH8GNLCaJRCbGPK+zLI46xehrGDixeMNxmycTz2HJw5kJEFXNRgxQXvN8BUTxjDJNIeRtHfLBrdCjSWlTA==" saltValue="yt1oMSWyVlARvk6747Er7Q==" spinCount="100000" sheet="1" objects="1" scenarios="1"/>
  <dataConsolidate/>
  <phoneticPr fontId="1" type="noConversion"/>
  <dataValidations count="13">
    <dataValidation type="list" allowBlank="1" showErrorMessage="1" errorTitle="Input parameter error" error="Input 0 or 1" prompt="应在包间隔范围内" sqref="C14">
      <formula1>"0,1"</formula1>
    </dataValidation>
    <dataValidation type="whole" allowBlank="1" showErrorMessage="1" error="设置值超过最大值" prompt="应在包间隔范围内" sqref="C8">
      <formula1>0</formula1>
      <formula2>C48</formula2>
    </dataValidation>
    <dataValidation type="whole" allowBlank="1" showInputMessage="1" showErrorMessage="1" errorTitle="Input parameter error" error="Input range:[31, 1000000]" sqref="C4">
      <formula1>31</formula1>
      <formula2>1000000</formula2>
    </dataValidation>
    <dataValidation type="custom" allowBlank="1" showErrorMessage="1" errorTitle="Input parameter error" error="Input range:[0.1, 10000]" prompt="应在包间隔范围内" sqref="C13">
      <formula1>AND(TRUNC(C13,1)=C13,(C13&gt;0),(C13&lt;=10000))</formula1>
    </dataValidation>
    <dataValidation type="whole" allowBlank="1" error="设置值超过包间隔范围" prompt="设置值应在预留带宽范围内" sqref="C11">
      <formula1>0</formula1>
      <formula2>C51</formula2>
    </dataValidation>
    <dataValidation type="whole" allowBlank="1" showInputMessage="1" showErrorMessage="1" errorTitle="Input parameter error" error="Input range:[0, 'GevSCPDMaxValue'], and is an integer multiple of 1" sqref="C7">
      <formula1>0</formula1>
      <formula2>C8</formula2>
    </dataValidation>
    <dataValidation type="whole" allowBlank="1" showInputMessage="1" showErrorMessage="1" errorTitle="Input parameter error" error="Input range:[0, 'BandwidthReserveMaxValue'], and is an integer multiple of 1" sqref="C10">
      <formula1>0</formula1>
      <formula2>C11</formula2>
    </dataValidation>
    <dataValidation type="custom" allowBlank="1" showInputMessage="1" showErrorMessage="1" errorTitle="Input parameter error" error="Input range:[64, 5496],and is an integer multiple of 4" sqref="C2">
      <formula1>AND((C2&lt;=5496),(C2&gt;=64),(MOD(C2,4)=0))</formula1>
    </dataValidation>
    <dataValidation type="custom" allowBlank="1" showInputMessage="1" showErrorMessage="1" errorTitle="Input parameter error" error="Input range:[64, 3672],and is an integer multiple of 2" sqref="C3">
      <formula1>AND((C3&lt;=3672),(C3&gt;=64),(MOD(C3,2)=0))</formula1>
    </dataValidation>
    <dataValidation type="list" allowBlank="1" showInputMessage="1" showErrorMessage="1" errorTitle="Input parameter error" error="Input 8 or 12" sqref="C5">
      <formula1>"8,12"</formula1>
    </dataValidation>
    <dataValidation type="custom" allowBlank="1" showInputMessage="1" showErrorMessage="1" errorTitle="Input parameter error" error="Input range:[512, 8192],and is an integer multiple of 4" sqref="C6">
      <formula1>AND((C6&lt;=8192),(C6&gt;=512),(MOD(C6,4)=0))</formula1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list" allowBlank="1" showErrorMessage="1" errorTitle="Input parameter error" error="Input 0 or 1" prompt="应在包间隔范围内" sqref="C12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B1" zoomScaleNormal="100" workbookViewId="0">
      <selection activeCell="C10" sqref="C10"/>
    </sheetView>
  </sheetViews>
  <sheetFormatPr defaultRowHeight="13.5" x14ac:dyDescent="0.15"/>
  <cols>
    <col min="1" max="1" width="21.25" style="41" hidden="1" customWidth="1"/>
    <col min="2" max="2" width="23.375" style="41" customWidth="1"/>
    <col min="3" max="3" width="14.75" style="41" customWidth="1"/>
    <col min="4" max="4" width="14.125" style="41" customWidth="1"/>
    <col min="5" max="5" width="17.375" style="41" customWidth="1"/>
    <col min="6" max="16384" width="9" style="41"/>
  </cols>
  <sheetData>
    <row r="1" spans="1:3" s="42" customFormat="1" x14ac:dyDescent="0.15">
      <c r="A1" s="47" t="s">
        <v>762</v>
      </c>
      <c r="B1" s="47"/>
      <c r="C1" s="48"/>
    </row>
    <row r="2" spans="1:3" s="42" customFormat="1" x14ac:dyDescent="0.15">
      <c r="A2" s="47" t="s">
        <v>761</v>
      </c>
      <c r="B2" s="47" t="s">
        <v>722</v>
      </c>
      <c r="C2" s="48">
        <v>3088</v>
      </c>
    </row>
    <row r="3" spans="1:3" s="42" customFormat="1" x14ac:dyDescent="0.15">
      <c r="A3" s="47" t="s">
        <v>760</v>
      </c>
      <c r="B3" s="47" t="s">
        <v>721</v>
      </c>
      <c r="C3" s="48">
        <v>2064</v>
      </c>
    </row>
    <row r="4" spans="1:3" s="42" customFormat="1" x14ac:dyDescent="0.15">
      <c r="A4" s="47" t="s">
        <v>759</v>
      </c>
      <c r="B4" s="47" t="s">
        <v>720</v>
      </c>
      <c r="C4" s="48">
        <v>50000</v>
      </c>
    </row>
    <row r="5" spans="1:3" s="42" customFormat="1" x14ac:dyDescent="0.15">
      <c r="A5" s="47" t="s">
        <v>758</v>
      </c>
      <c r="B5" s="47" t="s">
        <v>719</v>
      </c>
      <c r="C5" s="48">
        <v>8</v>
      </c>
    </row>
    <row r="6" spans="1:3" s="42" customFormat="1" x14ac:dyDescent="0.15">
      <c r="A6" s="47" t="s">
        <v>757</v>
      </c>
      <c r="B6" s="47" t="s">
        <v>11</v>
      </c>
      <c r="C6" s="48">
        <v>1500</v>
      </c>
    </row>
    <row r="7" spans="1:3" s="42" customFormat="1" x14ac:dyDescent="0.15">
      <c r="A7" s="47" t="s">
        <v>756</v>
      </c>
      <c r="B7" s="47" t="s">
        <v>12</v>
      </c>
      <c r="C7" s="48">
        <v>0</v>
      </c>
    </row>
    <row r="8" spans="1:3" s="42" customFormat="1" x14ac:dyDescent="0.15">
      <c r="A8" s="47" t="s">
        <v>755</v>
      </c>
      <c r="B8" s="47" t="s">
        <v>718</v>
      </c>
      <c r="C8" s="47">
        <f>C48</f>
        <v>180000</v>
      </c>
    </row>
    <row r="9" spans="1:3" s="42" customFormat="1" x14ac:dyDescent="0.15">
      <c r="A9" s="47" t="s">
        <v>754</v>
      </c>
      <c r="B9" s="47" t="s">
        <v>717</v>
      </c>
      <c r="C9" s="48">
        <v>1000</v>
      </c>
    </row>
    <row r="10" spans="1:3" s="42" customFormat="1" x14ac:dyDescent="0.15">
      <c r="A10" s="47" t="s">
        <v>753</v>
      </c>
      <c r="B10" s="47" t="s">
        <v>28</v>
      </c>
      <c r="C10" s="48">
        <v>10</v>
      </c>
    </row>
    <row r="11" spans="1:3" s="42" customFormat="1" x14ac:dyDescent="0.15">
      <c r="A11" s="47" t="s">
        <v>752</v>
      </c>
      <c r="B11" s="47" t="s">
        <v>716</v>
      </c>
      <c r="C11" s="47">
        <f>C52</f>
        <v>99</v>
      </c>
    </row>
    <row r="12" spans="1:3" s="42" customFormat="1" x14ac:dyDescent="0.15">
      <c r="A12" s="47" t="s">
        <v>751</v>
      </c>
      <c r="B12" s="48" t="s">
        <v>715</v>
      </c>
      <c r="C12" s="48">
        <v>0</v>
      </c>
    </row>
    <row r="13" spans="1:3" s="42" customFormat="1" ht="15" customHeight="1" x14ac:dyDescent="0.15">
      <c r="A13" s="47" t="s">
        <v>750</v>
      </c>
      <c r="B13" s="47" t="s">
        <v>714</v>
      </c>
      <c r="C13" s="48">
        <v>16</v>
      </c>
    </row>
    <row r="14" spans="1:3" s="42" customFormat="1" x14ac:dyDescent="0.15">
      <c r="A14" s="47" t="s">
        <v>749</v>
      </c>
      <c r="B14" s="47" t="s">
        <v>713</v>
      </c>
      <c r="C14" s="48">
        <v>0</v>
      </c>
    </row>
    <row r="15" spans="1:3" s="42" customFormat="1" ht="12" hidden="1" customHeight="1" x14ac:dyDescent="0.15">
      <c r="A15" s="47"/>
      <c r="B15" s="47"/>
      <c r="C15" s="47"/>
    </row>
    <row r="16" spans="1:3" s="42" customFormat="1" hidden="1" x14ac:dyDescent="0.15">
      <c r="A16" s="46" t="s">
        <v>748</v>
      </c>
      <c r="B16" s="46" t="s">
        <v>712</v>
      </c>
      <c r="C16" s="46">
        <v>37500</v>
      </c>
    </row>
    <row r="17" spans="1:3" s="42" customFormat="1" hidden="1" x14ac:dyDescent="0.15">
      <c r="A17" s="46" t="s">
        <v>747</v>
      </c>
      <c r="B17" s="46" t="s">
        <v>711</v>
      </c>
      <c r="C17" s="46">
        <v>720</v>
      </c>
    </row>
    <row r="18" spans="1:3" s="42" customFormat="1" hidden="1" x14ac:dyDescent="0.15">
      <c r="A18" s="46" t="s">
        <v>746</v>
      </c>
      <c r="B18" s="46" t="s">
        <v>710</v>
      </c>
      <c r="C18" s="46">
        <f>ROUNDUP(C17*(1000000/C16),0)</f>
        <v>19200</v>
      </c>
    </row>
    <row r="19" spans="1:3" s="42" customFormat="1" hidden="1" x14ac:dyDescent="0.15">
      <c r="A19" s="46" t="s">
        <v>745</v>
      </c>
      <c r="B19" s="46" t="s">
        <v>709</v>
      </c>
      <c r="C19" s="46">
        <v>38</v>
      </c>
    </row>
    <row r="20" spans="1:3" s="42" customFormat="1" ht="27" hidden="1" x14ac:dyDescent="0.15">
      <c r="A20" s="46" t="s">
        <v>744</v>
      </c>
      <c r="B20" s="46" t="s">
        <v>708</v>
      </c>
      <c r="C20" s="46">
        <v>28</v>
      </c>
    </row>
    <row r="21" spans="1:3" s="42" customFormat="1" ht="54" hidden="1" x14ac:dyDescent="0.15">
      <c r="A21" s="46" t="s">
        <v>743</v>
      </c>
      <c r="B21" s="46" t="s">
        <v>707</v>
      </c>
      <c r="C21" s="46">
        <v>7</v>
      </c>
    </row>
    <row r="22" spans="1:3" s="42" customFormat="1" hidden="1" x14ac:dyDescent="0.15">
      <c r="A22" s="46" t="s">
        <v>706</v>
      </c>
      <c r="B22" s="46" t="s">
        <v>706</v>
      </c>
      <c r="C22" s="46">
        <v>8</v>
      </c>
    </row>
    <row r="23" spans="1:3" s="42" customFormat="1" ht="27" hidden="1" x14ac:dyDescent="0.15">
      <c r="A23" s="46" t="s">
        <v>742</v>
      </c>
      <c r="B23" s="46" t="s">
        <v>705</v>
      </c>
      <c r="C23" s="46">
        <v>2000</v>
      </c>
    </row>
    <row r="24" spans="1:3" s="42" customFormat="1" hidden="1" x14ac:dyDescent="0.15">
      <c r="A24" s="46" t="s">
        <v>741</v>
      </c>
      <c r="B24" s="46" t="s">
        <v>704</v>
      </c>
      <c r="C24" s="46">
        <v>1071</v>
      </c>
    </row>
    <row r="25" spans="1:3" s="42" customFormat="1" hidden="1" x14ac:dyDescent="0.15">
      <c r="A25" s="46" t="s">
        <v>740</v>
      </c>
      <c r="B25" s="46" t="s">
        <v>703</v>
      </c>
      <c r="C25" s="46">
        <v>320</v>
      </c>
    </row>
    <row r="26" spans="1:3" s="42" customFormat="1" hidden="1" x14ac:dyDescent="0.15">
      <c r="A26" s="46" t="s">
        <v>739</v>
      </c>
      <c r="B26" s="47"/>
      <c r="C26" s="44">
        <v>16</v>
      </c>
    </row>
    <row r="27" spans="1:3" s="42" customFormat="1" hidden="1" x14ac:dyDescent="0.15">
      <c r="A27" s="46" t="s">
        <v>738</v>
      </c>
      <c r="B27" s="44"/>
      <c r="C27" s="44">
        <f>C20+MAX(MAX(C3,C25)+C19-C20,2 + C21)</f>
        <v>2102</v>
      </c>
    </row>
    <row r="28" spans="1:3" s="42" customFormat="1" hidden="1" x14ac:dyDescent="0.15">
      <c r="A28" s="46" t="s">
        <v>737</v>
      </c>
      <c r="B28" s="44"/>
      <c r="C28" s="44">
        <f>ROUNDDOWN(1000000000/C13/C18,0)*C14</f>
        <v>0</v>
      </c>
    </row>
    <row r="29" spans="1:3" s="42" customFormat="1" hidden="1" x14ac:dyDescent="0.15">
      <c r="A29" s="46" t="s">
        <v>736</v>
      </c>
      <c r="B29" s="44"/>
      <c r="C29" s="44">
        <f>ROUNDUP(C4*1000/C18,0)+C22</f>
        <v>2613</v>
      </c>
    </row>
    <row r="30" spans="1:3" s="42" customFormat="1" hidden="1" x14ac:dyDescent="0.15">
      <c r="A30" s="46" t="s">
        <v>735</v>
      </c>
      <c r="B30" s="44"/>
      <c r="C30" s="44">
        <f>C27+C29+C26</f>
        <v>4731</v>
      </c>
    </row>
    <row r="31" spans="1:3" s="42" customFormat="1" hidden="1" x14ac:dyDescent="0.15">
      <c r="A31" s="46"/>
      <c r="B31" s="44"/>
      <c r="C31" s="44"/>
    </row>
    <row r="32" spans="1:3" s="42" customFormat="1" hidden="1" x14ac:dyDescent="0.15">
      <c r="A32" s="46" t="s">
        <v>734</v>
      </c>
      <c r="B32" s="44"/>
      <c r="C32" s="44">
        <v>0</v>
      </c>
    </row>
    <row r="33" spans="1:3" s="42" customFormat="1" hidden="1" x14ac:dyDescent="0.15">
      <c r="A33" s="46" t="s">
        <v>733</v>
      </c>
      <c r="B33" s="44"/>
      <c r="C33" s="44">
        <f>C2*C3*IF(C5=8,1,2)+C32*32</f>
        <v>6373632</v>
      </c>
    </row>
    <row r="34" spans="1:3" s="42" customFormat="1" hidden="1" x14ac:dyDescent="0.15">
      <c r="A34" s="46" t="s">
        <v>529</v>
      </c>
      <c r="B34" s="44"/>
      <c r="C34" s="44">
        <f>INT(C33/(C6-36))</f>
        <v>4353</v>
      </c>
    </row>
    <row r="35" spans="1:3" s="42" customFormat="1" hidden="1" x14ac:dyDescent="0.15">
      <c r="A35" s="46" t="s">
        <v>533</v>
      </c>
      <c r="B35" s="44"/>
      <c r="C35" s="44">
        <f>IF((C33-(C6-36)*C34)&lt; 64, 64,(C33-(C6-36)*C34))</f>
        <v>840</v>
      </c>
    </row>
    <row r="36" spans="1:3" s="42" customFormat="1" hidden="1" x14ac:dyDescent="0.15">
      <c r="A36" s="46" t="s">
        <v>531</v>
      </c>
      <c r="B36" s="44"/>
      <c r="C36" s="44">
        <f>IF(C35=0,0,1)</f>
        <v>1</v>
      </c>
    </row>
    <row r="37" spans="1:3" s="42" customFormat="1" hidden="1" x14ac:dyDescent="0.15">
      <c r="A37" s="46" t="s">
        <v>515</v>
      </c>
      <c r="B37" s="44"/>
      <c r="C37" s="44">
        <f>IF(C32=0,36,12)</f>
        <v>36</v>
      </c>
    </row>
    <row r="38" spans="1:3" s="42" customFormat="1" ht="40.5" hidden="1" x14ac:dyDescent="0.15">
      <c r="A38" s="46" t="s">
        <v>732</v>
      </c>
      <c r="B38" s="44"/>
      <c r="C38" s="44">
        <f>C34*(C6+26)+C36*(C35+26+36)</f>
        <v>6643580</v>
      </c>
    </row>
    <row r="39" spans="1:3" s="42" customFormat="1" hidden="1" x14ac:dyDescent="0.15">
      <c r="A39" s="46" t="s">
        <v>543</v>
      </c>
      <c r="B39" s="44"/>
      <c r="C39" s="44">
        <f>(2+C36+C34)*(C7+12)</f>
        <v>52272</v>
      </c>
    </row>
    <row r="40" spans="1:3" s="42" customFormat="1" hidden="1" x14ac:dyDescent="0.15">
      <c r="A40" s="46" t="s">
        <v>545</v>
      </c>
      <c r="B40" s="44"/>
      <c r="C40" s="44">
        <f>C38+C39+170-24*C32</f>
        <v>6696022</v>
      </c>
    </row>
    <row r="41" spans="1:3" s="42" customFormat="1" hidden="1" x14ac:dyDescent="0.15">
      <c r="A41" s="46" t="s">
        <v>547</v>
      </c>
      <c r="B41" s="44"/>
      <c r="C41" s="44">
        <f>INT(C9*(100-C10)/80)</f>
        <v>1125</v>
      </c>
    </row>
    <row r="42" spans="1:3" s="42" customFormat="1" hidden="1" x14ac:dyDescent="0.15">
      <c r="A42" s="46" t="s">
        <v>549</v>
      </c>
      <c r="B42" s="44"/>
      <c r="C42" s="44">
        <f>ROUNDUP(C40/C41*10*1000/C18,0)</f>
        <v>3101</v>
      </c>
    </row>
    <row r="43" spans="1:3" s="42" customFormat="1" ht="27" hidden="1" x14ac:dyDescent="0.15">
      <c r="A43" s="46" t="s">
        <v>551</v>
      </c>
      <c r="B43" s="44"/>
      <c r="C43" s="44">
        <f>ROUNDUP((C33+C37+10)*10*1000/C24/C18,0)</f>
        <v>3100</v>
      </c>
    </row>
    <row r="44" spans="1:3" s="42" customFormat="1" hidden="1" x14ac:dyDescent="0.15">
      <c r="A44" s="46" t="s">
        <v>731</v>
      </c>
      <c r="B44" s="44"/>
      <c r="C44" s="44">
        <f>MAX(C42,C43)</f>
        <v>3101</v>
      </c>
    </row>
    <row r="45" spans="1:3" s="42" customFormat="1" hidden="1" x14ac:dyDescent="0.15">
      <c r="A45" s="46"/>
      <c r="B45" s="44"/>
      <c r="C45" s="44"/>
    </row>
    <row r="46" spans="1:3" s="42" customFormat="1" hidden="1" x14ac:dyDescent="0.15">
      <c r="A46" s="44"/>
      <c r="B46" s="44"/>
      <c r="C46" s="44"/>
    </row>
    <row r="47" spans="1:3" s="42" customFormat="1" hidden="1" x14ac:dyDescent="0.15">
      <c r="A47" s="44" t="s">
        <v>56</v>
      </c>
      <c r="B47" s="44"/>
      <c r="C47" s="44">
        <f>12500*C9*(100-C10)</f>
        <v>1125000000</v>
      </c>
    </row>
    <row r="48" spans="1:3" s="42" customFormat="1" hidden="1" x14ac:dyDescent="0.15">
      <c r="A48" s="44" t="s">
        <v>554</v>
      </c>
      <c r="B48" s="44"/>
      <c r="C48" s="44">
        <f>IF((ROUNDDOWN((C47-(62+C6-36)*C34-62-C35-168+C32*24)/(C34+3),0)-12)&gt;C49,C49,ROUNDDOWN((C47-(62+C6-36)*C34-62-C35-168+C32*24)/(C34+3),0)-12)</f>
        <v>180000</v>
      </c>
    </row>
    <row r="49" spans="1:4" s="70" customFormat="1" hidden="1" x14ac:dyDescent="0.15">
      <c r="A49" s="72"/>
      <c r="B49" s="72"/>
      <c r="C49" s="72">
        <f>IF(C9=1000,180000,18000)</f>
        <v>180000</v>
      </c>
    </row>
    <row r="50" spans="1:4" s="42" customFormat="1" hidden="1" x14ac:dyDescent="0.15">
      <c r="A50" s="44" t="s">
        <v>58</v>
      </c>
      <c r="B50" s="44"/>
      <c r="C50" s="44">
        <f>((62+(C6-36))*C34+62+C35+168)+(C7+12)*(C34+3)</f>
        <v>6696020</v>
      </c>
    </row>
    <row r="51" spans="1:4" s="42" customFormat="1" hidden="1" x14ac:dyDescent="0.15">
      <c r="A51" s="44" t="s">
        <v>56</v>
      </c>
      <c r="B51" s="44"/>
      <c r="C51" s="44">
        <f>125000*C9</f>
        <v>125000000</v>
      </c>
    </row>
    <row r="52" spans="1:4" s="42" customFormat="1" hidden="1" x14ac:dyDescent="0.15">
      <c r="A52" s="44" t="s">
        <v>557</v>
      </c>
      <c r="B52" s="44"/>
      <c r="C52" s="44">
        <f>IF((100-ROUNDDOWN(C50*10/(1250000*C9/10),0)-1)&lt;0,0,(100-ROUNDDOWN(C50*10/(1250000*C9/10),0)-1))</f>
        <v>99</v>
      </c>
    </row>
    <row r="53" spans="1:4" s="42" customFormat="1" hidden="1" x14ac:dyDescent="0.15">
      <c r="A53" s="44"/>
      <c r="B53" s="44"/>
      <c r="C53" s="44"/>
    </row>
    <row r="54" spans="1:4" s="42" customFormat="1" hidden="1" x14ac:dyDescent="0.15">
      <c r="A54" s="50"/>
      <c r="B54" s="44"/>
      <c r="C54" s="44"/>
    </row>
    <row r="55" spans="1:4" s="42" customFormat="1" hidden="1" x14ac:dyDescent="0.15">
      <c r="A55" s="49" t="s">
        <v>730</v>
      </c>
      <c r="B55" s="44"/>
      <c r="C55" s="45" t="str">
        <f>"0x"&amp;DEC2HEX(C17)</f>
        <v>0x2D0</v>
      </c>
      <c r="D55" s="42" t="s">
        <v>702</v>
      </c>
    </row>
    <row r="56" spans="1:4" s="42" customFormat="1" hidden="1" x14ac:dyDescent="0.15">
      <c r="A56" s="46" t="s">
        <v>729</v>
      </c>
      <c r="B56" s="44"/>
      <c r="C56" s="44">
        <f>0</f>
        <v>0</v>
      </c>
    </row>
    <row r="57" spans="1:4" s="42" customFormat="1" hidden="1" x14ac:dyDescent="0.15">
      <c r="A57" s="46" t="s">
        <v>728</v>
      </c>
      <c r="B57" s="44"/>
      <c r="C57" s="45" t="str">
        <f xml:space="preserve">  "0x"&amp;DEC2HEX( ROUNDUP(C4*1000/C18,0))</f>
        <v>0xA2D</v>
      </c>
      <c r="D57" s="42" t="s">
        <v>701</v>
      </c>
    </row>
    <row r="58" spans="1:4" s="42" customFormat="1" hidden="1" x14ac:dyDescent="0.15">
      <c r="A58" s="46" t="s">
        <v>727</v>
      </c>
      <c r="B58" s="44"/>
      <c r="C58" s="45" t="str">
        <f>"0x"&amp;DEC2HEX(C60)</f>
        <v>0xC1D</v>
      </c>
      <c r="D58" s="42" t="s">
        <v>700</v>
      </c>
    </row>
    <row r="59" spans="1:4" s="42" customFormat="1" hidden="1" x14ac:dyDescent="0.15">
      <c r="A59" s="46"/>
      <c r="B59" s="44"/>
      <c r="C59" s="45"/>
    </row>
    <row r="60" spans="1:4" s="42" customFormat="1" hidden="1" x14ac:dyDescent="0.15">
      <c r="A60" s="44" t="s">
        <v>726</v>
      </c>
      <c r="B60" s="44"/>
      <c r="C60" s="44">
        <f>IF(C12=0,MAX(C27,C28,C29,C44),MAX(C28,C30,C44))</f>
        <v>3101</v>
      </c>
    </row>
    <row r="61" spans="1:4" s="42" customFormat="1" hidden="1" x14ac:dyDescent="0.15">
      <c r="A61" s="44" t="s">
        <v>725</v>
      </c>
      <c r="B61" s="44"/>
      <c r="C61" s="44">
        <f>ROUNDUP(C60*C17/(C16/1000),0)</f>
        <v>59540</v>
      </c>
    </row>
    <row r="62" spans="1:4" s="42" customFormat="1" hidden="1" x14ac:dyDescent="0.15">
      <c r="A62" s="44" t="s">
        <v>559</v>
      </c>
      <c r="B62" s="44"/>
      <c r="C62" s="44">
        <f>INT(INT(INT(INT(C2*INT(1000000000/C61)/10)*IF(C5=8,1,2)/10)*C3/10)*10/(100-C10))*10</f>
        <v>118938910</v>
      </c>
    </row>
    <row r="63" spans="1:4" s="42" customFormat="1" ht="12.75" customHeight="1" x14ac:dyDescent="0.15">
      <c r="A63" s="44"/>
      <c r="B63" s="44"/>
      <c r="C63" s="44"/>
    </row>
    <row r="64" spans="1:4" s="42" customFormat="1" ht="14.25" x14ac:dyDescent="0.15">
      <c r="A64" s="43" t="s">
        <v>724</v>
      </c>
      <c r="B64" s="43"/>
      <c r="C64" s="43"/>
    </row>
    <row r="65" spans="1:3" s="42" customFormat="1" ht="14.25" x14ac:dyDescent="0.15">
      <c r="A65" s="43" t="s">
        <v>723</v>
      </c>
      <c r="B65" s="43" t="s">
        <v>804</v>
      </c>
      <c r="C65" s="43">
        <f>ROUND(1000000/C61,2)</f>
        <v>16.8</v>
      </c>
    </row>
  </sheetData>
  <sheetProtection algorithmName="SHA-512" hashValue="XLfdus2/LtUF4BseAX2s4u9nxJHCKrz1rUGwM6bPFerZFq7DqvooiDwMG3yO6lCfd3x28ENWPELLX2yx1v9htw==" saltValue="5bjmv/FC6LnR8fwIGdYGqg==" spinCount="100000" sheet="1" objects="1" scenarios="1"/>
  <dataConsolidate/>
  <phoneticPr fontId="1" type="noConversion"/>
  <dataValidations count="12">
    <dataValidation type="custom" allowBlank="1" showInputMessage="1" showErrorMessage="1" errorTitle="Input parameter error" error="Input 1000 or 100" sqref="C9">
      <formula1>OR((C9=1000),(C9=100))</formula1>
    </dataValidation>
    <dataValidation type="custom" allowBlank="1" showInputMessage="1" showErrorMessage="1" errorTitle="Input parameter error" error="Input range:[512, 8192],and is an integer multiple of 4" sqref="C6">
      <formula1>AND((C6&lt;=8192),(C6&gt;=512),(MOD(C6,4)=0))</formula1>
    </dataValidation>
    <dataValidation type="list" allowBlank="1" showInputMessage="1" showErrorMessage="1" errorTitle="Input parameter error" error="Input 8 or 12" sqref="C5">
      <formula1>"8,12"</formula1>
    </dataValidation>
    <dataValidation type="custom" allowBlank="1" showInputMessage="1" showErrorMessage="1" errorTitle="Input parameter error" error="Input range:[64, 2064],and is an integer multiple of 2" sqref="C3">
      <formula1>AND((C3&lt;=2064),(C3&gt;=64),(MOD(C3,2)=0))</formula1>
    </dataValidation>
    <dataValidation type="custom" allowBlank="1" showInputMessage="1" showErrorMessage="1" errorTitle="Input parameter error" error="Input range:[64, 3088],and is an integer multiple of 4" sqref="C2">
      <formula1>AND((C2&lt;=3088),(C2&gt;=64),(MOD(C2,4)=0))</formula1>
    </dataValidation>
    <dataValidation type="whole" allowBlank="1" showInputMessage="1" showErrorMessage="1" errorTitle="Input parameter error" error="Input range:[0, 'BandwidthReserveMaxValue'], and is an integer multiple of 1" sqref="C10">
      <formula1>0</formula1>
      <formula2>C11</formula2>
    </dataValidation>
    <dataValidation type="whole" allowBlank="1" showInputMessage="1" showErrorMessage="1" errorTitle="Input parameter error" error="Input range:[0, 'GevSCPDMaxValue'], and is an integer multiple of 1" sqref="C7">
      <formula1>0</formula1>
      <formula2>C8</formula2>
    </dataValidation>
    <dataValidation type="whole" allowBlank="1" error="设置值超过包间隔范围" prompt="设置值应在预留带宽范围内" sqref="C11">
      <formula1>0</formula1>
      <formula2>C52</formula2>
    </dataValidation>
    <dataValidation type="custom" allowBlank="1" showErrorMessage="1" errorTitle="Input parameter error" error="Input range:[0.1, 10000]" prompt="应在包间隔范围内" sqref="C13">
      <formula1>AND(TRUNC(C13,1)=C13,(C13&gt;0),(C13&lt;=10000))</formula1>
    </dataValidation>
    <dataValidation type="whole" allowBlank="1" showInputMessage="1" showErrorMessage="1" errorTitle="Input parameter error" error="Input range:[19, 1000000]" sqref="C4">
      <formula1>19</formula1>
      <formula2>1000000</formula2>
    </dataValidation>
    <dataValidation type="whole" allowBlank="1" showErrorMessage="1" error="设置值超过最大值" prompt="应在包间隔范围内" sqref="C8">
      <formula1>0</formula1>
      <formula2>C48</formula2>
    </dataValidation>
    <dataValidation type="list" allowBlank="1" showErrorMessage="1" errorTitle="Input parameter error" error="Input 0 or 1" prompt="应在包间隔范围内" sqref="C14 C12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B1" zoomScaleNormal="100" workbookViewId="0">
      <selection activeCell="E10" sqref="E10"/>
    </sheetView>
  </sheetViews>
  <sheetFormatPr defaultRowHeight="13.5" x14ac:dyDescent="0.15"/>
  <cols>
    <col min="1" max="1" width="17.875" hidden="1" customWidth="1"/>
    <col min="2" max="2" width="28.25" customWidth="1"/>
    <col min="3" max="3" width="13" customWidth="1"/>
    <col min="7" max="7" width="9.125" customWidth="1"/>
    <col min="10" max="10" width="10.375" customWidth="1"/>
  </cols>
  <sheetData>
    <row r="1" spans="1:3" s="3" customFormat="1" x14ac:dyDescent="0.15">
      <c r="A1" s="23" t="s">
        <v>762</v>
      </c>
      <c r="B1" s="23"/>
      <c r="C1" s="22"/>
    </row>
    <row r="2" spans="1:3" s="3" customFormat="1" x14ac:dyDescent="0.15">
      <c r="A2" s="23" t="s">
        <v>761</v>
      </c>
      <c r="B2" s="23" t="s">
        <v>722</v>
      </c>
      <c r="C2" s="22">
        <v>1628</v>
      </c>
    </row>
    <row r="3" spans="1:3" s="3" customFormat="1" x14ac:dyDescent="0.15">
      <c r="A3" s="23" t="s">
        <v>760</v>
      </c>
      <c r="B3" s="23" t="s">
        <v>839</v>
      </c>
      <c r="C3" s="22">
        <v>1236</v>
      </c>
    </row>
    <row r="4" spans="1:3" s="3" customFormat="1" x14ac:dyDescent="0.15">
      <c r="A4" s="23" t="s">
        <v>828</v>
      </c>
      <c r="B4" s="23" t="s">
        <v>894</v>
      </c>
      <c r="C4" s="22">
        <v>0</v>
      </c>
    </row>
    <row r="5" spans="1:3" s="3" customFormat="1" x14ac:dyDescent="0.15">
      <c r="A5" s="23" t="s">
        <v>759</v>
      </c>
      <c r="B5" s="23" t="s">
        <v>720</v>
      </c>
      <c r="C5" s="22">
        <v>30000</v>
      </c>
    </row>
    <row r="6" spans="1:3" s="3" customFormat="1" x14ac:dyDescent="0.15">
      <c r="A6" s="23" t="s">
        <v>758</v>
      </c>
      <c r="B6" s="23" t="s">
        <v>719</v>
      </c>
      <c r="C6" s="22">
        <v>8</v>
      </c>
    </row>
    <row r="7" spans="1:3" s="3" customFormat="1" x14ac:dyDescent="0.15">
      <c r="A7" s="23" t="s">
        <v>757</v>
      </c>
      <c r="B7" s="23" t="s">
        <v>11</v>
      </c>
      <c r="C7" s="22">
        <v>1500</v>
      </c>
    </row>
    <row r="8" spans="1:3" s="3" customFormat="1" x14ac:dyDescent="0.15">
      <c r="A8" s="23" t="s">
        <v>756</v>
      </c>
      <c r="B8" s="23" t="s">
        <v>12</v>
      </c>
      <c r="C8" s="22">
        <v>0</v>
      </c>
    </row>
    <row r="9" spans="1:3" s="3" customFormat="1" x14ac:dyDescent="0.15">
      <c r="A9" s="23" t="s">
        <v>754</v>
      </c>
      <c r="B9" s="23" t="s">
        <v>717</v>
      </c>
      <c r="C9" s="22">
        <v>1000</v>
      </c>
    </row>
    <row r="10" spans="1:3" s="3" customFormat="1" x14ac:dyDescent="0.15">
      <c r="A10" s="23" t="s">
        <v>755</v>
      </c>
      <c r="B10" s="23" t="s">
        <v>834</v>
      </c>
      <c r="C10" s="23">
        <f>C24</f>
        <v>161863</v>
      </c>
    </row>
    <row r="11" spans="1:3" s="3" customFormat="1" x14ac:dyDescent="0.15">
      <c r="A11" s="23" t="s">
        <v>753</v>
      </c>
      <c r="B11" s="23" t="s">
        <v>28</v>
      </c>
      <c r="C11" s="22">
        <v>10</v>
      </c>
    </row>
    <row r="12" spans="1:3" s="3" customFormat="1" x14ac:dyDescent="0.15">
      <c r="A12" s="23" t="s">
        <v>752</v>
      </c>
      <c r="B12" s="23" t="s">
        <v>835</v>
      </c>
      <c r="C12" s="23">
        <f>C34</f>
        <v>99</v>
      </c>
    </row>
    <row r="13" spans="1:3" s="3" customFormat="1" x14ac:dyDescent="0.15">
      <c r="A13" s="23" t="s">
        <v>750</v>
      </c>
      <c r="B13" s="23" t="s">
        <v>714</v>
      </c>
      <c r="C13" s="22">
        <v>25</v>
      </c>
    </row>
    <row r="14" spans="1:3" s="3" customFormat="1" x14ac:dyDescent="0.15">
      <c r="A14" s="23" t="s">
        <v>749</v>
      </c>
      <c r="B14" s="23" t="s">
        <v>713</v>
      </c>
      <c r="C14" s="22">
        <v>0</v>
      </c>
    </row>
    <row r="15" spans="1:3" s="7" customFormat="1" ht="12.75" customHeight="1" x14ac:dyDescent="0.15">
      <c r="A15" s="23"/>
      <c r="B15" s="23"/>
      <c r="C15" s="23"/>
    </row>
    <row r="16" spans="1:3" s="7" customFormat="1" ht="12.75" hidden="1" customHeight="1" x14ac:dyDescent="0.15">
      <c r="A16" s="24"/>
      <c r="B16" s="24"/>
      <c r="C16" s="24"/>
    </row>
    <row r="17" spans="1:3" s="7" customFormat="1" ht="12.75" hidden="1" customHeight="1" x14ac:dyDescent="0.15">
      <c r="A17" s="24" t="s">
        <v>827</v>
      </c>
      <c r="B17" s="24"/>
      <c r="C17" s="24">
        <f>60*C5+196</f>
        <v>1800196</v>
      </c>
    </row>
    <row r="18" spans="1:3" s="7" customFormat="1" ht="12.75" hidden="1" customHeight="1" x14ac:dyDescent="0.15">
      <c r="A18" s="24" t="s">
        <v>826</v>
      </c>
      <c r="B18" s="24"/>
      <c r="C18" s="24">
        <f>INT(C17/1911)</f>
        <v>942</v>
      </c>
    </row>
    <row r="19" spans="1:3" s="7" customFormat="1" ht="12.75" hidden="1" customHeight="1" x14ac:dyDescent="0.15">
      <c r="A19" s="24" t="s">
        <v>825</v>
      </c>
      <c r="B19" s="24"/>
      <c r="C19" s="24">
        <f>INT(1911*(C17/1911 - INT(C17/1911)))</f>
        <v>33</v>
      </c>
    </row>
    <row r="20" spans="1:3" s="7" customFormat="1" hidden="1" x14ac:dyDescent="0.15">
      <c r="A20" s="24" t="s">
        <v>824</v>
      </c>
      <c r="B20" s="24"/>
      <c r="C20" s="24">
        <f>IF(C19&lt;1500,IF(C18&gt;0,C18-1,C18),C18)</f>
        <v>941</v>
      </c>
    </row>
    <row r="21" spans="1:3" s="7" customFormat="1" hidden="1" x14ac:dyDescent="0.15">
      <c r="A21" s="24" t="s">
        <v>823</v>
      </c>
      <c r="B21" s="24"/>
      <c r="C21" s="24">
        <f>ROUNDDOWN(C2*C3*ROUNDUP(C6/8,0)/(C7-36),0)</f>
        <v>1374</v>
      </c>
    </row>
    <row r="22" spans="1:3" s="7" customFormat="1" hidden="1" x14ac:dyDescent="0.15">
      <c r="A22" s="24" t="s">
        <v>533</v>
      </c>
      <c r="B22" s="24"/>
      <c r="C22" s="24">
        <f>C2*C3*ROUNDUP(C6/8,0)-(C7-36)*C21</f>
        <v>672</v>
      </c>
    </row>
    <row r="23" spans="1:3" s="7" customFormat="1" hidden="1" x14ac:dyDescent="0.15">
      <c r="A23" s="24" t="s">
        <v>755</v>
      </c>
      <c r="B23" s="24"/>
      <c r="C23" s="24">
        <f>ROUNDDOWN((C26-(62+C7-36)*C21-(62+C22)-168)/(C21+3),0)-12</f>
        <v>161863</v>
      </c>
    </row>
    <row r="24" spans="1:3" s="7" customFormat="1" hidden="1" x14ac:dyDescent="0.15">
      <c r="A24" s="24" t="s">
        <v>822</v>
      </c>
      <c r="B24" s="24"/>
      <c r="C24" s="24">
        <f>IF(C23&gt;180000,180000,C23)</f>
        <v>161863</v>
      </c>
    </row>
    <row r="25" spans="1:3" s="7" customFormat="1" hidden="1" x14ac:dyDescent="0.15">
      <c r="A25" s="24" t="s">
        <v>821</v>
      </c>
      <c r="B25" s="24"/>
      <c r="C25" s="24">
        <f>(62+(C7-36))*C21+(62+C22)+(C8+12)*(C21+3)+168</f>
        <v>2114150</v>
      </c>
    </row>
    <row r="26" spans="1:3" s="7" customFormat="1" hidden="1" x14ac:dyDescent="0.15">
      <c r="A26" s="24" t="s">
        <v>56</v>
      </c>
      <c r="B26" s="24"/>
      <c r="C26" s="24">
        <f>2500*C9*(100-C11)</f>
        <v>225000000</v>
      </c>
    </row>
    <row r="27" spans="1:3" s="7" customFormat="1" hidden="1" x14ac:dyDescent="0.15">
      <c r="A27" s="24" t="s">
        <v>820</v>
      </c>
      <c r="B27" s="24"/>
      <c r="C27" s="24">
        <f>250000*C9</f>
        <v>250000000</v>
      </c>
    </row>
    <row r="28" spans="1:3" s="7" customFormat="1" hidden="1" x14ac:dyDescent="0.15">
      <c r="A28" s="24" t="s">
        <v>553</v>
      </c>
      <c r="B28" s="24"/>
      <c r="C28" s="24">
        <f>ROUNDDOWN(C25/(C9*1911/(60*10/(100-C11)*10))*8,0)</f>
        <v>590</v>
      </c>
    </row>
    <row r="29" spans="1:3" s="7" customFormat="1" hidden="1" x14ac:dyDescent="0.15">
      <c r="A29" s="24" t="s">
        <v>819</v>
      </c>
      <c r="B29" s="24"/>
      <c r="C29" s="24">
        <f>INT((C4+11)/8)+1</f>
        <v>2</v>
      </c>
    </row>
    <row r="30" spans="1:3" s="7" customFormat="1" hidden="1" x14ac:dyDescent="0.15">
      <c r="A30" s="24" t="s">
        <v>818</v>
      </c>
      <c r="B30" s="24"/>
      <c r="C30" s="24">
        <f>C29+(C4+11)-((INT((C4+11)/8)-1)*8)</f>
        <v>13</v>
      </c>
    </row>
    <row r="31" spans="1:3" s="7" customFormat="1" hidden="1" x14ac:dyDescent="0.15">
      <c r="A31" s="24" t="s">
        <v>817</v>
      </c>
      <c r="B31" s="24"/>
      <c r="C31" s="24">
        <f>C30+C3</f>
        <v>1249</v>
      </c>
    </row>
    <row r="32" spans="1:3" s="7" customFormat="1" hidden="1" x14ac:dyDescent="0.15">
      <c r="A32" s="24" t="s">
        <v>816</v>
      </c>
      <c r="B32" s="24"/>
      <c r="C32" s="24">
        <f>INT((1256-(C3+C4+11))/8)-1+C31</f>
        <v>1249</v>
      </c>
    </row>
    <row r="33" spans="1:3" s="7" customFormat="1" hidden="1" x14ac:dyDescent="0.15">
      <c r="A33" s="24" t="s">
        <v>738</v>
      </c>
      <c r="B33" s="24"/>
      <c r="C33" s="24">
        <f>C32+2</f>
        <v>1251</v>
      </c>
    </row>
    <row r="34" spans="1:3" s="7" customFormat="1" hidden="1" x14ac:dyDescent="0.15">
      <c r="A34" s="24" t="s">
        <v>752</v>
      </c>
      <c r="B34" s="24"/>
      <c r="C34" s="24">
        <f>100-ROUNDDOWN(C25*10/(C27/10),0)-1</f>
        <v>99</v>
      </c>
    </row>
    <row r="35" spans="1:3" s="7" customFormat="1" hidden="1" x14ac:dyDescent="0.15">
      <c r="A35" s="24" t="s">
        <v>737</v>
      </c>
      <c r="B35" s="24"/>
      <c r="C35" s="24">
        <f>IF(C14=1,ROUNDUP(ROUNDUP(10000000/(C13*10),0)*60/1911,0)-1,0)</f>
        <v>0</v>
      </c>
    </row>
    <row r="36" spans="1:3" s="7" customFormat="1" hidden="1" x14ac:dyDescent="0.15">
      <c r="A36" s="24" t="s">
        <v>815</v>
      </c>
      <c r="B36" s="24"/>
      <c r="C36" s="24">
        <f>MAX(C20+4,C33)</f>
        <v>1251</v>
      </c>
    </row>
    <row r="37" spans="1:3" s="7" customFormat="1" hidden="1" x14ac:dyDescent="0.15">
      <c r="A37" s="24" t="s">
        <v>814</v>
      </c>
      <c r="B37" s="24"/>
      <c r="C37" s="24">
        <f>(1000/60)*1911</f>
        <v>31850.000000000004</v>
      </c>
    </row>
    <row r="38" spans="1:3" s="7" customFormat="1" hidden="1" x14ac:dyDescent="0.15">
      <c r="A38" s="24" t="s">
        <v>813</v>
      </c>
      <c r="B38" s="24"/>
      <c r="C38" s="24">
        <f>MAX(C36,C28,C35) + 1</f>
        <v>1252</v>
      </c>
    </row>
    <row r="39" spans="1:3" s="7" customFormat="1" hidden="1" x14ac:dyDescent="0.15">
      <c r="A39" s="24" t="s">
        <v>812</v>
      </c>
      <c r="B39" s="24"/>
      <c r="C39" s="24">
        <f>C37*C38/1000000</f>
        <v>39.876200000000004</v>
      </c>
    </row>
    <row r="40" spans="1:3" s="7" customFormat="1" hidden="1" x14ac:dyDescent="0.15">
      <c r="A40" s="24" t="s">
        <v>723</v>
      </c>
      <c r="B40" s="24"/>
      <c r="C40" s="24">
        <f>1000/C39</f>
        <v>25.077615219103123</v>
      </c>
    </row>
    <row r="41" spans="1:3" s="7" customFormat="1" ht="15" hidden="1" customHeight="1" x14ac:dyDescent="0.15">
      <c r="A41" s="24"/>
      <c r="B41" s="24"/>
      <c r="C41" s="24"/>
    </row>
    <row r="42" spans="1:3" s="7" customFormat="1" ht="19.5" customHeight="1" x14ac:dyDescent="0.15">
      <c r="A42" s="19" t="s">
        <v>724</v>
      </c>
      <c r="B42" s="24"/>
      <c r="C42" s="24"/>
    </row>
    <row r="43" spans="1:3" s="7" customFormat="1" ht="18.75" x14ac:dyDescent="0.15">
      <c r="A43" s="20" t="s">
        <v>723</v>
      </c>
      <c r="B43" s="20" t="s">
        <v>829</v>
      </c>
      <c r="C43" s="20">
        <f>ROUNDUP(C40,2)</f>
        <v>25.080000000000002</v>
      </c>
    </row>
  </sheetData>
  <sheetProtection algorithmName="SHA-512" hashValue="dY8If/q8divag7A0CguC+jkFpJaQehHv3horizkK2/RZXfL7388bZrmSkr+cwCFg80Bs4KLBm/WQQ3bbsmY3sg==" saltValue="Vxf3vEucH5k/UglzvwWjcA==" spinCount="100000" sheet="1" objects="1" scenarios="1"/>
  <phoneticPr fontId="1" type="noConversion"/>
  <dataValidations count="13">
    <dataValidation type="custom" allowBlank="1" showInputMessage="1" showErrorMessage="1" errorTitle="Input parameter error" error="Input range:[64, 1628],and is an integer multiple of 4" sqref="C2">
      <formula1>AND((C2&lt;=1628),(C2&gt;=64),(MOD(C2,4)=0))</formula1>
    </dataValidation>
    <dataValidation type="custom" allowBlank="1" showInputMessage="1" showErrorMessage="1" errorTitle="Input parameter error" error="Input range:[64, (1236-'OffsetY')],and is an integer multiple of 2" sqref="C3">
      <formula1>AND(((C3+C4)&lt;=1236),(C3&gt;=64),(MOD(C3,2)=0))</formula1>
    </dataValidation>
    <dataValidation type="custom" allowBlank="1" showInputMessage="1" showErrorMessage="1" errorTitle="Input parameter error" error="Input range:[0, (1236-'Height')],and is an integer multiple of 2" sqref="C4">
      <formula1>AND(((C3+C4)&lt;=1236),(MOD(C4,2)=0))</formula1>
    </dataValidation>
    <dataValidation type="whole" allowBlank="1" showInputMessage="1" showErrorMessage="1" errorTitle="Input parameter error" error="Input range:[13, 1000000]" sqref="C5">
      <formula1>13</formula1>
      <formula2>1000000</formula2>
    </dataValidation>
    <dataValidation type="custom" allowBlank="1" showInputMessage="1" showErrorMessage="1" errorTitle="Input parameter error" error="Input 8 or 12" sqref="C6">
      <formula1>OR((C6=8),(C6=12))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C10</formula2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whole" allowBlank="1" showInputMessage="1" showErrorMessage="1" sqref="C10">
      <formula1>0</formula1>
      <formula2>C24</formula2>
    </dataValidation>
    <dataValidation type="whole" allowBlank="1" showInputMessage="1" showErrorMessage="1" errorTitle="Input parameter error" error="Input range:[0, 'BandwidthReserveMaxValue'], and is an integer multiple of 1" sqref="C11">
      <formula1>0</formula1>
      <formula2>C12</formula2>
    </dataValidation>
    <dataValidation type="custom" allowBlank="1" showInputMessage="1" showErrorMessage="1" errorTitle="Input parameter error" error="Input 0 or 1" sqref="C14">
      <formula1>OR((C14=0),(C14=1))</formula1>
    </dataValidation>
    <dataValidation type="custom" allowBlank="1" showInputMessage="1" showErrorMessage="1" errorTitle="Input parameter error" error="Input range:[0.1, 10000]" sqref="C13">
      <formula1>AND(TRUNC(C13,1)=C13,(C13&gt;=0.1),(C13&lt;=10000))</formula1>
    </dataValidation>
    <dataValidation type="whole" allowBlank="1" showInputMessage="1" showErrorMessage="1" sqref="C12">
      <formula1>0</formula1>
      <formula2>C55</formula2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B1" zoomScaleNormal="100" workbookViewId="0">
      <selection activeCell="H8" sqref="H8"/>
    </sheetView>
  </sheetViews>
  <sheetFormatPr defaultRowHeight="13.5" x14ac:dyDescent="0.15"/>
  <cols>
    <col min="1" max="1" width="21.25" style="41" hidden="1" customWidth="1"/>
    <col min="2" max="2" width="23.375" style="41" customWidth="1"/>
    <col min="3" max="3" width="14.75" style="41" customWidth="1"/>
    <col min="4" max="4" width="14.125" style="41" customWidth="1"/>
    <col min="5" max="5" width="20.125" style="41" customWidth="1"/>
    <col min="6" max="6" width="13" style="41" customWidth="1"/>
    <col min="7" max="7" width="13.375" style="41" customWidth="1"/>
    <col min="8" max="9" width="10.5" style="41" bestFit="1" customWidth="1"/>
    <col min="10" max="10" width="11.125" style="41" customWidth="1"/>
    <col min="11" max="16384" width="9" style="41"/>
  </cols>
  <sheetData>
    <row r="1" spans="1:3" s="42" customFormat="1" x14ac:dyDescent="0.15">
      <c r="A1" s="47" t="s">
        <v>762</v>
      </c>
      <c r="B1" s="47"/>
      <c r="C1" s="48"/>
    </row>
    <row r="2" spans="1:3" s="42" customFormat="1" x14ac:dyDescent="0.15">
      <c r="A2" s="47" t="s">
        <v>761</v>
      </c>
      <c r="B2" s="47" t="s">
        <v>722</v>
      </c>
      <c r="C2" s="48">
        <v>4024</v>
      </c>
    </row>
    <row r="3" spans="1:3" s="42" customFormat="1" x14ac:dyDescent="0.15">
      <c r="A3" s="47" t="s">
        <v>760</v>
      </c>
      <c r="B3" s="47" t="s">
        <v>721</v>
      </c>
      <c r="C3" s="48">
        <v>3036</v>
      </c>
    </row>
    <row r="4" spans="1:3" s="42" customFormat="1" x14ac:dyDescent="0.15">
      <c r="A4" s="47" t="s">
        <v>759</v>
      </c>
      <c r="B4" s="47" t="s">
        <v>720</v>
      </c>
      <c r="C4" s="48">
        <v>60000</v>
      </c>
    </row>
    <row r="5" spans="1:3" s="42" customFormat="1" x14ac:dyDescent="0.15">
      <c r="A5" s="47" t="s">
        <v>758</v>
      </c>
      <c r="B5" s="47" t="s">
        <v>719</v>
      </c>
      <c r="C5" s="48">
        <v>8</v>
      </c>
    </row>
    <row r="6" spans="1:3" s="42" customFormat="1" x14ac:dyDescent="0.15">
      <c r="A6" s="47" t="s">
        <v>757</v>
      </c>
      <c r="B6" s="47" t="s">
        <v>11</v>
      </c>
      <c r="C6" s="48">
        <v>1500</v>
      </c>
    </row>
    <row r="7" spans="1:3" s="42" customFormat="1" x14ac:dyDescent="0.15">
      <c r="A7" s="47" t="s">
        <v>756</v>
      </c>
      <c r="B7" s="47" t="s">
        <v>12</v>
      </c>
      <c r="C7" s="48">
        <v>0</v>
      </c>
    </row>
    <row r="8" spans="1:3" s="42" customFormat="1" x14ac:dyDescent="0.15">
      <c r="A8" s="47" t="s">
        <v>755</v>
      </c>
      <c r="B8" s="47" t="s">
        <v>718</v>
      </c>
      <c r="C8" s="47">
        <f>C48</f>
        <v>133241</v>
      </c>
    </row>
    <row r="9" spans="1:3" s="42" customFormat="1" x14ac:dyDescent="0.15">
      <c r="A9" s="47" t="s">
        <v>754</v>
      </c>
      <c r="B9" s="47" t="s">
        <v>717</v>
      </c>
      <c r="C9" s="48">
        <v>1000</v>
      </c>
    </row>
    <row r="10" spans="1:3" s="42" customFormat="1" x14ac:dyDescent="0.15">
      <c r="A10" s="47" t="s">
        <v>753</v>
      </c>
      <c r="B10" s="47" t="s">
        <v>28</v>
      </c>
      <c r="C10" s="48">
        <v>10</v>
      </c>
    </row>
    <row r="11" spans="1:3" s="42" customFormat="1" x14ac:dyDescent="0.15">
      <c r="A11" s="47" t="s">
        <v>752</v>
      </c>
      <c r="B11" s="47" t="s">
        <v>716</v>
      </c>
      <c r="C11" s="47">
        <f>C51</f>
        <v>98</v>
      </c>
    </row>
    <row r="12" spans="1:3" s="42" customFormat="1" x14ac:dyDescent="0.15">
      <c r="A12" s="47" t="s">
        <v>751</v>
      </c>
      <c r="B12" s="48" t="s">
        <v>715</v>
      </c>
      <c r="C12" s="48">
        <v>0</v>
      </c>
    </row>
    <row r="13" spans="1:3" s="42" customFormat="1" ht="15" customHeight="1" x14ac:dyDescent="0.15">
      <c r="A13" s="47" t="s">
        <v>750</v>
      </c>
      <c r="B13" s="47" t="s">
        <v>714</v>
      </c>
      <c r="C13" s="48">
        <v>9</v>
      </c>
    </row>
    <row r="14" spans="1:3" s="42" customFormat="1" x14ac:dyDescent="0.15">
      <c r="A14" s="47" t="s">
        <v>749</v>
      </c>
      <c r="B14" s="47" t="s">
        <v>713</v>
      </c>
      <c r="C14" s="48">
        <v>0</v>
      </c>
    </row>
    <row r="15" spans="1:3" s="42" customFormat="1" hidden="1" x14ac:dyDescent="0.15">
      <c r="A15" s="47"/>
      <c r="B15" s="47"/>
      <c r="C15" s="47"/>
    </row>
    <row r="16" spans="1:3" s="42" customFormat="1" hidden="1" x14ac:dyDescent="0.15">
      <c r="A16" s="46" t="s">
        <v>748</v>
      </c>
      <c r="B16" s="46" t="s">
        <v>712</v>
      </c>
      <c r="C16" s="46">
        <v>72000</v>
      </c>
    </row>
    <row r="17" spans="1:3" s="42" customFormat="1" hidden="1" x14ac:dyDescent="0.15">
      <c r="A17" s="46" t="s">
        <v>747</v>
      </c>
      <c r="B17" s="46" t="s">
        <v>711</v>
      </c>
      <c r="C17" s="46">
        <v>1650</v>
      </c>
    </row>
    <row r="18" spans="1:3" s="42" customFormat="1" hidden="1" x14ac:dyDescent="0.15">
      <c r="A18" s="46" t="s">
        <v>746</v>
      </c>
      <c r="B18" s="46" t="s">
        <v>710</v>
      </c>
      <c r="C18" s="46">
        <f>ROUNDUP(C17*(1000000/C16),0)</f>
        <v>22917</v>
      </c>
    </row>
    <row r="19" spans="1:3" s="42" customFormat="1" hidden="1" x14ac:dyDescent="0.15">
      <c r="A19" s="46" t="s">
        <v>745</v>
      </c>
      <c r="B19" s="46" t="s">
        <v>709</v>
      </c>
      <c r="C19" s="46">
        <v>79</v>
      </c>
    </row>
    <row r="20" spans="1:3" s="42" customFormat="1" ht="27" hidden="1" x14ac:dyDescent="0.15">
      <c r="A20" s="46" t="s">
        <v>744</v>
      </c>
      <c r="B20" s="46" t="s">
        <v>708</v>
      </c>
      <c r="C20" s="46">
        <v>33</v>
      </c>
    </row>
    <row r="21" spans="1:3" s="42" customFormat="1" ht="54" hidden="1" x14ac:dyDescent="0.15">
      <c r="A21" s="46" t="s">
        <v>743</v>
      </c>
      <c r="B21" s="46" t="s">
        <v>707</v>
      </c>
      <c r="C21" s="46">
        <v>17</v>
      </c>
    </row>
    <row r="22" spans="1:3" s="42" customFormat="1" hidden="1" x14ac:dyDescent="0.15">
      <c r="A22" s="46" t="s">
        <v>706</v>
      </c>
      <c r="B22" s="46" t="s">
        <v>706</v>
      </c>
      <c r="C22" s="46">
        <v>8</v>
      </c>
    </row>
    <row r="23" spans="1:3" s="42" customFormat="1" ht="27" hidden="1" x14ac:dyDescent="0.15">
      <c r="A23" s="46" t="s">
        <v>742</v>
      </c>
      <c r="B23" s="46" t="s">
        <v>705</v>
      </c>
      <c r="C23" s="46">
        <v>50</v>
      </c>
    </row>
    <row r="24" spans="1:3" s="42" customFormat="1" hidden="1" x14ac:dyDescent="0.15">
      <c r="A24" s="46" t="s">
        <v>741</v>
      </c>
      <c r="B24" s="46" t="s">
        <v>704</v>
      </c>
      <c r="C24" s="46">
        <v>1250</v>
      </c>
    </row>
    <row r="25" spans="1:3" s="42" customFormat="1" hidden="1" x14ac:dyDescent="0.15">
      <c r="A25" s="46" t="s">
        <v>740</v>
      </c>
      <c r="B25" s="46" t="s">
        <v>703</v>
      </c>
      <c r="C25" s="46">
        <v>3046</v>
      </c>
    </row>
    <row r="26" spans="1:3" s="42" customFormat="1" hidden="1" x14ac:dyDescent="0.15">
      <c r="A26" s="46" t="s">
        <v>739</v>
      </c>
      <c r="B26" s="47"/>
      <c r="C26" s="44">
        <v>16</v>
      </c>
    </row>
    <row r="27" spans="1:3" s="42" customFormat="1" hidden="1" x14ac:dyDescent="0.15">
      <c r="A27" s="46" t="s">
        <v>738</v>
      </c>
      <c r="B27" s="44"/>
      <c r="C27" s="44">
        <f>C20+MAX(MAX(C3,C25)+C19-C20,2 + C21)</f>
        <v>3125</v>
      </c>
    </row>
    <row r="28" spans="1:3" s="42" customFormat="1" hidden="1" x14ac:dyDescent="0.15">
      <c r="A28" s="46" t="s">
        <v>737</v>
      </c>
      <c r="B28" s="44"/>
      <c r="C28" s="44">
        <f>ROUNDDOWN(1000000000/C13/C18,0)*C14</f>
        <v>0</v>
      </c>
    </row>
    <row r="29" spans="1:3" s="42" customFormat="1" hidden="1" x14ac:dyDescent="0.15">
      <c r="A29" s="46" t="s">
        <v>736</v>
      </c>
      <c r="B29" s="44"/>
      <c r="C29" s="44">
        <f>ROUNDUP(C4*1000/C18,0)+C22</f>
        <v>2627</v>
      </c>
    </row>
    <row r="30" spans="1:3" s="42" customFormat="1" hidden="1" x14ac:dyDescent="0.15">
      <c r="A30" s="46" t="s">
        <v>735</v>
      </c>
      <c r="B30" s="44"/>
      <c r="C30" s="44">
        <f>C27+C29+C26</f>
        <v>5768</v>
      </c>
    </row>
    <row r="31" spans="1:3" s="42" customFormat="1" hidden="1" x14ac:dyDescent="0.15">
      <c r="A31" s="46"/>
      <c r="B31" s="44"/>
      <c r="C31" s="44"/>
    </row>
    <row r="32" spans="1:3" s="42" customFormat="1" hidden="1" x14ac:dyDescent="0.15">
      <c r="A32" s="46" t="s">
        <v>734</v>
      </c>
      <c r="B32" s="44"/>
      <c r="C32" s="44">
        <v>0</v>
      </c>
    </row>
    <row r="33" spans="1:3" s="42" customFormat="1" hidden="1" x14ac:dyDescent="0.15">
      <c r="A33" s="46" t="s">
        <v>733</v>
      </c>
      <c r="B33" s="44"/>
      <c r="C33" s="44">
        <f>C2*C3*IF(C5=8,1,2)+C32*32</f>
        <v>12216864</v>
      </c>
    </row>
    <row r="34" spans="1:3" s="42" customFormat="1" hidden="1" x14ac:dyDescent="0.15">
      <c r="A34" s="46" t="s">
        <v>529</v>
      </c>
      <c r="B34" s="44"/>
      <c r="C34" s="44">
        <f>INT(C33/(C6-36))</f>
        <v>8344</v>
      </c>
    </row>
    <row r="35" spans="1:3" s="42" customFormat="1" hidden="1" x14ac:dyDescent="0.15">
      <c r="A35" s="46" t="s">
        <v>533</v>
      </c>
      <c r="B35" s="44"/>
      <c r="C35" s="44">
        <f>IF((C33-(C6-36)*C34)&lt; 64, 64,(C33-(C6-36)*C34))</f>
        <v>1248</v>
      </c>
    </row>
    <row r="36" spans="1:3" s="42" customFormat="1" hidden="1" x14ac:dyDescent="0.15">
      <c r="A36" s="46" t="s">
        <v>531</v>
      </c>
      <c r="B36" s="44"/>
      <c r="C36" s="44">
        <f>IF(C35=0,0,1)</f>
        <v>1</v>
      </c>
    </row>
    <row r="37" spans="1:3" s="42" customFormat="1" hidden="1" x14ac:dyDescent="0.15">
      <c r="A37" s="46" t="s">
        <v>515</v>
      </c>
      <c r="B37" s="44"/>
      <c r="C37" s="44">
        <f>IF(C32=0,36,12)</f>
        <v>36</v>
      </c>
    </row>
    <row r="38" spans="1:3" s="42" customFormat="1" ht="40.5" hidden="1" x14ac:dyDescent="0.15">
      <c r="A38" s="46" t="s">
        <v>732</v>
      </c>
      <c r="B38" s="44"/>
      <c r="C38" s="44">
        <f>C34*(C6+26)+C36*(C35+26+36)</f>
        <v>12734254</v>
      </c>
    </row>
    <row r="39" spans="1:3" s="42" customFormat="1" hidden="1" x14ac:dyDescent="0.15">
      <c r="A39" s="46" t="s">
        <v>543</v>
      </c>
      <c r="B39" s="44"/>
      <c r="C39" s="44">
        <f>(2+C36+C34)*(C7+12)</f>
        <v>100164</v>
      </c>
    </row>
    <row r="40" spans="1:3" s="42" customFormat="1" hidden="1" x14ac:dyDescent="0.15">
      <c r="A40" s="46" t="s">
        <v>545</v>
      </c>
      <c r="B40" s="44"/>
      <c r="C40" s="44">
        <f>C38+C39+170-24*C32</f>
        <v>12834588</v>
      </c>
    </row>
    <row r="41" spans="1:3" s="42" customFormat="1" hidden="1" x14ac:dyDescent="0.15">
      <c r="A41" s="46" t="s">
        <v>547</v>
      </c>
      <c r="B41" s="44"/>
      <c r="C41" s="44">
        <f>INT(C9*(100-C10)/80)</f>
        <v>1125</v>
      </c>
    </row>
    <row r="42" spans="1:3" s="42" customFormat="1" hidden="1" x14ac:dyDescent="0.15">
      <c r="A42" s="46" t="s">
        <v>549</v>
      </c>
      <c r="B42" s="44"/>
      <c r="C42" s="44">
        <f>ROUNDUP(C40/C41*10*1000/C18,0)</f>
        <v>4979</v>
      </c>
    </row>
    <row r="43" spans="1:3" s="42" customFormat="1" ht="27" hidden="1" x14ac:dyDescent="0.15">
      <c r="A43" s="46" t="s">
        <v>551</v>
      </c>
      <c r="B43" s="44"/>
      <c r="C43" s="44">
        <f>ROUNDUP((C33+C37+10)*10*1000/C24/C18,0)</f>
        <v>4265</v>
      </c>
    </row>
    <row r="44" spans="1:3" s="42" customFormat="1" hidden="1" x14ac:dyDescent="0.15">
      <c r="A44" s="46" t="s">
        <v>731</v>
      </c>
      <c r="B44" s="44"/>
      <c r="C44" s="44">
        <f>MAX(C42,C43)</f>
        <v>4979</v>
      </c>
    </row>
    <row r="45" spans="1:3" s="42" customFormat="1" hidden="1" x14ac:dyDescent="0.15">
      <c r="A45" s="46"/>
      <c r="B45" s="44"/>
      <c r="C45" s="44"/>
    </row>
    <row r="46" spans="1:3" s="42" customFormat="1" hidden="1" x14ac:dyDescent="0.15">
      <c r="A46" s="44"/>
      <c r="B46" s="44"/>
      <c r="C46" s="44"/>
    </row>
    <row r="47" spans="1:3" s="42" customFormat="1" hidden="1" x14ac:dyDescent="0.15">
      <c r="A47" s="44" t="s">
        <v>56</v>
      </c>
      <c r="B47" s="44"/>
      <c r="C47" s="44">
        <f>12500*C9*(100-C10)</f>
        <v>1125000000</v>
      </c>
    </row>
    <row r="48" spans="1:3" s="42" customFormat="1" hidden="1" x14ac:dyDescent="0.15">
      <c r="A48" s="44" t="s">
        <v>554</v>
      </c>
      <c r="B48" s="44"/>
      <c r="C48" s="44">
        <f>IF((ROUNDDOWN((C47-(62+C6-36)*C34-62-C35-168+C32*24)/(C34+3),0)-12)&gt;180000,180000,ROUNDDOWN((C47-(62+C6-36)*C34-62-C35-168+C32*24)/(C34+3),0)-12)</f>
        <v>133241</v>
      </c>
    </row>
    <row r="49" spans="1:4" s="42" customFormat="1" hidden="1" x14ac:dyDescent="0.15">
      <c r="A49" s="44" t="s">
        <v>58</v>
      </c>
      <c r="B49" s="44"/>
      <c r="C49" s="44">
        <f>((62+(C6-36))*C34+62+C35+168)+(C7+12)*(C34+3)</f>
        <v>12834586</v>
      </c>
    </row>
    <row r="50" spans="1:4" s="42" customFormat="1" hidden="1" x14ac:dyDescent="0.15">
      <c r="A50" s="44" t="s">
        <v>56</v>
      </c>
      <c r="B50" s="44"/>
      <c r="C50" s="44">
        <f>125000*C9</f>
        <v>125000000</v>
      </c>
    </row>
    <row r="51" spans="1:4" s="42" customFormat="1" hidden="1" x14ac:dyDescent="0.15">
      <c r="A51" s="44" t="s">
        <v>557</v>
      </c>
      <c r="B51" s="44"/>
      <c r="C51" s="44">
        <f>IF((100-ROUNDDOWN(C49*10/(1250000*C9/10),0)-1)&lt;0,0,(100-ROUNDDOWN(C49*10/(1250000*C9/10),0)-1))</f>
        <v>98</v>
      </c>
    </row>
    <row r="52" spans="1:4" s="42" customFormat="1" hidden="1" x14ac:dyDescent="0.15">
      <c r="A52" s="44"/>
      <c r="B52" s="44"/>
      <c r="C52" s="44"/>
    </row>
    <row r="53" spans="1:4" s="42" customFormat="1" hidden="1" x14ac:dyDescent="0.15">
      <c r="A53" s="50"/>
      <c r="B53" s="44"/>
      <c r="C53" s="44"/>
    </row>
    <row r="54" spans="1:4" s="42" customFormat="1" hidden="1" x14ac:dyDescent="0.15">
      <c r="A54" s="49" t="s">
        <v>730</v>
      </c>
      <c r="B54" s="44"/>
      <c r="C54" s="45" t="str">
        <f>"0x"&amp;DEC2HEX(C17)</f>
        <v>0x672</v>
      </c>
      <c r="D54" s="42" t="s">
        <v>702</v>
      </c>
    </row>
    <row r="55" spans="1:4" s="42" customFormat="1" hidden="1" x14ac:dyDescent="0.15">
      <c r="A55" s="46" t="s">
        <v>729</v>
      </c>
      <c r="B55" s="44"/>
      <c r="C55" s="44">
        <f>0</f>
        <v>0</v>
      </c>
    </row>
    <row r="56" spans="1:4" s="42" customFormat="1" hidden="1" x14ac:dyDescent="0.15">
      <c r="A56" s="46" t="s">
        <v>728</v>
      </c>
      <c r="B56" s="44"/>
      <c r="C56" s="45" t="str">
        <f xml:space="preserve">  "0x"&amp;DEC2HEX( ROUNDUP(C4*1000/C18,0))</f>
        <v>0xA3B</v>
      </c>
      <c r="D56" s="42" t="s">
        <v>701</v>
      </c>
    </row>
    <row r="57" spans="1:4" s="42" customFormat="1" hidden="1" x14ac:dyDescent="0.15">
      <c r="A57" s="46" t="s">
        <v>727</v>
      </c>
      <c r="B57" s="44"/>
      <c r="C57" s="45" t="str">
        <f>"0x"&amp;DEC2HEX(C59)</f>
        <v>0x1373</v>
      </c>
      <c r="D57" s="42" t="s">
        <v>700</v>
      </c>
    </row>
    <row r="58" spans="1:4" s="42" customFormat="1" hidden="1" x14ac:dyDescent="0.15">
      <c r="A58" s="46"/>
      <c r="B58" s="44"/>
      <c r="C58" s="45"/>
    </row>
    <row r="59" spans="1:4" s="42" customFormat="1" hidden="1" x14ac:dyDescent="0.15">
      <c r="A59" s="44" t="s">
        <v>726</v>
      </c>
      <c r="B59" s="44"/>
      <c r="C59" s="44">
        <f>IF(C12=0,MAX(C27,C28,C29,C44),MAX(C28,C30,C44))</f>
        <v>4979</v>
      </c>
    </row>
    <row r="60" spans="1:4" s="42" customFormat="1" hidden="1" x14ac:dyDescent="0.15">
      <c r="A60" s="44" t="s">
        <v>725</v>
      </c>
      <c r="B60" s="44"/>
      <c r="C60" s="44">
        <f>ROUNDUP(C59*C18/1000,0)</f>
        <v>114104</v>
      </c>
    </row>
    <row r="61" spans="1:4" s="42" customFormat="1" hidden="1" x14ac:dyDescent="0.15">
      <c r="A61" s="44" t="s">
        <v>559</v>
      </c>
      <c r="B61" s="44"/>
      <c r="C61" s="44">
        <f>ROUNDDOWN(ROUNDDOWN(C2*(ROUNDDOWN(1000000000/(C59*C17*10/(C16/100)),0))/10*IF(C5=8,1,2)/10*C3/10,0)*10/(100-C10)*10,0)</f>
        <v>118965106</v>
      </c>
    </row>
    <row r="62" spans="1:4" s="42" customFormat="1" ht="12.75" customHeight="1" x14ac:dyDescent="0.15">
      <c r="A62" s="44"/>
      <c r="B62" s="44"/>
      <c r="C62" s="44"/>
    </row>
    <row r="63" spans="1:4" s="42" customFormat="1" ht="14.25" x14ac:dyDescent="0.15">
      <c r="A63" s="43" t="s">
        <v>724</v>
      </c>
      <c r="B63" s="43"/>
      <c r="C63" s="43"/>
    </row>
    <row r="64" spans="1:4" s="42" customFormat="1" ht="14.25" x14ac:dyDescent="0.15">
      <c r="A64" s="43" t="s">
        <v>723</v>
      </c>
      <c r="B64" s="43" t="s">
        <v>903</v>
      </c>
      <c r="C64" s="43">
        <f>ROUND(1000000/C60,2)</f>
        <v>8.76</v>
      </c>
    </row>
  </sheetData>
  <sheetProtection algorithmName="SHA-512" hashValue="jiU64IbU0pMy/6pREBdCuAL4rQA2K3DRpDF7J9Xe9lwzaO7W+vUrAHlF0tefj11i9mH395QIzkQW7qVd+STneA==" saltValue="oYt32gJ45w44Rb36AUd4pA==" spinCount="100000" sheet="1" objects="1" scenarios="1"/>
  <dataConsolidate/>
  <phoneticPr fontId="1" type="noConversion"/>
  <dataValidations count="13">
    <dataValidation type="list" allowBlank="1" showErrorMessage="1" errorTitle="Input parameter error" error="Input 0 or 1" prompt="应在包间隔范围内" sqref="C14">
      <formula1>"0,1"</formula1>
    </dataValidation>
    <dataValidation type="whole" allowBlank="1" showErrorMessage="1" error="设置值超过最大值" prompt="应在包间隔范围内" sqref="C8">
      <formula1>0</formula1>
      <formula2>C48</formula2>
    </dataValidation>
    <dataValidation type="whole" allowBlank="1" showInputMessage="1" showErrorMessage="1" errorTitle="Input parameter error" error="Input range:[23, 1000000]" sqref="C4">
      <formula1>23</formula1>
      <formula2>1000000</formula2>
    </dataValidation>
    <dataValidation type="custom" allowBlank="1" showErrorMessage="1" errorTitle="Input parameter error" error="Input range:[0.1, 10000]" prompt="应在包间隔范围内" sqref="C13">
      <formula1>AND(TRUNC(C13,1)=C13,(C13&gt;0),(C13&lt;=10000))</formula1>
    </dataValidation>
    <dataValidation type="whole" allowBlank="1" error="设置值超过包间隔范围" prompt="设置值应在预留带宽范围内" sqref="C11">
      <formula1>0</formula1>
      <formula2>C51</formula2>
    </dataValidation>
    <dataValidation type="whole" allowBlank="1" showInputMessage="1" showErrorMessage="1" errorTitle="Input parameter error" error="Input range:[0, 'GevSCPDMaxValue'], and is an integer multiple of 1" sqref="C7">
      <formula1>0</formula1>
      <formula2>C8</formula2>
    </dataValidation>
    <dataValidation type="whole" allowBlank="1" showInputMessage="1" showErrorMessage="1" errorTitle="Input parameter error" error="Input range:[0, 'BandwidthReserveMaxValue'], and is an integer multiple of 1" sqref="C10">
      <formula1>0</formula1>
      <formula2>C11</formula2>
    </dataValidation>
    <dataValidation type="custom" allowBlank="1" showInputMessage="1" showErrorMessage="1" errorTitle="Input parameter error" error="Input range:[64, 4024],and is an integer multiple of 4" sqref="C2">
      <formula1>AND((C2&lt;=4024),(C2&gt;=64),(MOD(C2,4)=0))</formula1>
    </dataValidation>
    <dataValidation type="custom" allowBlank="1" showInputMessage="1" showErrorMessage="1" errorTitle="Input parameter error" error="Input range:[0, 3036],and is an integer multiple of 2" sqref="C3">
      <formula1>AND((C3&lt;=3672),(C3&gt;=64),(MOD(C3,2)=0))</formula1>
    </dataValidation>
    <dataValidation type="list" allowBlank="1" showInputMessage="1" showErrorMessage="1" errorTitle="Input parameter error" error="Input 8 or 12" sqref="C5">
      <formula1>"8,12"</formula1>
    </dataValidation>
    <dataValidation type="custom" allowBlank="1" showInputMessage="1" showErrorMessage="1" errorTitle="Input parameter error" error="Input range:[512, 8192],and is an integer multiple of 4" sqref="C6">
      <formula1>AND((C6&lt;=8192),(C6&gt;=512),(MOD(C6,4)=0))</formula1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list" allowBlank="1" showErrorMessage="1" errorTitle="Input parameter error" error="Input 0 or 1" prompt="应在包间隔范围内" sqref="C12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B1" zoomScaleNormal="100" workbookViewId="0">
      <selection activeCell="C15" sqref="C15"/>
    </sheetView>
  </sheetViews>
  <sheetFormatPr defaultRowHeight="13.5" x14ac:dyDescent="0.15"/>
  <cols>
    <col min="1" max="1" width="21.25" style="77" hidden="1" customWidth="1"/>
    <col min="2" max="2" width="23.375" style="77" customWidth="1"/>
    <col min="3" max="3" width="14.75" style="77" customWidth="1"/>
    <col min="4" max="4" width="14.125" style="77" customWidth="1"/>
    <col min="5" max="5" width="17.375" style="77" customWidth="1"/>
    <col min="6" max="16384" width="9" style="77"/>
  </cols>
  <sheetData>
    <row r="1" spans="1:3" s="70" customFormat="1" x14ac:dyDescent="0.15">
      <c r="A1" s="68" t="s">
        <v>762</v>
      </c>
      <c r="B1" s="68"/>
      <c r="C1" s="69"/>
    </row>
    <row r="2" spans="1:3" s="70" customFormat="1" x14ac:dyDescent="0.15">
      <c r="A2" s="68" t="s">
        <v>761</v>
      </c>
      <c r="B2" s="68" t="s">
        <v>722</v>
      </c>
      <c r="C2" s="69">
        <v>720</v>
      </c>
    </row>
    <row r="3" spans="1:3" s="70" customFormat="1" x14ac:dyDescent="0.15">
      <c r="A3" s="68" t="s">
        <v>760</v>
      </c>
      <c r="B3" s="68" t="s">
        <v>721</v>
      </c>
      <c r="C3" s="69">
        <v>540</v>
      </c>
    </row>
    <row r="4" spans="1:3" s="70" customFormat="1" x14ac:dyDescent="0.15">
      <c r="A4" s="68" t="s">
        <v>759</v>
      </c>
      <c r="B4" s="68" t="s">
        <v>720</v>
      </c>
      <c r="C4" s="69">
        <v>10000</v>
      </c>
    </row>
    <row r="5" spans="1:3" s="70" customFormat="1" x14ac:dyDescent="0.15">
      <c r="A5" s="68" t="s">
        <v>758</v>
      </c>
      <c r="B5" s="68" t="s">
        <v>719</v>
      </c>
      <c r="C5" s="69">
        <v>8</v>
      </c>
    </row>
    <row r="6" spans="1:3" s="70" customFormat="1" x14ac:dyDescent="0.15">
      <c r="A6" s="68" t="s">
        <v>757</v>
      </c>
      <c r="B6" s="68" t="s">
        <v>11</v>
      </c>
      <c r="C6" s="69">
        <v>1500</v>
      </c>
    </row>
    <row r="7" spans="1:3" s="70" customFormat="1" x14ac:dyDescent="0.15">
      <c r="A7" s="68" t="s">
        <v>756</v>
      </c>
      <c r="B7" s="68" t="s">
        <v>12</v>
      </c>
      <c r="C7" s="69">
        <v>0</v>
      </c>
    </row>
    <row r="8" spans="1:3" s="70" customFormat="1" x14ac:dyDescent="0.15">
      <c r="A8" s="68" t="s">
        <v>755</v>
      </c>
      <c r="B8" s="68" t="s">
        <v>718</v>
      </c>
      <c r="C8" s="68">
        <f>C41</f>
        <v>180000</v>
      </c>
    </row>
    <row r="9" spans="1:3" s="70" customFormat="1" x14ac:dyDescent="0.15">
      <c r="A9" s="68" t="s">
        <v>754</v>
      </c>
      <c r="B9" s="68" t="s">
        <v>717</v>
      </c>
      <c r="C9" s="69">
        <v>1000</v>
      </c>
    </row>
    <row r="10" spans="1:3" s="70" customFormat="1" x14ac:dyDescent="0.15">
      <c r="A10" s="68" t="s">
        <v>753</v>
      </c>
      <c r="B10" s="68" t="s">
        <v>28</v>
      </c>
      <c r="C10" s="69">
        <v>10</v>
      </c>
    </row>
    <row r="11" spans="1:3" s="70" customFormat="1" x14ac:dyDescent="0.15">
      <c r="A11" s="68" t="s">
        <v>752</v>
      </c>
      <c r="B11" s="68" t="s">
        <v>716</v>
      </c>
      <c r="C11" s="68">
        <f>C44</f>
        <v>99</v>
      </c>
    </row>
    <row r="12" spans="1:3" s="70" customFormat="1" x14ac:dyDescent="0.15">
      <c r="A12" s="68" t="s">
        <v>751</v>
      </c>
      <c r="B12" s="69" t="s">
        <v>715</v>
      </c>
      <c r="C12" s="69">
        <v>0</v>
      </c>
    </row>
    <row r="13" spans="1:3" s="70" customFormat="1" ht="15" customHeight="1" x14ac:dyDescent="0.15">
      <c r="A13" s="67" t="s">
        <v>918</v>
      </c>
      <c r="B13" s="68" t="s">
        <v>714</v>
      </c>
      <c r="C13" s="69">
        <v>302</v>
      </c>
    </row>
    <row r="14" spans="1:3" s="70" customFormat="1" x14ac:dyDescent="0.15">
      <c r="A14" s="67" t="s">
        <v>919</v>
      </c>
      <c r="B14" s="68" t="s">
        <v>713</v>
      </c>
      <c r="C14" s="69">
        <v>0</v>
      </c>
    </row>
    <row r="15" spans="1:3" s="70" customFormat="1" x14ac:dyDescent="0.15">
      <c r="A15" s="68"/>
      <c r="B15" s="68"/>
      <c r="C15" s="68"/>
    </row>
    <row r="16" spans="1:3" s="70" customFormat="1" hidden="1" x14ac:dyDescent="0.15">
      <c r="A16" s="71" t="s">
        <v>748</v>
      </c>
      <c r="B16" s="71" t="s">
        <v>712</v>
      </c>
      <c r="C16" s="71">
        <v>37500</v>
      </c>
    </row>
    <row r="17" spans="1:3" s="70" customFormat="1" hidden="1" x14ac:dyDescent="0.15">
      <c r="A17" s="71" t="s">
        <v>747</v>
      </c>
      <c r="B17" s="71" t="s">
        <v>711</v>
      </c>
      <c r="C17" s="71">
        <v>198</v>
      </c>
    </row>
    <row r="18" spans="1:3" s="70" customFormat="1" hidden="1" x14ac:dyDescent="0.15">
      <c r="A18" s="71" t="s">
        <v>746</v>
      </c>
      <c r="B18" s="71" t="s">
        <v>710</v>
      </c>
      <c r="C18" s="71">
        <f>ROUNDUP(C17*(1000000/C16),0)</f>
        <v>5280</v>
      </c>
    </row>
    <row r="19" spans="1:3" s="70" customFormat="1" hidden="1" x14ac:dyDescent="0.15">
      <c r="A19" s="71" t="s">
        <v>920</v>
      </c>
      <c r="B19" s="71" t="s">
        <v>709</v>
      </c>
      <c r="C19" s="71">
        <v>42</v>
      </c>
    </row>
    <row r="20" spans="1:3" s="70" customFormat="1" hidden="1" x14ac:dyDescent="0.15">
      <c r="A20" s="71" t="s">
        <v>741</v>
      </c>
      <c r="B20" s="71" t="s">
        <v>704</v>
      </c>
      <c r="C20" s="71">
        <v>1250</v>
      </c>
    </row>
    <row r="21" spans="1:3" s="70" customFormat="1" hidden="1" x14ac:dyDescent="0.15">
      <c r="A21" s="71" t="s">
        <v>738</v>
      </c>
      <c r="B21" s="72"/>
      <c r="C21" s="72">
        <f>C3+29+42</f>
        <v>611</v>
      </c>
    </row>
    <row r="22" spans="1:3" s="70" customFormat="1" hidden="1" x14ac:dyDescent="0.15">
      <c r="A22" s="71" t="s">
        <v>737</v>
      </c>
      <c r="B22" s="72"/>
      <c r="C22" s="72">
        <f>ROUNDUP(1000000000/C13/C18,0)*C14</f>
        <v>0</v>
      </c>
    </row>
    <row r="23" spans="1:3" s="70" customFormat="1" hidden="1" x14ac:dyDescent="0.15">
      <c r="A23" s="71" t="s">
        <v>736</v>
      </c>
      <c r="B23" s="72"/>
      <c r="C23" s="72">
        <f>MAX(ROUNDUP(((1000*C4-14260)/C18),0),1)+18</f>
        <v>1910</v>
      </c>
    </row>
    <row r="24" spans="1:3" s="70" customFormat="1" hidden="1" x14ac:dyDescent="0.15">
      <c r="A24" s="71"/>
      <c r="B24" s="72"/>
      <c r="C24" s="72"/>
    </row>
    <row r="25" spans="1:3" s="70" customFormat="1" hidden="1" x14ac:dyDescent="0.15">
      <c r="A25" s="71" t="s">
        <v>734</v>
      </c>
      <c r="B25" s="72"/>
      <c r="C25" s="72">
        <v>0</v>
      </c>
    </row>
    <row r="26" spans="1:3" s="70" customFormat="1" hidden="1" x14ac:dyDescent="0.15">
      <c r="A26" s="71" t="s">
        <v>733</v>
      </c>
      <c r="B26" s="72"/>
      <c r="C26" s="72">
        <f>C2*C3*IF(C5=8,1,2)+C25*32</f>
        <v>388800</v>
      </c>
    </row>
    <row r="27" spans="1:3" s="70" customFormat="1" hidden="1" x14ac:dyDescent="0.15">
      <c r="A27" s="71" t="s">
        <v>529</v>
      </c>
      <c r="B27" s="72"/>
      <c r="C27" s="72">
        <f>INT(C26/(C6-36))</f>
        <v>265</v>
      </c>
    </row>
    <row r="28" spans="1:3" s="70" customFormat="1" hidden="1" x14ac:dyDescent="0.15">
      <c r="A28" s="71" t="s">
        <v>533</v>
      </c>
      <c r="B28" s="72"/>
      <c r="C28" s="72">
        <f>IF((C26-(C6-36)*C27)&lt; 64, 64,(C26-(C6-36)*C27))</f>
        <v>840</v>
      </c>
    </row>
    <row r="29" spans="1:3" s="70" customFormat="1" hidden="1" x14ac:dyDescent="0.15">
      <c r="A29" s="71" t="s">
        <v>531</v>
      </c>
      <c r="B29" s="72"/>
      <c r="C29" s="72">
        <f>IF(C28=0,0,1)</f>
        <v>1</v>
      </c>
    </row>
    <row r="30" spans="1:3" s="70" customFormat="1" hidden="1" x14ac:dyDescent="0.15">
      <c r="A30" s="71" t="s">
        <v>515</v>
      </c>
      <c r="B30" s="72"/>
      <c r="C30" s="72">
        <f>IF(C25=0,36,12)</f>
        <v>36</v>
      </c>
    </row>
    <row r="31" spans="1:3" s="70" customFormat="1" ht="40.5" hidden="1" x14ac:dyDescent="0.15">
      <c r="A31" s="71" t="s">
        <v>732</v>
      </c>
      <c r="B31" s="72"/>
      <c r="C31" s="72">
        <f>C27*(C6+26)+C29*(C28+26+36)</f>
        <v>405292</v>
      </c>
    </row>
    <row r="32" spans="1:3" s="70" customFormat="1" hidden="1" x14ac:dyDescent="0.15">
      <c r="A32" s="71" t="s">
        <v>543</v>
      </c>
      <c r="B32" s="72"/>
      <c r="C32" s="72">
        <f>(2+C29+C27)*(C7+12)</f>
        <v>3216</v>
      </c>
    </row>
    <row r="33" spans="1:4" s="70" customFormat="1" hidden="1" x14ac:dyDescent="0.15">
      <c r="A33" s="71" t="s">
        <v>545</v>
      </c>
      <c r="B33" s="72"/>
      <c r="C33" s="72">
        <f>C31+C32+170-24*C25</f>
        <v>408678</v>
      </c>
    </row>
    <row r="34" spans="1:4" s="70" customFormat="1" hidden="1" x14ac:dyDescent="0.15">
      <c r="A34" s="71" t="s">
        <v>547</v>
      </c>
      <c r="B34" s="72"/>
      <c r="C34" s="72">
        <f>INT(C9*(100-C10)/80)</f>
        <v>1125</v>
      </c>
    </row>
    <row r="35" spans="1:4" s="70" customFormat="1" hidden="1" x14ac:dyDescent="0.15">
      <c r="A35" s="71" t="s">
        <v>549</v>
      </c>
      <c r="B35" s="72"/>
      <c r="C35" s="72">
        <f>ROUNDUP(C33/C34*10*1000/C18,0)</f>
        <v>689</v>
      </c>
    </row>
    <row r="36" spans="1:4" s="70" customFormat="1" ht="27" hidden="1" x14ac:dyDescent="0.15">
      <c r="A36" s="71" t="s">
        <v>551</v>
      </c>
      <c r="B36" s="72"/>
      <c r="C36" s="72">
        <f>ROUNDUP((C26+C30+10)*10*1000/C20/C18,0)</f>
        <v>590</v>
      </c>
    </row>
    <row r="37" spans="1:4" s="70" customFormat="1" hidden="1" x14ac:dyDescent="0.15">
      <c r="A37" s="71" t="s">
        <v>731</v>
      </c>
      <c r="B37" s="72"/>
      <c r="C37" s="72">
        <f>MAX(C35,C36)</f>
        <v>689</v>
      </c>
    </row>
    <row r="38" spans="1:4" s="70" customFormat="1" hidden="1" x14ac:dyDescent="0.15">
      <c r="A38" s="71"/>
      <c r="B38" s="72"/>
      <c r="C38" s="72"/>
    </row>
    <row r="39" spans="1:4" s="70" customFormat="1" hidden="1" x14ac:dyDescent="0.15">
      <c r="A39" s="72"/>
      <c r="B39" s="72"/>
      <c r="C39" s="72"/>
    </row>
    <row r="40" spans="1:4" s="70" customFormat="1" hidden="1" x14ac:dyDescent="0.15">
      <c r="A40" s="72" t="s">
        <v>56</v>
      </c>
      <c r="B40" s="72"/>
      <c r="C40" s="72">
        <f>12500*C9*(100-C10)</f>
        <v>1125000000</v>
      </c>
    </row>
    <row r="41" spans="1:4" s="70" customFormat="1" hidden="1" x14ac:dyDescent="0.15">
      <c r="A41" s="72" t="s">
        <v>554</v>
      </c>
      <c r="B41" s="72"/>
      <c r="C41" s="72">
        <f>IF((ROUNDDOWN((C40-(62+C6-36)*C27-62-C28-168+C25*24)/(C27+3),0)-12)&gt;180000,180000,ROUNDDOWN((C40-(62+C6-36)*C27-62-C28-168+C25*24)/(C27+3),0)-12)</f>
        <v>180000</v>
      </c>
    </row>
    <row r="42" spans="1:4" s="70" customFormat="1" hidden="1" x14ac:dyDescent="0.15">
      <c r="A42" s="72" t="s">
        <v>58</v>
      </c>
      <c r="B42" s="72"/>
      <c r="C42" s="72">
        <f>((62+(C6-36))*C27+62+C28+168)+(C7+12)*(C27+3)</f>
        <v>408676</v>
      </c>
    </row>
    <row r="43" spans="1:4" s="70" customFormat="1" hidden="1" x14ac:dyDescent="0.15">
      <c r="A43" s="72" t="s">
        <v>56</v>
      </c>
      <c r="B43" s="72"/>
      <c r="C43" s="72">
        <f>125000*C9</f>
        <v>125000000</v>
      </c>
    </row>
    <row r="44" spans="1:4" s="70" customFormat="1" hidden="1" x14ac:dyDescent="0.15">
      <c r="A44" s="72" t="s">
        <v>557</v>
      </c>
      <c r="B44" s="72"/>
      <c r="C44" s="72">
        <f>IF((100-ROUNDDOWN(C42*10/(1250000*C9/10),0)-1)&lt;0,0,(100-ROUNDDOWN(C42*10/(1250000*C9/10),0)-1))</f>
        <v>99</v>
      </c>
    </row>
    <row r="45" spans="1:4" s="70" customFormat="1" hidden="1" x14ac:dyDescent="0.15">
      <c r="A45" s="72"/>
      <c r="B45" s="72"/>
      <c r="C45" s="72"/>
    </row>
    <row r="46" spans="1:4" s="70" customFormat="1" hidden="1" x14ac:dyDescent="0.15">
      <c r="A46" s="73"/>
      <c r="B46" s="72"/>
      <c r="C46" s="72"/>
    </row>
    <row r="47" spans="1:4" s="70" customFormat="1" hidden="1" x14ac:dyDescent="0.15">
      <c r="A47" s="74" t="s">
        <v>730</v>
      </c>
      <c r="B47" s="72"/>
      <c r="C47" s="75" t="str">
        <f>"0x"&amp;DEC2HEX(C17)</f>
        <v>0xC6</v>
      </c>
      <c r="D47" s="70" t="s">
        <v>702</v>
      </c>
    </row>
    <row r="48" spans="1:4" s="70" customFormat="1" hidden="1" x14ac:dyDescent="0.15">
      <c r="A48" s="71" t="s">
        <v>729</v>
      </c>
      <c r="B48" s="72"/>
      <c r="C48" s="72">
        <f>0</f>
        <v>0</v>
      </c>
    </row>
    <row r="49" spans="1:4" s="70" customFormat="1" hidden="1" x14ac:dyDescent="0.15">
      <c r="A49" s="71" t="s">
        <v>728</v>
      </c>
      <c r="B49" s="72"/>
      <c r="C49" s="75" t="str">
        <f xml:space="preserve">  "0x"&amp;DEC2HEX(MAX(ROUNDUP(((1000*C4-14260)/C18),0),1))</f>
        <v>0x764</v>
      </c>
      <c r="D49" s="70" t="s">
        <v>701</v>
      </c>
    </row>
    <row r="50" spans="1:4" s="70" customFormat="1" hidden="1" x14ac:dyDescent="0.15">
      <c r="A50" s="71" t="s">
        <v>727</v>
      </c>
      <c r="B50" s="72"/>
      <c r="C50" s="75" t="str">
        <f>"0x"&amp;DEC2HEX(C52)</f>
        <v>0x776</v>
      </c>
      <c r="D50" s="70" t="s">
        <v>700</v>
      </c>
    </row>
    <row r="51" spans="1:4" s="70" customFormat="1" hidden="1" x14ac:dyDescent="0.15">
      <c r="A51" s="71" t="s">
        <v>921</v>
      </c>
      <c r="B51" s="72"/>
      <c r="C51" s="75" t="str">
        <f>"0x"&amp;DEC2HEX(MAX(C21,C22,C23,C37))</f>
        <v>0x776</v>
      </c>
    </row>
    <row r="52" spans="1:4" s="70" customFormat="1" hidden="1" x14ac:dyDescent="0.15">
      <c r="A52" s="72" t="s">
        <v>726</v>
      </c>
      <c r="B52" s="72"/>
      <c r="C52" s="72">
        <f>MAX(C21,C22,C23,C37)</f>
        <v>1910</v>
      </c>
    </row>
    <row r="53" spans="1:4" s="70" customFormat="1" hidden="1" x14ac:dyDescent="0.15">
      <c r="A53" s="72" t="s">
        <v>725</v>
      </c>
      <c r="B53" s="72"/>
      <c r="C53" s="72">
        <f xml:space="preserve"> ROUNDUP(MAX(C21,C22,C23,C37)*C18/1000,0)</f>
        <v>10085</v>
      </c>
    </row>
    <row r="54" spans="1:4" s="70" customFormat="1" hidden="1" x14ac:dyDescent="0.15">
      <c r="A54" s="72" t="s">
        <v>559</v>
      </c>
      <c r="B54" s="72"/>
      <c r="C54" s="72">
        <f>INT(INT(C2*INT(1000000000/INT(C52*C17*10/(C16/100)))/10*IF(C5=8,1,2)/10*C3/10)*10/(100-C10)*10)</f>
        <v>42839711</v>
      </c>
    </row>
    <row r="55" spans="1:4" s="70" customFormat="1" ht="12.75" hidden="1" customHeight="1" x14ac:dyDescent="0.15">
      <c r="A55" s="72"/>
      <c r="B55" s="72"/>
      <c r="C55" s="72"/>
    </row>
    <row r="56" spans="1:4" s="70" customFormat="1" ht="14.25" x14ac:dyDescent="0.15">
      <c r="A56" s="76" t="s">
        <v>724</v>
      </c>
      <c r="B56" s="76"/>
      <c r="C56" s="76"/>
    </row>
    <row r="57" spans="1:4" s="70" customFormat="1" ht="14.25" x14ac:dyDescent="0.15">
      <c r="A57" s="76" t="s">
        <v>723</v>
      </c>
      <c r="B57" s="76" t="s">
        <v>306</v>
      </c>
      <c r="C57" s="76">
        <f>ROUND(1000000/C53,2)</f>
        <v>99.16</v>
      </c>
    </row>
  </sheetData>
  <sheetProtection algorithmName="SHA-512" hashValue="VScB6EddzBqf254NXSfW+DcStjJ4y2KDd7ewjy8DDLx5+5rpx7KFXLS43EA6PUYkGlCv2zpFlnEpsdNGdEgcIg==" saltValue="yE3hc+L7ZqJiMEiLFTG3ag==" spinCount="100000" sheet="1" objects="1" scenarios="1"/>
  <dataConsolidate/>
  <phoneticPr fontId="1" type="noConversion"/>
  <dataValidations count="13">
    <dataValidation type="list" allowBlank="1" showErrorMessage="1" errorTitle="Input parameter error" error="Input 0 or 1" prompt="应在包间隔范围内" sqref="C14">
      <formula1>"0,1"</formula1>
    </dataValidation>
    <dataValidation type="whole" allowBlank="1" showErrorMessage="1" error="设置值超过最大值" prompt="应在包间隔范围内" sqref="C8">
      <formula1>0</formula1>
      <formula2>C41</formula2>
    </dataValidation>
    <dataValidation type="whole" allowBlank="1" showInputMessage="1" showErrorMessage="1" errorTitle="Input parameter error" error="Input range:[20, 1000000]" sqref="C4">
      <formula1>20</formula1>
      <formula2>1000000</formula2>
    </dataValidation>
    <dataValidation type="custom" allowBlank="1" showErrorMessage="1" errorTitle="Input parameter error" error="Input range:[0.1, 10000]" prompt="应在包间隔范围内" sqref="C13">
      <formula1>AND(TRUNC(C13,1)=C13,(C13&gt;0),(C13&lt;=10000))</formula1>
    </dataValidation>
    <dataValidation type="whole" allowBlank="1" error="设置值超过包间隔范围" prompt="设置值应在预留带宽范围内" sqref="C11">
      <formula1>0</formula1>
      <formula2>C44</formula2>
    </dataValidation>
    <dataValidation type="whole" allowBlank="1" showInputMessage="1" showErrorMessage="1" errorTitle="Input parameter error" error="Input range:[0, 'GevSCPDMaxValue'], and is an integer multiple of 1" sqref="C7">
      <formula1>0</formula1>
      <formula2>C8</formula2>
    </dataValidation>
    <dataValidation type="whole" allowBlank="1" showInputMessage="1" showErrorMessage="1" errorTitle="Input parameter error" error="Input range:[0, 'BandwidthReserveMaxValue'], and is an integer multiple of 1" sqref="C10">
      <formula1>0</formula1>
      <formula2>C11</formula2>
    </dataValidation>
    <dataValidation type="custom" allowBlank="1" showInputMessage="1" showErrorMessage="1" errorTitle="Input parameter error" error="Input range:[64, 720],and is an integer multiple of 4" sqref="C2">
      <formula1>AND((C2&lt;=720),(C2&gt;=64),(MOD(C2,4)=0))</formula1>
    </dataValidation>
    <dataValidation type="custom" allowBlank="1" showInputMessage="1" showErrorMessage="1" errorTitle="Input parameter error" error="Input range:[64, 540],and is an integer multiple of 2" sqref="C3">
      <formula1>AND((C3&lt;=540),(C3&gt;=64),(MOD(C3,2)=0))</formula1>
    </dataValidation>
    <dataValidation type="list" allowBlank="1" showInputMessage="1" showErrorMessage="1" error="Input 8 or 12" sqref="C5">
      <formula1>"8,12"</formula1>
    </dataValidation>
    <dataValidation type="custom" allowBlank="1" showInputMessage="1" showErrorMessage="1" error="输入范围是512~8192，步长为4" sqref="C6">
      <formula1>AND((C6&lt;=8192),(C6&gt;=512),(MOD(C6,4)=0))</formula1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list" allowBlank="1" showErrorMessage="1" error="Input 0 or 1" prompt="应在包间隔范围内" sqref="C12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8"/>
  <sheetViews>
    <sheetView topLeftCell="B1" workbookViewId="0">
      <selection activeCell="D11" sqref="D11"/>
    </sheetView>
  </sheetViews>
  <sheetFormatPr defaultRowHeight="13.5" x14ac:dyDescent="0.15"/>
  <cols>
    <col min="1" max="1" width="16.875" hidden="1" customWidth="1"/>
    <col min="2" max="2" width="28.25" customWidth="1"/>
    <col min="3" max="3" width="12.875" customWidth="1"/>
  </cols>
  <sheetData>
    <row r="1" spans="1:3" s="3" customFormat="1" ht="14.25" customHeight="1" x14ac:dyDescent="0.15">
      <c r="A1" s="4" t="s">
        <v>0</v>
      </c>
      <c r="B1" s="4"/>
      <c r="C1" s="2"/>
    </row>
    <row r="2" spans="1:3" s="3" customFormat="1" x14ac:dyDescent="0.15">
      <c r="A2" s="4" t="s">
        <v>1</v>
      </c>
      <c r="B2" s="4" t="s">
        <v>7</v>
      </c>
      <c r="C2" s="2">
        <v>1628</v>
      </c>
    </row>
    <row r="3" spans="1:3" s="3" customFormat="1" x14ac:dyDescent="0.15">
      <c r="A3" s="4" t="s">
        <v>2</v>
      </c>
      <c r="B3" s="4" t="s">
        <v>8</v>
      </c>
      <c r="C3" s="2">
        <v>1236</v>
      </c>
    </row>
    <row r="4" spans="1:3" s="3" customFormat="1" x14ac:dyDescent="0.15">
      <c r="A4" s="4" t="s">
        <v>13</v>
      </c>
      <c r="B4" s="4" t="s">
        <v>314</v>
      </c>
      <c r="C4" s="2">
        <v>0</v>
      </c>
    </row>
    <row r="5" spans="1:3" s="3" customFormat="1" x14ac:dyDescent="0.15">
      <c r="A5" s="4" t="s">
        <v>3</v>
      </c>
      <c r="B5" s="4" t="s">
        <v>9</v>
      </c>
      <c r="C5" s="2">
        <v>50000</v>
      </c>
    </row>
    <row r="6" spans="1:3" s="3" customFormat="1" x14ac:dyDescent="0.15">
      <c r="A6" s="4" t="s">
        <v>4</v>
      </c>
      <c r="B6" s="4" t="s">
        <v>10</v>
      </c>
      <c r="C6" s="2">
        <v>8</v>
      </c>
    </row>
    <row r="7" spans="1:3" s="3" customFormat="1" x14ac:dyDescent="0.15">
      <c r="A7" s="4" t="s">
        <v>5</v>
      </c>
      <c r="B7" s="4" t="s">
        <v>11</v>
      </c>
      <c r="C7" s="2">
        <v>1500</v>
      </c>
    </row>
    <row r="8" spans="1:3" s="3" customFormat="1" x14ac:dyDescent="0.15">
      <c r="A8" s="4" t="s">
        <v>6</v>
      </c>
      <c r="B8" s="4" t="s">
        <v>12</v>
      </c>
      <c r="C8" s="2">
        <v>0</v>
      </c>
    </row>
    <row r="9" spans="1:3" s="3" customFormat="1" x14ac:dyDescent="0.15">
      <c r="A9" s="4" t="s">
        <v>14</v>
      </c>
      <c r="B9" s="4" t="s">
        <v>315</v>
      </c>
      <c r="C9" s="2">
        <v>1000</v>
      </c>
    </row>
    <row r="10" spans="1:3" s="3" customFormat="1" x14ac:dyDescent="0.15">
      <c r="A10" s="4" t="s">
        <v>105</v>
      </c>
      <c r="B10" s="4" t="s">
        <v>61</v>
      </c>
      <c r="C10" s="4">
        <f>C21</f>
        <v>161863</v>
      </c>
    </row>
    <row r="11" spans="1:3" s="3" customFormat="1" x14ac:dyDescent="0.15">
      <c r="A11" s="4" t="s">
        <v>106</v>
      </c>
      <c r="B11" s="4" t="s">
        <v>28</v>
      </c>
      <c r="C11" s="2">
        <v>10</v>
      </c>
    </row>
    <row r="12" spans="1:3" s="3" customFormat="1" x14ac:dyDescent="0.15">
      <c r="A12" s="4" t="s">
        <v>107</v>
      </c>
      <c r="B12" s="4" t="s">
        <v>62</v>
      </c>
      <c r="C12" s="4">
        <f>C28</f>
        <v>99</v>
      </c>
    </row>
    <row r="13" spans="1:3" s="3" customFormat="1" x14ac:dyDescent="0.15">
      <c r="A13" s="4" t="s">
        <v>108</v>
      </c>
      <c r="B13" s="4" t="s">
        <v>316</v>
      </c>
      <c r="C13" s="2">
        <v>20</v>
      </c>
    </row>
    <row r="14" spans="1:3" s="3" customFormat="1" x14ac:dyDescent="0.15">
      <c r="A14" s="4" t="s">
        <v>109</v>
      </c>
      <c r="B14" s="4" t="s">
        <v>318</v>
      </c>
      <c r="C14" s="2">
        <v>0</v>
      </c>
    </row>
    <row r="15" spans="1:3" s="3" customFormat="1" x14ac:dyDescent="0.15">
      <c r="A15" s="4"/>
      <c r="B15" s="4"/>
      <c r="C15" s="2"/>
    </row>
    <row r="16" spans="1:3" s="7" customFormat="1" hidden="1" x14ac:dyDescent="0.15">
      <c r="A16" s="4"/>
      <c r="B16" s="4"/>
      <c r="C16" s="4"/>
    </row>
    <row r="17" spans="1:3" s="7" customFormat="1" hidden="1" x14ac:dyDescent="0.15">
      <c r="A17" s="6" t="s">
        <v>15</v>
      </c>
      <c r="B17" s="6"/>
      <c r="C17" s="6">
        <f>MAX(ROUNDDOWN((C5*50+195)/1920,0)-1,0)</f>
        <v>1301</v>
      </c>
    </row>
    <row r="18" spans="1:3" s="7" customFormat="1" hidden="1" x14ac:dyDescent="0.15">
      <c r="A18" s="6" t="s">
        <v>16</v>
      </c>
      <c r="B18" s="6"/>
      <c r="C18" s="6">
        <f>ROUNDDOWN(C2*C3*ROUNDUP(C6/8,0)/(C7-36),0)</f>
        <v>1374</v>
      </c>
    </row>
    <row r="19" spans="1:3" s="7" customFormat="1" hidden="1" x14ac:dyDescent="0.15">
      <c r="A19" s="6" t="s">
        <v>17</v>
      </c>
      <c r="B19" s="6"/>
      <c r="C19" s="6">
        <f>C2*C3*ROUNDUP(C6/8,0)-(C7-36)*C18</f>
        <v>672</v>
      </c>
    </row>
    <row r="20" spans="1:3" s="7" customFormat="1" hidden="1" x14ac:dyDescent="0.15">
      <c r="A20" s="6" t="s">
        <v>105</v>
      </c>
      <c r="B20" s="6"/>
      <c r="C20" s="6">
        <f>ROUNDDOWN((C23-(62+C7-36)*C18-(62+C19)-168)/(C18+3),0)-12</f>
        <v>161863</v>
      </c>
    </row>
    <row r="21" spans="1:3" s="7" customFormat="1" hidden="1" x14ac:dyDescent="0.15">
      <c r="A21" s="6" t="s">
        <v>110</v>
      </c>
      <c r="B21" s="6"/>
      <c r="C21" s="6">
        <f>IF(C20&gt;180000,180000,C20)</f>
        <v>161863</v>
      </c>
    </row>
    <row r="22" spans="1:3" s="7" customFormat="1" hidden="1" x14ac:dyDescent="0.15">
      <c r="A22" s="6" t="s">
        <v>18</v>
      </c>
      <c r="B22" s="6"/>
      <c r="C22" s="6">
        <f>((62+C7-36))*C18+(62+C19)+(C8+12)*(C18+3)+168</f>
        <v>2114150</v>
      </c>
    </row>
    <row r="23" spans="1:3" s="7" customFormat="1" hidden="1" x14ac:dyDescent="0.15">
      <c r="A23" s="6" t="s">
        <v>111</v>
      </c>
      <c r="B23" s="6"/>
      <c r="C23" s="6">
        <f>2500*C9*(100-C11)</f>
        <v>225000000</v>
      </c>
    </row>
    <row r="24" spans="1:3" s="7" customFormat="1" hidden="1" x14ac:dyDescent="0.15">
      <c r="A24" s="6" t="s">
        <v>112</v>
      </c>
      <c r="B24" s="6"/>
      <c r="C24" s="6">
        <f>250000*C9</f>
        <v>250000000</v>
      </c>
    </row>
    <row r="25" spans="1:3" s="7" customFormat="1" hidden="1" x14ac:dyDescent="0.15">
      <c r="A25" s="6" t="s">
        <v>19</v>
      </c>
      <c r="B25" s="6"/>
      <c r="C25" s="6">
        <f>ROUNDDOWN(C22/(ROUNDDOWN(C9*1920/(ROUNDDOWN(50*10/(100-C11),0)*10),0)),0)*8</f>
        <v>440</v>
      </c>
    </row>
    <row r="26" spans="1:3" s="7" customFormat="1" hidden="1" x14ac:dyDescent="0.15">
      <c r="A26" s="6" t="s">
        <v>21</v>
      </c>
      <c r="B26" s="6"/>
      <c r="C26" s="6">
        <f>(MAX(ROUNDDOWN((C4+10)/8,0),1)-1+3+C4+10)-((MAX(ROUNDDOWN((C4+10)/8,0),1)-1)*8)+C3</f>
        <v>1249</v>
      </c>
    </row>
    <row r="27" spans="1:3" s="7" customFormat="1" hidden="1" x14ac:dyDescent="0.15">
      <c r="A27" s="6" t="s">
        <v>20</v>
      </c>
      <c r="B27" s="6"/>
      <c r="C27" s="6">
        <f>ROUNDDOWN((1339-(C3+C4+10))/8,0)-1+C26+36</f>
        <v>1295</v>
      </c>
    </row>
    <row r="28" spans="1:3" s="7" customFormat="1" hidden="1" x14ac:dyDescent="0.15">
      <c r="A28" s="6" t="s">
        <v>113</v>
      </c>
      <c r="B28" s="6"/>
      <c r="C28" s="6">
        <f>100-ROUNDDOWN(C22*10/(C24/10),0)-1</f>
        <v>99</v>
      </c>
    </row>
    <row r="29" spans="1:3" s="7" customFormat="1" hidden="1" x14ac:dyDescent="0.15">
      <c r="A29" s="6" t="s">
        <v>114</v>
      </c>
      <c r="B29" s="6"/>
      <c r="C29" s="6">
        <f>IF(C14=1,MAX(ROUNDUP(ROUNDUP(10000000/(C13*10),0)*50/1920,0)-5,0),0)</f>
        <v>0</v>
      </c>
    </row>
    <row r="30" spans="1:3" s="7" customFormat="1" hidden="1" x14ac:dyDescent="0.15">
      <c r="A30" s="6" t="s">
        <v>115</v>
      </c>
      <c r="B30" s="6"/>
      <c r="C30" s="6">
        <f>MAX(C25,C27,C17,C29)+5</f>
        <v>1306</v>
      </c>
    </row>
    <row r="31" spans="1:3" s="7" customFormat="1" hidden="1" x14ac:dyDescent="0.15">
      <c r="A31" s="6" t="s">
        <v>22</v>
      </c>
      <c r="B31" s="6"/>
      <c r="C31" s="6">
        <f>ROUNDDOWN(ROUNDDOWN(50*1000000/1920,0)*1000/C30,0)</f>
        <v>19939</v>
      </c>
    </row>
    <row r="32" spans="1:3" s="7" customFormat="1" hidden="1" x14ac:dyDescent="0.15">
      <c r="A32" s="6" t="s">
        <v>53</v>
      </c>
      <c r="B32" s="6"/>
      <c r="C32" s="6">
        <f>ROUND(C31/1000,2)</f>
        <v>19.940000000000001</v>
      </c>
    </row>
    <row r="33" spans="1:3" s="7" customFormat="1" hidden="1" x14ac:dyDescent="0.15">
      <c r="A33" s="6"/>
      <c r="B33" s="6"/>
      <c r="C33" s="6"/>
    </row>
    <row r="34" spans="1:3" s="7" customFormat="1" hidden="1" x14ac:dyDescent="0.15">
      <c r="A34" s="6"/>
      <c r="B34" s="6"/>
      <c r="C34" s="6"/>
    </row>
    <row r="35" spans="1:3" s="7" customFormat="1" hidden="1" x14ac:dyDescent="0.15">
      <c r="A35" s="6"/>
      <c r="B35" s="6"/>
      <c r="C35" s="6"/>
    </row>
    <row r="36" spans="1:3" s="7" customFormat="1" hidden="1" x14ac:dyDescent="0.15">
      <c r="A36" s="6"/>
      <c r="B36" s="6"/>
      <c r="C36" s="6"/>
    </row>
    <row r="37" spans="1:3" s="7" customFormat="1" x14ac:dyDescent="0.15">
      <c r="A37" s="8" t="s">
        <v>24</v>
      </c>
      <c r="B37" s="6"/>
      <c r="C37" s="6"/>
    </row>
    <row r="38" spans="1:3" s="7" customFormat="1" ht="18.75" x14ac:dyDescent="0.15">
      <c r="A38" s="9" t="s">
        <v>23</v>
      </c>
      <c r="B38" s="9" t="s">
        <v>306</v>
      </c>
      <c r="C38" s="9">
        <f>C32</f>
        <v>19.940000000000001</v>
      </c>
    </row>
  </sheetData>
  <sheetProtection algorithmName="SHA-512" hashValue="+YtOK9ffuhsVlsCFfNATNoqK5n+VFXT42JtMNKClJNmFYcR8k+kLJXq5ZEDNpgwPZTXeXS9VJoAme86jEckslg==" saltValue="BAxMvB3bn5pvKTl619vrNg==" spinCount="100000" sheet="1" objects="1" scenarios="1"/>
  <customSheetViews>
    <customSheetView guid="{9F73C155-CDDB-4969-BDA6-6B1932D3C988}" hiddenRows="1">
      <selection activeCell="E26" sqref="E26"/>
      <pageMargins left="0.7" right="0.7" top="0.75" bottom="0.75" header="0.3" footer="0.3"/>
      <pageSetup paperSize="9" orientation="portrait" verticalDpi="0" r:id="rId1"/>
    </customSheetView>
  </customSheetViews>
  <phoneticPr fontId="1" type="noConversion"/>
  <dataValidations count="13">
    <dataValidation type="custom" allowBlank="1" showInputMessage="1" showErrorMessage="1" errorTitle="Input parameter error" error="Input range:[64, 1628],and is an integer multiple of 4" sqref="C2">
      <formula1>AND((C2&lt;=1628),(C2&gt;=64),(MOD(C2,4)=0))</formula1>
    </dataValidation>
    <dataValidation type="custom" allowBlank="1" showInputMessage="1" showErrorMessage="1" errorTitle="Input parameter error" error="Input range:[64, (1236-'OffsetY')],and is an integer multiple of 2" sqref="C3">
      <formula1>AND(((C3+C4)&lt;=1236),(C3&gt;=64),(MOD(C3,2)=0))</formula1>
    </dataValidation>
    <dataValidation type="custom" allowBlank="1" showInputMessage="1" showErrorMessage="1" errorTitle="Input parameter error" error="Input range:[0, (1236-'Height')],and is an integer multiple of 2" sqref="C4">
      <formula1>AND(((C3+C4)&lt;=1236),(MOD(C4,2)=0))</formula1>
    </dataValidation>
    <dataValidation type="whole" allowBlank="1" showInputMessage="1" showErrorMessage="1" errorTitle="Input parameter error" error="Input range:[20, 1000000]" sqref="C5">
      <formula1>20</formula1>
      <formula2>1000000</formula2>
    </dataValidation>
    <dataValidation type="custom" allowBlank="1" showInputMessage="1" showErrorMessage="1" errorTitle="Input parameter error" error="Input 8 or 12" sqref="C6">
      <formula1>OR((C6=8),(C6=12))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C10</formula2>
    </dataValidation>
    <dataValidation type="custom" allowBlank="1" showInputMessage="1" showErrorMessage="1" error="请输入1000或者100" sqref="C15">
      <formula1>OR((C15=1000),(C15=100))</formula1>
    </dataValidation>
    <dataValidation type="whole" allowBlank="1" showInputMessage="1" showErrorMessage="1" errorTitle="Input parameter error" error="Input range:[0, 'BandwidthReserveMaxValue'], and is an integer multiple of 1" sqref="C11">
      <formula1>0</formula1>
      <formula2>C12</formula2>
    </dataValidation>
    <dataValidation showInputMessage="1" showErrorMessage="1" sqref="C12"/>
    <dataValidation type="custom" allowBlank="1" showInputMessage="1" showErrorMessage="1" errorTitle="Input parameter error" error="Input 1000 or 100" sqref="C9">
      <formula1>OR((C9=1000),(C9=100))</formula1>
    </dataValidation>
    <dataValidation type="decimal" allowBlank="1" showInputMessage="1" showErrorMessage="1" errorTitle="Input parameter error" error="Input range:[0.1, 10000]" sqref="C13">
      <formula1>0.1</formula1>
      <formula2>10000</formula2>
    </dataValidation>
    <dataValidation type="custom" allowBlank="1" showInputMessage="1" showErrorMessage="1" errorTitle="Input parameter error" error="Input 0 or 1" sqref="C14">
      <formula1>OR((C14=0),(C14=1))</formula1>
    </dataValidation>
  </dataValidation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6"/>
  <sheetViews>
    <sheetView topLeftCell="B1" workbookViewId="0">
      <selection activeCell="C14" sqref="C14"/>
    </sheetView>
  </sheetViews>
  <sheetFormatPr defaultRowHeight="13.5" x14ac:dyDescent="0.15"/>
  <cols>
    <col min="1" max="1" width="17.125" hidden="1" customWidth="1"/>
    <col min="2" max="2" width="28.125" customWidth="1"/>
    <col min="3" max="3" width="11.875" customWidth="1"/>
  </cols>
  <sheetData>
    <row r="1" spans="1:3" s="3" customFormat="1" x14ac:dyDescent="0.15">
      <c r="A1" s="4" t="s">
        <v>0</v>
      </c>
      <c r="B1" s="4"/>
      <c r="C1" s="2"/>
    </row>
    <row r="2" spans="1:3" s="3" customFormat="1" x14ac:dyDescent="0.15">
      <c r="A2" s="4" t="s">
        <v>1</v>
      </c>
      <c r="B2" s="4" t="s">
        <v>7</v>
      </c>
      <c r="C2" s="2">
        <v>656</v>
      </c>
    </row>
    <row r="3" spans="1:3" s="3" customFormat="1" x14ac:dyDescent="0.15">
      <c r="A3" s="4" t="s">
        <v>2</v>
      </c>
      <c r="B3" s="4" t="s">
        <v>8</v>
      </c>
      <c r="C3" s="2">
        <v>492</v>
      </c>
    </row>
    <row r="4" spans="1:3" s="3" customFormat="1" x14ac:dyDescent="0.15">
      <c r="A4" s="4" t="s">
        <v>13</v>
      </c>
      <c r="B4" s="4" t="s">
        <v>314</v>
      </c>
      <c r="C4" s="2">
        <v>0</v>
      </c>
    </row>
    <row r="5" spans="1:3" s="3" customFormat="1" x14ac:dyDescent="0.15">
      <c r="A5" s="4" t="s">
        <v>3</v>
      </c>
      <c r="B5" s="4" t="s">
        <v>9</v>
      </c>
      <c r="C5" s="2">
        <v>10000</v>
      </c>
    </row>
    <row r="6" spans="1:3" s="3" customFormat="1" x14ac:dyDescent="0.15">
      <c r="A6" s="4" t="s">
        <v>4</v>
      </c>
      <c r="B6" s="4" t="s">
        <v>10</v>
      </c>
      <c r="C6" s="2">
        <v>8</v>
      </c>
    </row>
    <row r="7" spans="1:3" s="3" customFormat="1" x14ac:dyDescent="0.15">
      <c r="A7" s="4" t="s">
        <v>5</v>
      </c>
      <c r="B7" s="4" t="s">
        <v>11</v>
      </c>
      <c r="C7" s="2">
        <v>1500</v>
      </c>
    </row>
    <row r="8" spans="1:3" s="3" customFormat="1" x14ac:dyDescent="0.15">
      <c r="A8" s="4" t="s">
        <v>6</v>
      </c>
      <c r="B8" s="4" t="s">
        <v>12</v>
      </c>
      <c r="C8" s="2">
        <v>0</v>
      </c>
    </row>
    <row r="9" spans="1:3" s="3" customFormat="1" x14ac:dyDescent="0.15">
      <c r="A9" s="4" t="s">
        <v>14</v>
      </c>
      <c r="B9" s="4" t="s">
        <v>315</v>
      </c>
      <c r="C9" s="2">
        <v>1000</v>
      </c>
    </row>
    <row r="10" spans="1:3" s="7" customFormat="1" x14ac:dyDescent="0.15">
      <c r="A10" s="4" t="s">
        <v>59</v>
      </c>
      <c r="B10" s="4" t="s">
        <v>61</v>
      </c>
      <c r="C10" s="4">
        <f>C21</f>
        <v>180000</v>
      </c>
    </row>
    <row r="11" spans="1:3" s="7" customFormat="1" ht="15" customHeight="1" x14ac:dyDescent="0.15">
      <c r="A11" s="4" t="s">
        <v>25</v>
      </c>
      <c r="B11" s="4" t="s">
        <v>28</v>
      </c>
      <c r="C11" s="2">
        <v>10</v>
      </c>
    </row>
    <row r="12" spans="1:3" s="7" customFormat="1" x14ac:dyDescent="0.15">
      <c r="A12" s="4" t="s">
        <v>60</v>
      </c>
      <c r="B12" s="4" t="s">
        <v>62</v>
      </c>
      <c r="C12" s="4">
        <f>C28</f>
        <v>99</v>
      </c>
    </row>
    <row r="13" spans="1:3" s="7" customFormat="1" x14ac:dyDescent="0.15">
      <c r="A13" s="4" t="s">
        <v>81</v>
      </c>
      <c r="B13" s="4" t="s">
        <v>316</v>
      </c>
      <c r="C13" s="2">
        <v>99.4</v>
      </c>
    </row>
    <row r="14" spans="1:3" s="7" customFormat="1" x14ac:dyDescent="0.15">
      <c r="A14" s="4" t="s">
        <v>87</v>
      </c>
      <c r="B14" s="4" t="s">
        <v>318</v>
      </c>
      <c r="C14" s="2">
        <v>0</v>
      </c>
    </row>
    <row r="15" spans="1:3" s="7" customFormat="1" x14ac:dyDescent="0.15">
      <c r="A15" s="4"/>
      <c r="B15" s="4"/>
      <c r="C15" s="4"/>
    </row>
    <row r="16" spans="1:3" s="7" customFormat="1" hidden="1" x14ac:dyDescent="0.15">
      <c r="A16" s="4"/>
      <c r="B16" s="4"/>
      <c r="C16" s="4"/>
    </row>
    <row r="17" spans="1:3" s="7" customFormat="1" hidden="1" x14ac:dyDescent="0.15">
      <c r="A17" s="6" t="s">
        <v>15</v>
      </c>
      <c r="B17" s="6"/>
      <c r="C17" s="6">
        <f>MAX(ROUNDDOWN((C5*48+63)/780,0)-1,0)</f>
        <v>614</v>
      </c>
    </row>
    <row r="18" spans="1:3" s="7" customFormat="1" hidden="1" x14ac:dyDescent="0.15">
      <c r="A18" s="6" t="s">
        <v>16</v>
      </c>
      <c r="B18" s="6"/>
      <c r="C18" s="6">
        <f>ROUNDDOWN(C2*C3*ROUNDUP(C6/8,0)/(C7-36),0)</f>
        <v>220</v>
      </c>
    </row>
    <row r="19" spans="1:3" s="7" customFormat="1" hidden="1" x14ac:dyDescent="0.15">
      <c r="A19" s="6" t="s">
        <v>17</v>
      </c>
      <c r="B19" s="6"/>
      <c r="C19" s="6">
        <f>C2*C3*ROUNDUP(C6/8,0)-(C7-36)*C18</f>
        <v>672</v>
      </c>
    </row>
    <row r="20" spans="1:3" s="7" customFormat="1" hidden="1" x14ac:dyDescent="0.15">
      <c r="A20" s="6" t="s">
        <v>59</v>
      </c>
      <c r="B20" s="6"/>
      <c r="C20" s="6">
        <f>ROUNDDOWN((C23-(62+C7-36)*C18-(62+C19)-168)/(C18+3),0)-12</f>
        <v>1007447</v>
      </c>
    </row>
    <row r="21" spans="1:3" s="7" customFormat="1" hidden="1" x14ac:dyDescent="0.15">
      <c r="A21" s="6" t="s">
        <v>91</v>
      </c>
      <c r="B21" s="6"/>
      <c r="C21" s="6">
        <f>IF(C20&gt;180000,180000,C20)</f>
        <v>180000</v>
      </c>
    </row>
    <row r="22" spans="1:3" s="7" customFormat="1" hidden="1" x14ac:dyDescent="0.15">
      <c r="A22" s="6" t="s">
        <v>18</v>
      </c>
      <c r="B22" s="6"/>
      <c r="C22" s="6">
        <f>(62+(C7-36))*C18+(62+C19)+(C8+12)*(C18+3)+168</f>
        <v>339298</v>
      </c>
    </row>
    <row r="23" spans="1:3" s="7" customFormat="1" hidden="1" x14ac:dyDescent="0.15">
      <c r="A23" s="6" t="s">
        <v>57</v>
      </c>
      <c r="B23" s="6"/>
      <c r="C23" s="6">
        <f>2500*C9*(100-C11)</f>
        <v>225000000</v>
      </c>
    </row>
    <row r="24" spans="1:3" s="7" customFormat="1" hidden="1" x14ac:dyDescent="0.15">
      <c r="A24" s="6" t="s">
        <v>92</v>
      </c>
      <c r="B24" s="6"/>
      <c r="C24" s="6">
        <f>250000*C9</f>
        <v>250000000</v>
      </c>
    </row>
    <row r="25" spans="1:3" s="7" customFormat="1" hidden="1" x14ac:dyDescent="0.15">
      <c r="A25" s="6" t="s">
        <v>19</v>
      </c>
      <c r="B25" s="6"/>
      <c r="C25" s="6">
        <f>ROUNDDOWN(C22/(ROUNDDOWN(C9*780/(ROUNDDOWN(48*10/(100-C11),0)*10),0)),0)*8</f>
        <v>168</v>
      </c>
    </row>
    <row r="26" spans="1:3" hidden="1" x14ac:dyDescent="0.15">
      <c r="A26" s="6" t="s">
        <v>21</v>
      </c>
      <c r="B26" s="6"/>
      <c r="C26" s="6">
        <f>(MAX(ROUNDDOWN((C4+8)/8,0),1)-1+8+C4+8)-((MAX(ROUNDDOWN((C4+8)/8,0),1)-1)*8)+C3</f>
        <v>508</v>
      </c>
    </row>
    <row r="27" spans="1:3" hidden="1" x14ac:dyDescent="0.15">
      <c r="A27" s="6" t="s">
        <v>20</v>
      </c>
      <c r="B27" s="6"/>
      <c r="C27" s="6">
        <f>ROUNDDOWN((512-(C3+C4+8))/8,0)-1+C26</f>
        <v>508</v>
      </c>
    </row>
    <row r="28" spans="1:3" hidden="1" x14ac:dyDescent="0.15">
      <c r="A28" s="6" t="s">
        <v>60</v>
      </c>
      <c r="B28" s="6"/>
      <c r="C28" s="6">
        <f>100-ROUNDDOWN(C22*10/(C24/10),0)-1</f>
        <v>99</v>
      </c>
    </row>
    <row r="29" spans="1:3" hidden="1" x14ac:dyDescent="0.15">
      <c r="A29" s="6" t="s">
        <v>69</v>
      </c>
      <c r="B29" s="6"/>
      <c r="C29" s="6">
        <f>IF(C14=1,MAX(ROUNDUP(ROUNDUP(10000000/(C13*10),0)*48/780,0)-5,0),0)</f>
        <v>0</v>
      </c>
    </row>
    <row r="30" spans="1:3" hidden="1" x14ac:dyDescent="0.15">
      <c r="A30" s="6" t="s">
        <v>94</v>
      </c>
      <c r="B30" s="6"/>
      <c r="C30" s="6">
        <f>MAX(C25,C27,C17,C29)+5</f>
        <v>619</v>
      </c>
    </row>
    <row r="31" spans="1:3" hidden="1" x14ac:dyDescent="0.15">
      <c r="A31" s="6" t="s">
        <v>22</v>
      </c>
      <c r="B31" s="6"/>
      <c r="C31" s="6">
        <f>ROUNDDOWN(ROUNDDOWN(48*1000000/780,0)*1000/C30,0)</f>
        <v>99415</v>
      </c>
    </row>
    <row r="32" spans="1:3" hidden="1" x14ac:dyDescent="0.15">
      <c r="A32" s="6" t="s">
        <v>23</v>
      </c>
      <c r="B32" s="6"/>
      <c r="C32" s="6">
        <f>ROUNDDOWN(1000000/ROUNDDOWN((C30*780/48),0),2)</f>
        <v>99.42</v>
      </c>
    </row>
    <row r="33" spans="1:3" hidden="1" x14ac:dyDescent="0.15">
      <c r="A33" s="6"/>
      <c r="B33" s="6"/>
      <c r="C33" s="6"/>
    </row>
    <row r="34" spans="1:3" hidden="1" x14ac:dyDescent="0.15">
      <c r="A34" s="6"/>
      <c r="B34" s="6"/>
      <c r="C34" s="6"/>
    </row>
    <row r="35" spans="1:3" x14ac:dyDescent="0.15">
      <c r="A35" s="8" t="s">
        <v>24</v>
      </c>
      <c r="B35" s="6"/>
      <c r="C35" s="6"/>
    </row>
    <row r="36" spans="1:3" ht="18.75" x14ac:dyDescent="0.15">
      <c r="A36" s="9" t="s">
        <v>23</v>
      </c>
      <c r="B36" s="9" t="s">
        <v>307</v>
      </c>
      <c r="C36" s="9">
        <f>C32</f>
        <v>99.42</v>
      </c>
    </row>
  </sheetData>
  <sheetProtection algorithmName="SHA-512" hashValue="HNiz9adh8hjflAEJtizWWFV9MbS0um0DJXYeJHvdtooykxinPCgr5kg85+nVkjtcrXpbY6KEFDcNyTFa0OLN3Q==" saltValue="Ew4blIta7E/PYhZ+15C5vQ==" spinCount="100000" sheet="1" objects="1" scenarios="1"/>
  <dataConsolidate/>
  <customSheetViews>
    <customSheetView guid="{9F73C155-CDDB-4969-BDA6-6B1932D3C988}" hiddenRows="1">
      <selection activeCell="C2" sqref="C2"/>
      <pageMargins left="0.7" right="0.7" top="0.75" bottom="0.75" header="0.3" footer="0.3"/>
      <pageSetup paperSize="9" orientation="portrait" verticalDpi="0" r:id="rId1"/>
    </customSheetView>
  </customSheetViews>
  <phoneticPr fontId="1" type="noConversion"/>
  <dataValidations count="13">
    <dataValidation type="whole" allowBlank="1" showInputMessage="1" showErrorMessage="1" errorTitle="Input parameter error" error="Input range:[4, 1000000]" sqref="C5">
      <formula1>4</formula1>
      <formula2>1000000</formula2>
    </dataValidation>
    <dataValidation type="custom" allowBlank="1" showInputMessage="1" showErrorMessage="1" errorTitle="Input parameter error" error="Input 8 or 12" sqref="C6">
      <formula1>OR((C6=8),(C6=12))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C10</formula2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whole" allowBlank="1" showInputMessage="1" showErrorMessage="1" sqref="C12">
      <formula1>0</formula1>
      <formula2>C28</formula2>
    </dataValidation>
    <dataValidation type="whole" allowBlank="1" showInputMessage="1" showErrorMessage="1" sqref="C10">
      <formula1>0</formula1>
      <formula2>C21</formula2>
    </dataValidation>
    <dataValidation type="custom" allowBlank="1" showInputMessage="1" showErrorMessage="1" errorTitle="Input parameter error" error="Input range:[0.1, 10000]" sqref="C13">
      <formula1>AND(TRUNC(C13,1)=C13,(C13&gt;=0.1),(C13&lt;=10000))</formula1>
    </dataValidation>
    <dataValidation type="custom" allowBlank="1" showInputMessage="1" showErrorMessage="1" errorTitle="Input parameter error" error="Input 0 or 1" sqref="C14">
      <formula1>OR((C14=0),(C14=1))</formula1>
    </dataValidation>
    <dataValidation type="whole" allowBlank="1" showInputMessage="1" showErrorMessage="1" errorTitle="Input parameter error" error="Input range:[0, 'BandwidthReserveMaxValue'], and is an integer multiple of 1" sqref="C11">
      <formula1>0</formula1>
      <formula2>C12</formula2>
    </dataValidation>
    <dataValidation type="custom" allowBlank="1" showInputMessage="1" showErrorMessage="1" errorTitle="Input parameter error" error="Input range:[0, (492-'Height')],and is an integer multiple of 2" sqref="C4">
      <formula1>AND(((C3+C4)&lt;=492),(MOD(C4,2)=0))</formula1>
    </dataValidation>
    <dataValidation type="custom" allowBlank="1" showInputMessage="1" showErrorMessage="1" errorTitle="Input parameter error" error="Input range:[64, (492-'OffsetY')],and is an integer multiple of 2" sqref="C3">
      <formula1>AND(((C3+C4)&lt;=492),(C3&gt;=64),(MOD(C3,2)=0))</formula1>
    </dataValidation>
    <dataValidation type="custom" allowBlank="1" showInputMessage="1" showErrorMessage="1" errorTitle="Input parameter error" error="Input range:[64, 656],and is an integer multiple of 4" sqref="C2">
      <formula1>AND((C2&lt;=656),(C2&gt;=64),(MOD(C2,4)=0))</formula1>
    </dataValidation>
  </dataValidation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6"/>
  <sheetViews>
    <sheetView topLeftCell="B1" workbookViewId="0">
      <selection activeCell="C14" sqref="C14"/>
    </sheetView>
  </sheetViews>
  <sheetFormatPr defaultRowHeight="13.5" x14ac:dyDescent="0.15"/>
  <cols>
    <col min="1" max="1" width="17" hidden="1" customWidth="1"/>
    <col min="2" max="2" width="21.5" customWidth="1"/>
    <col min="3" max="3" width="11.75" customWidth="1"/>
  </cols>
  <sheetData>
    <row r="1" spans="1:3" s="3" customFormat="1" x14ac:dyDescent="0.15">
      <c r="A1" s="4" t="s">
        <v>0</v>
      </c>
      <c r="B1" s="4"/>
      <c r="C1" s="2"/>
    </row>
    <row r="2" spans="1:3" s="3" customFormat="1" x14ac:dyDescent="0.15">
      <c r="A2" s="4" t="s">
        <v>1</v>
      </c>
      <c r="B2" s="4" t="s">
        <v>7</v>
      </c>
      <c r="C2" s="2">
        <v>656</v>
      </c>
    </row>
    <row r="3" spans="1:3" s="3" customFormat="1" x14ac:dyDescent="0.15">
      <c r="A3" s="4" t="s">
        <v>2</v>
      </c>
      <c r="B3" s="4" t="s">
        <v>8</v>
      </c>
      <c r="C3" s="2">
        <v>492</v>
      </c>
    </row>
    <row r="4" spans="1:3" s="3" customFormat="1" x14ac:dyDescent="0.15">
      <c r="A4" s="4" t="s">
        <v>13</v>
      </c>
      <c r="B4" s="4" t="s">
        <v>314</v>
      </c>
      <c r="C4" s="2">
        <v>0</v>
      </c>
    </row>
    <row r="5" spans="1:3" s="3" customFormat="1" x14ac:dyDescent="0.15">
      <c r="A5" s="4" t="s">
        <v>3</v>
      </c>
      <c r="B5" s="4" t="s">
        <v>9</v>
      </c>
      <c r="C5" s="2">
        <v>10000</v>
      </c>
    </row>
    <row r="6" spans="1:3" s="3" customFormat="1" x14ac:dyDescent="0.15">
      <c r="A6" s="4" t="s">
        <v>4</v>
      </c>
      <c r="B6" s="4" t="s">
        <v>10</v>
      </c>
      <c r="C6" s="2">
        <v>8</v>
      </c>
    </row>
    <row r="7" spans="1:3" s="3" customFormat="1" x14ac:dyDescent="0.15">
      <c r="A7" s="4" t="s">
        <v>5</v>
      </c>
      <c r="B7" s="4" t="s">
        <v>11</v>
      </c>
      <c r="C7" s="2">
        <v>1500</v>
      </c>
    </row>
    <row r="8" spans="1:3" s="3" customFormat="1" x14ac:dyDescent="0.15">
      <c r="A8" s="4" t="s">
        <v>6</v>
      </c>
      <c r="B8" s="4" t="s">
        <v>12</v>
      </c>
      <c r="C8" s="2">
        <v>0</v>
      </c>
    </row>
    <row r="9" spans="1:3" s="3" customFormat="1" ht="12.75" customHeight="1" x14ac:dyDescent="0.15">
      <c r="A9" s="4" t="s">
        <v>14</v>
      </c>
      <c r="B9" s="4" t="s">
        <v>913</v>
      </c>
      <c r="C9" s="2">
        <v>1000</v>
      </c>
    </row>
    <row r="10" spans="1:3" s="3" customFormat="1" ht="12.75" customHeight="1" x14ac:dyDescent="0.15">
      <c r="A10" s="4" t="s">
        <v>83</v>
      </c>
      <c r="B10" s="4" t="s">
        <v>914</v>
      </c>
      <c r="C10" s="4">
        <f>C21</f>
        <v>180000</v>
      </c>
    </row>
    <row r="11" spans="1:3" s="3" customFormat="1" ht="12.75" customHeight="1" x14ac:dyDescent="0.15">
      <c r="A11" s="4" t="s">
        <v>25</v>
      </c>
      <c r="B11" s="4" t="s">
        <v>28</v>
      </c>
      <c r="C11" s="2">
        <v>10</v>
      </c>
    </row>
    <row r="12" spans="1:3" s="3" customFormat="1" ht="12.75" customHeight="1" x14ac:dyDescent="0.15">
      <c r="A12" s="4" t="s">
        <v>60</v>
      </c>
      <c r="B12" s="4" t="s">
        <v>62</v>
      </c>
      <c r="C12" s="4">
        <f>C28</f>
        <v>99</v>
      </c>
    </row>
    <row r="13" spans="1:3" s="3" customFormat="1" ht="12.75" customHeight="1" x14ac:dyDescent="0.15">
      <c r="A13" s="4" t="s">
        <v>81</v>
      </c>
      <c r="B13" s="4" t="s">
        <v>78</v>
      </c>
      <c r="C13" s="2">
        <v>99.4</v>
      </c>
    </row>
    <row r="14" spans="1:3" s="3" customFormat="1" ht="12.75" customHeight="1" x14ac:dyDescent="0.15">
      <c r="A14" s="4" t="s">
        <v>87</v>
      </c>
      <c r="B14" s="4" t="s">
        <v>88</v>
      </c>
      <c r="C14" s="2">
        <v>0</v>
      </c>
    </row>
    <row r="15" spans="1:3" s="7" customFormat="1" ht="12.75" customHeight="1" x14ac:dyDescent="0.15">
      <c r="A15" s="4"/>
      <c r="B15" s="4"/>
      <c r="C15" s="4"/>
    </row>
    <row r="16" spans="1:3" s="7" customFormat="1" hidden="1" x14ac:dyDescent="0.15">
      <c r="A16" s="6"/>
      <c r="B16" s="6"/>
      <c r="C16" s="6"/>
    </row>
    <row r="17" spans="1:3" s="7" customFormat="1" hidden="1" x14ac:dyDescent="0.15">
      <c r="A17" s="6" t="s">
        <v>15</v>
      </c>
      <c r="B17" s="6"/>
      <c r="C17" s="6">
        <f>MAX(ROUNDDOWN((C5*60+141)/990,0)-1,0)</f>
        <v>605</v>
      </c>
    </row>
    <row r="18" spans="1:3" s="7" customFormat="1" hidden="1" x14ac:dyDescent="0.15">
      <c r="A18" s="6" t="s">
        <v>16</v>
      </c>
      <c r="B18" s="6"/>
      <c r="C18" s="6">
        <f>ROUNDDOWN(C2*C3*ROUNDUP(C6/8,0)/(C7-36),0)</f>
        <v>220</v>
      </c>
    </row>
    <row r="19" spans="1:3" s="7" customFormat="1" hidden="1" x14ac:dyDescent="0.15">
      <c r="A19" s="6" t="s">
        <v>17</v>
      </c>
      <c r="B19" s="6"/>
      <c r="C19" s="6">
        <f>C2*C3*ROUNDUP(C6/8,0)-(C7-36)*C18</f>
        <v>672</v>
      </c>
    </row>
    <row r="20" spans="1:3" s="7" customFormat="1" hidden="1" x14ac:dyDescent="0.15">
      <c r="A20" s="6" t="s">
        <v>59</v>
      </c>
      <c r="B20" s="6"/>
      <c r="C20" s="6">
        <f>ROUNDDOWN((C23-(62+C7-36)*C18-(62+C19)-168)/(C18+3),0)-12</f>
        <v>1007447</v>
      </c>
    </row>
    <row r="21" spans="1:3" s="7" customFormat="1" hidden="1" x14ac:dyDescent="0.15">
      <c r="A21" s="6" t="s">
        <v>91</v>
      </c>
      <c r="B21" s="6"/>
      <c r="C21" s="6">
        <f>IF(C20&gt;180000,180000,C20)</f>
        <v>180000</v>
      </c>
    </row>
    <row r="22" spans="1:3" s="7" customFormat="1" hidden="1" x14ac:dyDescent="0.15">
      <c r="A22" s="6" t="s">
        <v>18</v>
      </c>
      <c r="B22" s="6"/>
      <c r="C22" s="6">
        <f>(62+(C7-36))*C18+(62+C19)+(C8+12)*(C18+3)+168</f>
        <v>339298</v>
      </c>
    </row>
    <row r="23" spans="1:3" s="7" customFormat="1" hidden="1" x14ac:dyDescent="0.15">
      <c r="A23" s="6" t="s">
        <v>57</v>
      </c>
      <c r="B23" s="6"/>
      <c r="C23" s="6">
        <f>2500*C9*(100-C11)</f>
        <v>225000000</v>
      </c>
    </row>
    <row r="24" spans="1:3" s="7" customFormat="1" hidden="1" x14ac:dyDescent="0.15">
      <c r="A24" s="6" t="s">
        <v>92</v>
      </c>
      <c r="B24" s="6"/>
      <c r="C24" s="6">
        <f>250000*C9</f>
        <v>250000000</v>
      </c>
    </row>
    <row r="25" spans="1:3" s="7" customFormat="1" hidden="1" x14ac:dyDescent="0.15">
      <c r="A25" s="6" t="s">
        <v>19</v>
      </c>
      <c r="B25" s="6"/>
      <c r="C25" s="6">
        <f>ROUNDDOWN(C22/(ROUNDDOWN(C9*990/(ROUNDDOWN(60*10/(100-C11),0)*10),0)),0)*8</f>
        <v>160</v>
      </c>
    </row>
    <row r="26" spans="1:3" s="7" customFormat="1" hidden="1" x14ac:dyDescent="0.15">
      <c r="A26" s="6" t="s">
        <v>21</v>
      </c>
      <c r="B26" s="6"/>
      <c r="C26" s="6">
        <f>(MAX(ROUNDDOWN((C4+4)/4,0),1)-1+6+C4+4)-((MAX(ROUNDDOWN((C4+4)/4,0),1)-1)*4)+C3</f>
        <v>502</v>
      </c>
    </row>
    <row r="27" spans="1:3" s="7" customFormat="1" hidden="1" x14ac:dyDescent="0.15">
      <c r="A27" s="6" t="s">
        <v>20</v>
      </c>
      <c r="B27" s="6"/>
      <c r="C27" s="6">
        <f>ROUNDDOWN((504-(C3+C4+4))/4,0)-1+C26+1</f>
        <v>504</v>
      </c>
    </row>
    <row r="28" spans="1:3" s="7" customFormat="1" hidden="1" x14ac:dyDescent="0.15">
      <c r="A28" s="6" t="s">
        <v>60</v>
      </c>
      <c r="B28" s="6"/>
      <c r="C28" s="6">
        <f>100-ROUNDDOWN(C22*10/(C24/10),0)-1</f>
        <v>99</v>
      </c>
    </row>
    <row r="29" spans="1:3" s="7" customFormat="1" hidden="1" x14ac:dyDescent="0.15">
      <c r="A29" s="6" t="s">
        <v>69</v>
      </c>
      <c r="B29" s="6"/>
      <c r="C29" s="6">
        <f>IF(C14=1,MAX(ROUNDUP(ROUNDUP(10000000/(C13*10),0)*60/990,0)-1,0),0)</f>
        <v>0</v>
      </c>
    </row>
    <row r="30" spans="1:3" s="7" customFormat="1" hidden="1" x14ac:dyDescent="0.15">
      <c r="A30" s="6" t="s">
        <v>94</v>
      </c>
      <c r="B30" s="6"/>
      <c r="C30" s="6">
        <f>IF(MAX(C25,C27,C17,C29)=C17,C17+4+1,MAX(C25,C27,C17,C29)+1)</f>
        <v>610</v>
      </c>
    </row>
    <row r="31" spans="1:3" s="7" customFormat="1" hidden="1" x14ac:dyDescent="0.15">
      <c r="A31" s="6" t="s">
        <v>22</v>
      </c>
      <c r="B31" s="6"/>
      <c r="C31" s="6">
        <f>ROUNDDOWN(ROUNDDOWN(60*1000000/990,0)*1000/C30,0)</f>
        <v>99354</v>
      </c>
    </row>
    <row r="32" spans="1:3" s="7" customFormat="1" hidden="1" x14ac:dyDescent="0.15">
      <c r="A32" s="6" t="s">
        <v>23</v>
      </c>
      <c r="B32" s="6"/>
      <c r="C32" s="6">
        <f>ROUNDDOWN(1000000/ROUNDDOWN((C30*990/60),0),2)</f>
        <v>99.35</v>
      </c>
    </row>
    <row r="33" spans="1:3" s="7" customFormat="1" hidden="1" x14ac:dyDescent="0.15">
      <c r="A33" s="6"/>
      <c r="B33" s="6"/>
      <c r="C33" s="6"/>
    </row>
    <row r="34" spans="1:3" s="7" customFormat="1" hidden="1" x14ac:dyDescent="0.15">
      <c r="A34" s="6"/>
      <c r="B34" s="6"/>
      <c r="C34" s="6"/>
    </row>
    <row r="35" spans="1:3" s="7" customFormat="1" x14ac:dyDescent="0.15">
      <c r="A35" s="8" t="s">
        <v>24</v>
      </c>
      <c r="B35" s="6"/>
      <c r="C35" s="6"/>
    </row>
    <row r="36" spans="1:3" s="7" customFormat="1" ht="18.75" x14ac:dyDescent="0.15">
      <c r="A36" s="9" t="s">
        <v>23</v>
      </c>
      <c r="B36" s="9" t="s">
        <v>307</v>
      </c>
      <c r="C36" s="9">
        <f>C32</f>
        <v>99.35</v>
      </c>
    </row>
  </sheetData>
  <sheetProtection algorithmName="SHA-512" hashValue="9zbRar1AAhoqOIqFqWI6ac/s63OM68r98hyUqDMlyheZE4x/CbZ0Tgm6FDaLFn5OoJ3R/0ZVPruPsOqU+seqDw==" saltValue="FIJbyvZCWkd2wRkXdgFDqg==" spinCount="100000" sheet="1" objects="1" scenarios="1"/>
  <dataConsolidate/>
  <customSheetViews>
    <customSheetView guid="{9F73C155-CDDB-4969-BDA6-6B1932D3C988}" hiddenRows="1">
      <selection activeCell="C2" sqref="C2"/>
      <pageMargins left="0.7" right="0.7" top="0.75" bottom="0.75" header="0.3" footer="0.3"/>
    </customSheetView>
  </customSheetViews>
  <phoneticPr fontId="1" type="noConversion"/>
  <dataValidations count="13">
    <dataValidation type="custom" allowBlank="1" showInputMessage="1" showErrorMessage="1" errorTitle="Input parameter error" error="Input range:[64, 656],and is an integer multiple of 4" sqref="C2">
      <formula1>AND((C2&lt;=656),(C2&gt;=64),(MOD(C2,4)=0))</formula1>
    </dataValidation>
    <dataValidation type="custom" allowBlank="1" showInputMessage="1" showErrorMessage="1" errorTitle="Input parameter error" error="Input range:[64, (492-'OffsetY')],and is an integer multiple of 2" sqref="C3">
      <formula1>AND(((C3+C4)&lt;=492),(C3&gt;=64),(MOD(C3,2)=0))</formula1>
    </dataValidation>
    <dataValidation type="custom" allowBlank="1" showInputMessage="1" showErrorMessage="1" errorTitle="Input parameter error" error="Input range:[0, (492-'Height')],and is an integer multiple of 2" sqref="C4">
      <formula1>AND(((C3+C4)&lt;=492),(MOD(C4,2)=0))</formula1>
    </dataValidation>
    <dataValidation type="whole" allowBlank="1" showInputMessage="1" showErrorMessage="1" errorTitle="Input parameter error" error="Input range:[20, 1000000]" sqref="C5">
      <formula1>20</formula1>
      <formula2>1000000</formula2>
    </dataValidation>
    <dataValidation type="custom" allowBlank="1" showInputMessage="1" showErrorMessage="1" errorTitle="Input parameter error" error="Input 8 or 12" sqref="C6">
      <formula1>OR((C6=8),(C6=12))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whole" allowBlank="1" showInputMessage="1" showErrorMessage="1" errorTitle="Input parameter error" error="Input range:[0, GevSCPDMaxValue], and is an integer multiple of 1" sqref="C8">
      <formula1>0</formula1>
      <formula2>C10</formula2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whole" allowBlank="1" showInputMessage="1" showErrorMessage="1" errorTitle="Input parameter error" error="Input range:[0, 'BandwidthReserveMaxValue'], and is an integer multiple of 1" sqref="C11">
      <formula1>0</formula1>
      <formula2>C12</formula2>
    </dataValidation>
    <dataValidation type="custom" allowBlank="1" showInputMessage="1" showErrorMessage="1" errorTitle="Input parameter error" error="Input 0 or 1" sqref="C14">
      <formula1>OR((C14=0),(C14=1))</formula1>
    </dataValidation>
    <dataValidation type="custom" allowBlank="1" showInputMessage="1" showErrorMessage="1" errorTitle="Input parameter error" error="Input range:[0.1, 10000]" sqref="C13">
      <formula1>AND(TRUNC(C13,1)=C13,(C13&gt;=0.1),(C13&lt;=10000))</formula1>
    </dataValidation>
    <dataValidation type="whole" allowBlank="1" showInputMessage="1" showErrorMessage="1" sqref="C10">
      <formula1>0</formula1>
      <formula2>C21</formula2>
    </dataValidation>
    <dataValidation type="whole" allowBlank="1" showInputMessage="1" showErrorMessage="1" sqref="C12">
      <formula1>0</formula1>
      <formula2>C28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5"/>
  <sheetViews>
    <sheetView topLeftCell="B1" workbookViewId="0">
      <selection activeCell="C34" sqref="C34"/>
    </sheetView>
  </sheetViews>
  <sheetFormatPr defaultRowHeight="13.5" x14ac:dyDescent="0.15"/>
  <cols>
    <col min="1" max="1" width="15.625" hidden="1" customWidth="1"/>
    <col min="2" max="2" width="28.625" customWidth="1"/>
    <col min="3" max="3" width="12.125" customWidth="1"/>
  </cols>
  <sheetData>
    <row r="1" spans="1:3" s="3" customFormat="1" x14ac:dyDescent="0.15">
      <c r="A1" s="4" t="s">
        <v>0</v>
      </c>
      <c r="B1" s="4"/>
      <c r="C1" s="2"/>
    </row>
    <row r="2" spans="1:3" s="3" customFormat="1" x14ac:dyDescent="0.15">
      <c r="A2" s="4" t="s">
        <v>1</v>
      </c>
      <c r="B2" s="4" t="s">
        <v>7</v>
      </c>
      <c r="C2" s="2">
        <v>1292</v>
      </c>
    </row>
    <row r="3" spans="1:3" s="3" customFormat="1" x14ac:dyDescent="0.15">
      <c r="A3" s="4" t="s">
        <v>2</v>
      </c>
      <c r="B3" s="4" t="s">
        <v>8</v>
      </c>
      <c r="C3" s="2">
        <v>964</v>
      </c>
    </row>
    <row r="4" spans="1:3" s="3" customFormat="1" x14ac:dyDescent="0.15">
      <c r="A4" s="4" t="s">
        <v>13</v>
      </c>
      <c r="B4" s="4" t="s">
        <v>314</v>
      </c>
      <c r="C4" s="2">
        <v>0</v>
      </c>
    </row>
    <row r="5" spans="1:3" s="3" customFormat="1" x14ac:dyDescent="0.15">
      <c r="A5" s="4" t="s">
        <v>3</v>
      </c>
      <c r="B5" s="4" t="s">
        <v>9</v>
      </c>
      <c r="C5" s="2">
        <v>30000</v>
      </c>
    </row>
    <row r="6" spans="1:3" s="3" customFormat="1" x14ac:dyDescent="0.15">
      <c r="A6" s="4" t="s">
        <v>4</v>
      </c>
      <c r="B6" s="4" t="s">
        <v>10</v>
      </c>
      <c r="C6" s="2">
        <v>8</v>
      </c>
    </row>
    <row r="7" spans="1:3" s="3" customFormat="1" x14ac:dyDescent="0.15">
      <c r="A7" s="4" t="s">
        <v>5</v>
      </c>
      <c r="B7" s="4" t="s">
        <v>11</v>
      </c>
      <c r="C7" s="2">
        <v>1500</v>
      </c>
    </row>
    <row r="8" spans="1:3" s="3" customFormat="1" x14ac:dyDescent="0.15">
      <c r="A8" s="4" t="s">
        <v>6</v>
      </c>
      <c r="B8" s="4" t="s">
        <v>12</v>
      </c>
      <c r="C8" s="2">
        <v>0</v>
      </c>
    </row>
    <row r="9" spans="1:3" s="7" customFormat="1" x14ac:dyDescent="0.15">
      <c r="A9" s="4" t="s">
        <v>14</v>
      </c>
      <c r="B9" s="4" t="s">
        <v>315</v>
      </c>
      <c r="C9" s="2">
        <v>1000</v>
      </c>
    </row>
    <row r="10" spans="1:3" s="7" customFormat="1" x14ac:dyDescent="0.15">
      <c r="A10" s="4" t="s">
        <v>59</v>
      </c>
      <c r="B10" s="4" t="s">
        <v>61</v>
      </c>
      <c r="C10" s="4">
        <f>C21</f>
        <v>180000</v>
      </c>
    </row>
    <row r="11" spans="1:3" s="7" customFormat="1" x14ac:dyDescent="0.15">
      <c r="A11" s="4" t="s">
        <v>25</v>
      </c>
      <c r="B11" s="4" t="s">
        <v>28</v>
      </c>
      <c r="C11" s="2">
        <v>10</v>
      </c>
    </row>
    <row r="12" spans="1:3" s="7" customFormat="1" x14ac:dyDescent="0.15">
      <c r="A12" s="4" t="s">
        <v>60</v>
      </c>
      <c r="B12" s="4" t="s">
        <v>62</v>
      </c>
      <c r="C12" s="4">
        <f>C28</f>
        <v>99</v>
      </c>
    </row>
    <row r="13" spans="1:3" s="7" customFormat="1" x14ac:dyDescent="0.15">
      <c r="A13" s="4" t="s">
        <v>81</v>
      </c>
      <c r="B13" s="4" t="s">
        <v>78</v>
      </c>
      <c r="C13" s="2">
        <v>30</v>
      </c>
    </row>
    <row r="14" spans="1:3" s="7" customFormat="1" x14ac:dyDescent="0.15">
      <c r="A14" s="4" t="s">
        <v>87</v>
      </c>
      <c r="B14" s="4" t="s">
        <v>88</v>
      </c>
      <c r="C14" s="2">
        <v>0</v>
      </c>
    </row>
    <row r="15" spans="1:3" s="7" customFormat="1" x14ac:dyDescent="0.15">
      <c r="A15" s="6"/>
      <c r="B15" s="6"/>
      <c r="C15" s="6"/>
    </row>
    <row r="16" spans="1:3" s="7" customFormat="1" hidden="1" x14ac:dyDescent="0.15">
      <c r="A16" s="6"/>
      <c r="B16" s="6"/>
      <c r="C16" s="6"/>
    </row>
    <row r="17" spans="1:3" s="7" customFormat="1" hidden="1" x14ac:dyDescent="0.15">
      <c r="A17" s="6" t="s">
        <v>15</v>
      </c>
      <c r="B17" s="6"/>
      <c r="C17" s="6">
        <f>MAX(ROUNDDOWN((C5*48+94)/1600,0)-1,0)</f>
        <v>899</v>
      </c>
    </row>
    <row r="18" spans="1:3" s="7" customFormat="1" hidden="1" x14ac:dyDescent="0.15">
      <c r="A18" s="6" t="s">
        <v>16</v>
      </c>
      <c r="B18" s="6"/>
      <c r="C18" s="6">
        <f>ROUNDDOWN(C2*C3*ROUNDUP(C6/8,0)/(C7-36),0)</f>
        <v>850</v>
      </c>
    </row>
    <row r="19" spans="1:3" s="7" customFormat="1" hidden="1" x14ac:dyDescent="0.15">
      <c r="A19" s="6" t="s">
        <v>17</v>
      </c>
      <c r="B19" s="6"/>
      <c r="C19" s="6">
        <f>C2*C3*ROUNDUP(C6/8,0)-(C7-36)*C18</f>
        <v>1088</v>
      </c>
    </row>
    <row r="20" spans="1:3" s="7" customFormat="1" hidden="1" x14ac:dyDescent="0.15">
      <c r="A20" s="6" t="s">
        <v>59</v>
      </c>
      <c r="B20" s="6"/>
      <c r="C20" s="6">
        <f>ROUNDDOWN((C23-(62+C7-36)*C18-(62+C19)-168)/(C18+IF(C19=0,2,3)),0)-12</f>
        <v>262240</v>
      </c>
    </row>
    <row r="21" spans="1:3" s="7" customFormat="1" hidden="1" x14ac:dyDescent="0.15">
      <c r="A21" s="6" t="s">
        <v>91</v>
      </c>
      <c r="B21" s="6"/>
      <c r="C21" s="6">
        <f>IF(C20&gt;180000,180000,C20)</f>
        <v>180000</v>
      </c>
    </row>
    <row r="22" spans="1:3" s="7" customFormat="1" hidden="1" x14ac:dyDescent="0.15">
      <c r="A22" s="6" t="s">
        <v>18</v>
      </c>
      <c r="B22" s="6"/>
      <c r="C22" s="6">
        <f>(62+(C7-36))*C18+(62+C19)+(C8+12)*(C18+3)+168</f>
        <v>1308654</v>
      </c>
    </row>
    <row r="23" spans="1:3" s="7" customFormat="1" hidden="1" x14ac:dyDescent="0.15">
      <c r="A23" s="6" t="s">
        <v>57</v>
      </c>
      <c r="B23" s="6"/>
      <c r="C23" s="6">
        <f>2500*C9*(100-C11)</f>
        <v>225000000</v>
      </c>
    </row>
    <row r="24" spans="1:3" s="7" customFormat="1" hidden="1" x14ac:dyDescent="0.15">
      <c r="A24" s="6" t="s">
        <v>92</v>
      </c>
      <c r="B24" s="6"/>
      <c r="C24" s="6">
        <f>250000*C9</f>
        <v>250000000</v>
      </c>
    </row>
    <row r="25" spans="1:3" s="7" customFormat="1" hidden="1" x14ac:dyDescent="0.15">
      <c r="A25" s="6" t="s">
        <v>19</v>
      </c>
      <c r="B25" s="6"/>
      <c r="C25" s="6">
        <f>ROUNDDOWN(C22/(ROUNDDOWN(C9*1600/(ROUNDDOWN(48*10/(100-C11),0)*10),0)),0)*8</f>
        <v>320</v>
      </c>
    </row>
    <row r="26" spans="1:3" s="7" customFormat="1" hidden="1" x14ac:dyDescent="0.15">
      <c r="A26" s="6" t="s">
        <v>21</v>
      </c>
      <c r="B26" s="6"/>
      <c r="C26" s="6">
        <f>(MAX(ROUNDDOWN((C4+8)/8,0),1)-1+4+C4+8)-((MAX(ROUNDDOWN((C4+8)/8,0),1)-1)*4)+C3</f>
        <v>976</v>
      </c>
    </row>
    <row r="27" spans="1:3" s="7" customFormat="1" hidden="1" x14ac:dyDescent="0.15">
      <c r="A27" s="6" t="s">
        <v>20</v>
      </c>
      <c r="B27" s="6"/>
      <c r="C27" s="6">
        <f>ROUNDDOWN((980-(C3+C4+8))/8,0)-1+C26+16</f>
        <v>992</v>
      </c>
    </row>
    <row r="28" spans="1:3" s="7" customFormat="1" hidden="1" x14ac:dyDescent="0.15">
      <c r="A28" s="6" t="s">
        <v>60</v>
      </c>
      <c r="B28" s="6"/>
      <c r="C28" s="6">
        <f>100-ROUNDDOWN(C22*10/(C24/10),0)-1</f>
        <v>99</v>
      </c>
    </row>
    <row r="29" spans="1:3" s="7" customFormat="1" hidden="1" x14ac:dyDescent="0.15">
      <c r="A29" s="6" t="s">
        <v>69</v>
      </c>
      <c r="B29" s="6"/>
      <c r="C29" s="6">
        <f>IF(C14=1,MAX(ROUNDUP(ROUNDUP(10000000/(C13*10),0)*48/1600,0)-1,0),0)</f>
        <v>0</v>
      </c>
    </row>
    <row r="30" spans="1:3" s="7" customFormat="1" hidden="1" x14ac:dyDescent="0.15">
      <c r="A30" s="6" t="s">
        <v>94</v>
      </c>
      <c r="B30" s="6"/>
      <c r="C30" s="6">
        <f>IF(MAX(C25,C27+2,C17,C29)=C17,C17+4+1,MAX(C25,C27+2,C17,C29)+1)</f>
        <v>995</v>
      </c>
    </row>
    <row r="31" spans="1:3" s="7" customFormat="1" hidden="1" x14ac:dyDescent="0.15">
      <c r="A31" s="6" t="s">
        <v>22</v>
      </c>
      <c r="B31" s="6"/>
      <c r="C31" s="6">
        <f>ROUNDDOWN(ROUNDDOWN(48*1000000/1600,0)*1000/C30,0)</f>
        <v>30150</v>
      </c>
    </row>
    <row r="32" spans="1:3" s="7" customFormat="1" hidden="1" x14ac:dyDescent="0.15">
      <c r="A32" s="6" t="s">
        <v>23</v>
      </c>
      <c r="B32" s="6"/>
      <c r="C32" s="6">
        <f>ROUNDDOWN(1000000/ROUNDDOWN((C30*1600/48),0),2)</f>
        <v>30.15</v>
      </c>
    </row>
    <row r="33" spans="1:3" s="7" customFormat="1" hidden="1" x14ac:dyDescent="0.15">
      <c r="A33" s="6"/>
      <c r="B33" s="6"/>
      <c r="C33" s="6"/>
    </row>
    <row r="34" spans="1:3" s="7" customFormat="1" x14ac:dyDescent="0.15">
      <c r="A34" s="8" t="s">
        <v>24</v>
      </c>
      <c r="B34" s="6"/>
      <c r="C34" s="6"/>
    </row>
    <row r="35" spans="1:3" s="7" customFormat="1" ht="18.75" x14ac:dyDescent="0.15">
      <c r="A35" s="9" t="s">
        <v>23</v>
      </c>
      <c r="B35" s="9" t="s">
        <v>307</v>
      </c>
      <c r="C35" s="9">
        <f>C32</f>
        <v>30.15</v>
      </c>
    </row>
  </sheetData>
  <sheetProtection algorithmName="SHA-512" hashValue="fop6iw2FcFo3V8V91hCiURqqHekAZH5r3e1PJL3jogPbg49WnZBjzAn8RUwFx8Ym5Dr8TPin2KlW4zXDfGE/vQ==" saltValue="67boei0VmI6/MzN0KcHb3A==" spinCount="100000" sheet="1" objects="1" scenarios="1"/>
  <dataConsolidate/>
  <customSheetViews>
    <customSheetView guid="{9F73C155-CDDB-4969-BDA6-6B1932D3C988}" hiddenRows="1">
      <selection activeCell="C2" sqref="C2"/>
      <pageMargins left="0.7" right="0.7" top="0.75" bottom="0.75" header="0.3" footer="0.3"/>
    </customSheetView>
  </customSheetViews>
  <phoneticPr fontId="1" type="noConversion"/>
  <dataValidations count="13">
    <dataValidation type="custom" allowBlank="1" showInputMessage="1" showErrorMessage="1" errorTitle="Input parameter error" error="Input range:[64, 1292],and is an integer multiple of 4" sqref="C2">
      <formula1>AND((C2&lt;=1292),(C2&gt;=64),(MOD(C2,4)=0))</formula1>
    </dataValidation>
    <dataValidation type="custom" allowBlank="1" showInputMessage="1" showErrorMessage="1" errorTitle="Input parameter error" error="Input range:[64, (964-'OffsetY')],and is an integer multiple of 2" sqref="C3">
      <formula1>AND(((C3+C4)&lt;=964),(C3&gt;=64),(MOD(C3,2)=0))</formula1>
    </dataValidation>
    <dataValidation type="custom" allowBlank="1" showInputMessage="1" showErrorMessage="1" errorTitle="Input parameter error" error="Input range:[0, (964-'Height')],and is an integer multiple of 2" sqref="C4">
      <formula1>AND(((C3+C4)&lt;=964),(MOD(C4,2)=0))</formula1>
    </dataValidation>
    <dataValidation type="whole" allowBlank="1" showInputMessage="1" showErrorMessage="1" errorTitle="Input parameter error" error="Input range:[20, 1000000]" sqref="C5">
      <formula1>20</formula1>
      <formula2>1000000</formula2>
    </dataValidation>
    <dataValidation type="custom" allowBlank="1" showInputMessage="1" showErrorMessage="1" errorTitle="Input parameter error" error="Input 8 or 12" sqref="C6">
      <formula1>OR((C6=8),(C6=12))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whole" allowBlank="1" showInputMessage="1" showErrorMessage="1" errorTitle="Input parameter error" error="Input range:[0, GevSCPDMaxValue], and is an integer multiple of 1" sqref="C8">
      <formula1>0</formula1>
      <formula2>C10</formula2>
    </dataValidation>
    <dataValidation type="whole" allowBlank="1" showInputMessage="1" showErrorMessage="1" sqref="C12">
      <formula1>0</formula1>
      <formula2>C42</formula2>
    </dataValidation>
    <dataValidation type="custom" allowBlank="1" showInputMessage="1" showErrorMessage="1" errorTitle="Input parameter error" error="Input range:[0.1, 10000]" sqref="C13">
      <formula1>AND(TRUNC(C13,1)=C13,(C13&gt;=0.1),(C13&lt;=10000))</formula1>
    </dataValidation>
    <dataValidation type="custom" allowBlank="1" showInputMessage="1" showErrorMessage="1" errorTitle="Input parameter error" error="Input 0 or 1" sqref="C14">
      <formula1>OR((C14=0),(C14=1))</formula1>
    </dataValidation>
    <dataValidation type="whole" allowBlank="1" showInputMessage="1" showErrorMessage="1" errorTitle="Input parameter error" error="Input range:[0, 'BandwidthReserveMaxValue'], and is an integer multiple of 1" sqref="C11">
      <formula1>0</formula1>
      <formula2>C12</formula2>
    </dataValidation>
    <dataValidation type="whole" allowBlank="1" showInputMessage="1" showErrorMessage="1" sqref="C10">
      <formula1>0</formula1>
      <formula2>C21</formula2>
    </dataValidation>
    <dataValidation type="custom" allowBlank="1" showInputMessage="1" showErrorMessage="1" errorTitle="Input parameter error" error="Input 1000 or 100" sqref="C9">
      <formula1>OR((C9=1000),(C9=100))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35"/>
  <sheetViews>
    <sheetView topLeftCell="B1" workbookViewId="0">
      <selection activeCell="D9" sqref="D9"/>
    </sheetView>
  </sheetViews>
  <sheetFormatPr defaultRowHeight="13.5" x14ac:dyDescent="0.15"/>
  <cols>
    <col min="1" max="1" width="18.625" hidden="1" customWidth="1"/>
    <col min="2" max="2" width="28.875" customWidth="1"/>
    <col min="3" max="3" width="13" customWidth="1"/>
    <col min="10" max="10" width="10.375" customWidth="1"/>
  </cols>
  <sheetData>
    <row r="1" spans="1:3" s="3" customFormat="1" x14ac:dyDescent="0.15">
      <c r="A1" s="4" t="s">
        <v>0</v>
      </c>
      <c r="B1" s="4"/>
      <c r="C1" s="2"/>
    </row>
    <row r="2" spans="1:3" s="3" customFormat="1" x14ac:dyDescent="0.15">
      <c r="A2" s="4" t="s">
        <v>1</v>
      </c>
      <c r="B2" s="4" t="s">
        <v>7</v>
      </c>
      <c r="C2" s="2">
        <v>1292</v>
      </c>
    </row>
    <row r="3" spans="1:3" s="3" customFormat="1" x14ac:dyDescent="0.15">
      <c r="A3" s="4" t="s">
        <v>2</v>
      </c>
      <c r="B3" s="4" t="s">
        <v>8</v>
      </c>
      <c r="C3" s="2">
        <v>964</v>
      </c>
    </row>
    <row r="4" spans="1:3" s="3" customFormat="1" x14ac:dyDescent="0.15">
      <c r="A4" s="4" t="s">
        <v>13</v>
      </c>
      <c r="B4" s="4" t="s">
        <v>314</v>
      </c>
      <c r="C4" s="2">
        <v>0</v>
      </c>
    </row>
    <row r="5" spans="1:3" s="3" customFormat="1" x14ac:dyDescent="0.15">
      <c r="A5" s="4" t="s">
        <v>3</v>
      </c>
      <c r="B5" s="4" t="s">
        <v>9</v>
      </c>
      <c r="C5" s="2">
        <v>30000</v>
      </c>
    </row>
    <row r="6" spans="1:3" s="3" customFormat="1" x14ac:dyDescent="0.15">
      <c r="A6" s="4" t="s">
        <v>4</v>
      </c>
      <c r="B6" s="4" t="s">
        <v>10</v>
      </c>
      <c r="C6" s="2">
        <v>8</v>
      </c>
    </row>
    <row r="7" spans="1:3" s="3" customFormat="1" x14ac:dyDescent="0.15">
      <c r="A7" s="4" t="s">
        <v>5</v>
      </c>
      <c r="B7" s="4" t="s">
        <v>11</v>
      </c>
      <c r="C7" s="2">
        <v>1500</v>
      </c>
    </row>
    <row r="8" spans="1:3" s="3" customFormat="1" x14ac:dyDescent="0.15">
      <c r="A8" s="4" t="s">
        <v>6</v>
      </c>
      <c r="B8" s="4" t="s">
        <v>12</v>
      </c>
      <c r="C8" s="2">
        <v>0</v>
      </c>
    </row>
    <row r="9" spans="1:3" s="3" customFormat="1" x14ac:dyDescent="0.15">
      <c r="A9" s="4" t="s">
        <v>14</v>
      </c>
      <c r="B9" s="4" t="s">
        <v>315</v>
      </c>
      <c r="C9" s="2">
        <v>1000</v>
      </c>
    </row>
    <row r="10" spans="1:3" s="3" customFormat="1" x14ac:dyDescent="0.15">
      <c r="A10" s="4" t="s">
        <v>59</v>
      </c>
      <c r="B10" s="4" t="s">
        <v>61</v>
      </c>
      <c r="C10" s="4">
        <f>C21</f>
        <v>180000</v>
      </c>
    </row>
    <row r="11" spans="1:3" s="3" customFormat="1" x14ac:dyDescent="0.15">
      <c r="A11" s="4" t="s">
        <v>25</v>
      </c>
      <c r="B11" s="4" t="s">
        <v>28</v>
      </c>
      <c r="C11" s="2">
        <v>10</v>
      </c>
    </row>
    <row r="12" spans="1:3" s="3" customFormat="1" x14ac:dyDescent="0.15">
      <c r="A12" s="4" t="s">
        <v>60</v>
      </c>
      <c r="B12" s="4" t="s">
        <v>62</v>
      </c>
      <c r="C12" s="4">
        <f>C28</f>
        <v>99</v>
      </c>
    </row>
    <row r="13" spans="1:3" s="3" customFormat="1" x14ac:dyDescent="0.15">
      <c r="A13" s="4" t="s">
        <v>81</v>
      </c>
      <c r="B13" s="4" t="s">
        <v>316</v>
      </c>
      <c r="C13" s="2">
        <v>30</v>
      </c>
    </row>
    <row r="14" spans="1:3" s="3" customFormat="1" x14ac:dyDescent="0.15">
      <c r="A14" s="4" t="s">
        <v>87</v>
      </c>
      <c r="B14" s="4" t="s">
        <v>318</v>
      </c>
      <c r="C14" s="2">
        <v>0</v>
      </c>
    </row>
    <row r="15" spans="1:3" s="7" customFormat="1" ht="12.75" customHeight="1" x14ac:dyDescent="0.15">
      <c r="A15" s="4"/>
      <c r="B15" s="4"/>
      <c r="C15" s="4"/>
    </row>
    <row r="16" spans="1:3" s="7" customFormat="1" ht="12.75" hidden="1" customHeight="1" x14ac:dyDescent="0.15">
      <c r="A16" s="6"/>
      <c r="B16" s="6"/>
      <c r="C16" s="6"/>
    </row>
    <row r="17" spans="1:3" s="7" customFormat="1" hidden="1" x14ac:dyDescent="0.15">
      <c r="A17" s="6" t="s">
        <v>15</v>
      </c>
      <c r="B17" s="6"/>
      <c r="C17" s="6">
        <f>MAX(ROUNDDOWN((C5*45+131)/1532,0)-1,0)</f>
        <v>880</v>
      </c>
    </row>
    <row r="18" spans="1:3" s="7" customFormat="1" hidden="1" x14ac:dyDescent="0.15">
      <c r="A18" s="6" t="s">
        <v>16</v>
      </c>
      <c r="B18" s="6"/>
      <c r="C18" s="6">
        <f>ROUNDDOWN(C2*C3*ROUNDUP(C6/8,0)/(C7-36),0)</f>
        <v>850</v>
      </c>
    </row>
    <row r="19" spans="1:3" s="7" customFormat="1" hidden="1" x14ac:dyDescent="0.15">
      <c r="A19" s="6" t="s">
        <v>17</v>
      </c>
      <c r="B19" s="6"/>
      <c r="C19" s="6">
        <f>C2*C3*ROUNDUP(C6/8,0)-(C7-36)*C18</f>
        <v>1088</v>
      </c>
    </row>
    <row r="20" spans="1:3" s="7" customFormat="1" hidden="1" x14ac:dyDescent="0.15">
      <c r="A20" s="6" t="s">
        <v>59</v>
      </c>
      <c r="B20" s="6"/>
      <c r="C20" s="6">
        <f>ROUNDDOWN((C23-(62+C7-36)*C18-(62+C19)-168)/(C18+3),0)-12</f>
        <v>262240</v>
      </c>
    </row>
    <row r="21" spans="1:3" s="7" customFormat="1" hidden="1" x14ac:dyDescent="0.15">
      <c r="A21" s="6" t="s">
        <v>91</v>
      </c>
      <c r="B21" s="6"/>
      <c r="C21" s="6">
        <f>IF(C20&gt;180000,180000,C20)</f>
        <v>180000</v>
      </c>
    </row>
    <row r="22" spans="1:3" s="7" customFormat="1" hidden="1" x14ac:dyDescent="0.15">
      <c r="A22" s="6" t="s">
        <v>18</v>
      </c>
      <c r="B22" s="6"/>
      <c r="C22" s="6">
        <f>(62+(C7-36))*C18+(62+C19)+(C8+12)*(C18+3)+168</f>
        <v>1308654</v>
      </c>
    </row>
    <row r="23" spans="1:3" s="7" customFormat="1" hidden="1" x14ac:dyDescent="0.15">
      <c r="A23" s="6" t="s">
        <v>57</v>
      </c>
      <c r="B23" s="6"/>
      <c r="C23" s="6">
        <f>2500*C9*(100-C11)</f>
        <v>225000000</v>
      </c>
    </row>
    <row r="24" spans="1:3" s="7" customFormat="1" hidden="1" x14ac:dyDescent="0.15">
      <c r="A24" s="6" t="s">
        <v>92</v>
      </c>
      <c r="B24" s="6"/>
      <c r="C24" s="6">
        <f>250000*C9</f>
        <v>250000000</v>
      </c>
    </row>
    <row r="25" spans="1:3" s="7" customFormat="1" hidden="1" x14ac:dyDescent="0.15">
      <c r="A25" s="6" t="s">
        <v>19</v>
      </c>
      <c r="B25" s="6"/>
      <c r="C25" s="6">
        <f>ROUNDDOWN(C22/(ROUNDDOWN(C9*1532/(ROUNDDOWN(45*10/(100-C11),0)*10),0)),0)*8</f>
        <v>336</v>
      </c>
    </row>
    <row r="26" spans="1:3" s="7" customFormat="1" hidden="1" x14ac:dyDescent="0.15">
      <c r="A26" s="6" t="s">
        <v>21</v>
      </c>
      <c r="B26" s="6"/>
      <c r="C26" s="6">
        <f>MAX((ROUNDDOWN((C4+16)/8,0)-1),0)+2+C4+16-MAX((ROUNDDOWN((C4+16)/8,0)-1),0)*8+C3</f>
        <v>975</v>
      </c>
    </row>
    <row r="27" spans="1:3" s="7" customFormat="1" hidden="1" x14ac:dyDescent="0.15">
      <c r="A27" s="6" t="s">
        <v>20</v>
      </c>
      <c r="B27" s="6"/>
      <c r="C27" s="6">
        <f>ROUNDDOWN((996-(C3+C4+16))/8,0)-1+C26+2</f>
        <v>978</v>
      </c>
    </row>
    <row r="28" spans="1:3" s="7" customFormat="1" hidden="1" x14ac:dyDescent="0.15">
      <c r="A28" s="6" t="s">
        <v>60</v>
      </c>
      <c r="B28" s="6"/>
      <c r="C28" s="6">
        <f>100-ROUNDDOWN(C22*10/(C24/10),0)-1</f>
        <v>99</v>
      </c>
    </row>
    <row r="29" spans="1:3" s="7" customFormat="1" hidden="1" x14ac:dyDescent="0.15">
      <c r="A29" s="6" t="s">
        <v>69</v>
      </c>
      <c r="B29" s="6"/>
      <c r="C29" s="6">
        <f>IF(C14=1,MAX(ROUNDUP(ROUNDUP(10000000/(C13*10),0)*45/1532,0)-1,0),0)</f>
        <v>0</v>
      </c>
    </row>
    <row r="30" spans="1:3" s="7" customFormat="1" hidden="1" x14ac:dyDescent="0.15">
      <c r="A30" s="6" t="s">
        <v>94</v>
      </c>
      <c r="B30" s="6"/>
      <c r="C30" s="6">
        <f>IF(MAX(C25,C27+2,C17,C29)=C17,C17+4+1,MAX(C25,C27,C17,C29)+1)</f>
        <v>979</v>
      </c>
    </row>
    <row r="31" spans="1:3" s="7" customFormat="1" hidden="1" x14ac:dyDescent="0.15">
      <c r="A31" s="6" t="s">
        <v>22</v>
      </c>
      <c r="B31" s="6"/>
      <c r="C31" s="6">
        <f>ROUNDDOWN(ROUNDDOWN(45*1000000/1532,0)*1000/C30,0)</f>
        <v>30003</v>
      </c>
    </row>
    <row r="32" spans="1:3" s="7" customFormat="1" hidden="1" x14ac:dyDescent="0.15">
      <c r="A32" s="6" t="s">
        <v>23</v>
      </c>
      <c r="B32" s="6"/>
      <c r="C32" s="6">
        <f>ROUNDDOWN(1000000/ROUNDDOWN((C30*1532/45),0),2)</f>
        <v>30</v>
      </c>
    </row>
    <row r="33" spans="1:3" s="7" customFormat="1" hidden="1" x14ac:dyDescent="0.15">
      <c r="A33" s="6"/>
      <c r="B33" s="6"/>
      <c r="C33" s="6"/>
    </row>
    <row r="34" spans="1:3" s="7" customFormat="1" x14ac:dyDescent="0.15">
      <c r="A34" s="8" t="s">
        <v>24</v>
      </c>
      <c r="B34" s="6"/>
      <c r="C34" s="6"/>
    </row>
    <row r="35" spans="1:3" s="7" customFormat="1" ht="18.75" x14ac:dyDescent="0.15">
      <c r="A35" s="9" t="s">
        <v>23</v>
      </c>
      <c r="B35" s="9" t="s">
        <v>308</v>
      </c>
      <c r="C35" s="9">
        <f>C32</f>
        <v>30</v>
      </c>
    </row>
  </sheetData>
  <sheetProtection algorithmName="SHA-512" hashValue="NwufLV9l6XfFhEB5sNCR7AvUH35epkJgcvWkG8cUZnw49t39FTI569FFTaio9a3UJ9rw1G0XV5jFM1GC8IfI/w==" saltValue="wDZPw3FuI+/KgW+KIoQw+Q==" spinCount="100000" sheet="1" objects="1" scenarios="1"/>
  <customSheetViews>
    <customSheetView guid="{9F73C155-CDDB-4969-BDA6-6B1932D3C988}" hiddenRows="1">
      <selection activeCell="C2" sqref="C2"/>
      <pageMargins left="0.7" right="0.7" top="0.75" bottom="0.75" header="0.3" footer="0.3"/>
    </customSheetView>
  </customSheetViews>
  <phoneticPr fontId="1" type="noConversion"/>
  <dataValidations count="13">
    <dataValidation type="custom" allowBlank="1" showInputMessage="1" showErrorMessage="1" errorTitle="Input parameter error" error="Input range:[64, 1292],and is an integer multiple of 4" sqref="C2">
      <formula1>AND((C2&lt;=1292),(C2&gt;=64),(MOD(C2,4)=0))</formula1>
    </dataValidation>
    <dataValidation type="custom" allowBlank="1" showInputMessage="1" showErrorMessage="1" errorTitle="Input parameter error" error="Input range:[64, (964-'OffsetY')],and is an integer multiple of 2" sqref="C3">
      <formula1>AND(((C3+C4)&lt;=964),(C3&gt;=64),(MOD(C3,2)=0))</formula1>
    </dataValidation>
    <dataValidation type="custom" allowBlank="1" showInputMessage="1" showErrorMessage="1" errorTitle="Input parameter error" error="Input range:[0, (964-'Height')],and is an integer multiple of 2" sqref="C4">
      <formula1>AND(((C3+C4)&lt;=964),(MOD(C4,2)=0))</formula1>
    </dataValidation>
    <dataValidation type="whole" allowBlank="1" showInputMessage="1" showErrorMessage="1" errorTitle="Input parameter error" error="Input range:[8, 1000000]" sqref="C5">
      <formula1>8</formula1>
      <formula2>1000000</formula2>
    </dataValidation>
    <dataValidation type="custom" allowBlank="1" showInputMessage="1" showErrorMessage="1" errorTitle="Input parameter error" error="Input 8 or 12" sqref="C6">
      <formula1>OR((C6=8),(C6=12))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C10</formula2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whole" allowBlank="1" showInputMessage="1" showErrorMessage="1" sqref="C10">
      <formula1>0</formula1>
      <formula2>C21</formula2>
    </dataValidation>
    <dataValidation type="whole" allowBlank="1" showInputMessage="1" showErrorMessage="1" errorTitle="Input parameter error" error="Input range:[0, 'BandwidthReserveMaxValue'], and is an integer multiple of 1" sqref="C11">
      <formula1>0</formula1>
      <formula2>C12</formula2>
    </dataValidation>
    <dataValidation type="custom" allowBlank="1" showInputMessage="1" showErrorMessage="1" errorTitle="Input parameter error" error="Input 0 or 1" sqref="C14">
      <formula1>OR((C14=0),(C14=1))</formula1>
    </dataValidation>
    <dataValidation type="custom" allowBlank="1" showInputMessage="1" showErrorMessage="1" errorTitle="Input parameter error" error="Input range:[0.1, 10000]" sqref="C13">
      <formula1>AND(TRUNC(C13,1)=C13,(C13&gt;=0.1),(C13&lt;=10000))</formula1>
    </dataValidation>
    <dataValidation type="whole" allowBlank="1" showInputMessage="1" showErrorMessage="1" sqref="C12">
      <formula1>0</formula1>
      <formula2>C47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36"/>
  <sheetViews>
    <sheetView topLeftCell="B1" zoomScale="115" zoomScaleNormal="115" workbookViewId="0">
      <selection activeCell="E14" sqref="E14"/>
    </sheetView>
  </sheetViews>
  <sheetFormatPr defaultRowHeight="13.5" x14ac:dyDescent="0.15"/>
  <cols>
    <col min="1" max="1" width="17.625" hidden="1" customWidth="1"/>
    <col min="2" max="2" width="28" customWidth="1"/>
    <col min="3" max="3" width="10.875" customWidth="1"/>
  </cols>
  <sheetData>
    <row r="1" spans="1:3" s="3" customFormat="1" x14ac:dyDescent="0.15">
      <c r="A1" s="4" t="s">
        <v>0</v>
      </c>
      <c r="B1" s="4"/>
      <c r="C1" s="2"/>
    </row>
    <row r="2" spans="1:3" s="3" customFormat="1" x14ac:dyDescent="0.15">
      <c r="A2" s="4" t="s">
        <v>1</v>
      </c>
      <c r="B2" s="4" t="s">
        <v>7</v>
      </c>
      <c r="C2" s="2">
        <v>1292</v>
      </c>
    </row>
    <row r="3" spans="1:3" s="3" customFormat="1" x14ac:dyDescent="0.15">
      <c r="A3" s="4" t="s">
        <v>2</v>
      </c>
      <c r="B3" s="4" t="s">
        <v>8</v>
      </c>
      <c r="C3" s="2">
        <v>964</v>
      </c>
    </row>
    <row r="4" spans="1:3" s="3" customFormat="1" x14ac:dyDescent="0.15">
      <c r="A4" s="4" t="s">
        <v>13</v>
      </c>
      <c r="B4" s="4" t="s">
        <v>314</v>
      </c>
      <c r="C4" s="2">
        <v>0</v>
      </c>
    </row>
    <row r="5" spans="1:3" s="3" customFormat="1" x14ac:dyDescent="0.15">
      <c r="A5" s="4" t="s">
        <v>3</v>
      </c>
      <c r="B5" s="4" t="s">
        <v>9</v>
      </c>
      <c r="C5" s="2">
        <v>20000</v>
      </c>
    </row>
    <row r="6" spans="1:3" s="3" customFormat="1" x14ac:dyDescent="0.15">
      <c r="A6" s="4" t="s">
        <v>4</v>
      </c>
      <c r="B6" s="4" t="s">
        <v>10</v>
      </c>
      <c r="C6" s="2">
        <v>8</v>
      </c>
    </row>
    <row r="7" spans="1:3" s="3" customFormat="1" x14ac:dyDescent="0.15">
      <c r="A7" s="4" t="s">
        <v>5</v>
      </c>
      <c r="B7" s="4" t="s">
        <v>11</v>
      </c>
      <c r="C7" s="2">
        <v>1500</v>
      </c>
    </row>
    <row r="8" spans="1:3" s="3" customFormat="1" x14ac:dyDescent="0.15">
      <c r="A8" s="4" t="s">
        <v>6</v>
      </c>
      <c r="B8" s="4" t="s">
        <v>12</v>
      </c>
      <c r="C8" s="2">
        <v>0</v>
      </c>
    </row>
    <row r="9" spans="1:3" s="3" customFormat="1" x14ac:dyDescent="0.15">
      <c r="A9" s="4" t="s">
        <v>14</v>
      </c>
      <c r="B9" s="4" t="s">
        <v>315</v>
      </c>
      <c r="C9" s="2">
        <v>1000</v>
      </c>
    </row>
    <row r="10" spans="1:3" s="3" customFormat="1" x14ac:dyDescent="0.15">
      <c r="A10" s="4" t="s">
        <v>83</v>
      </c>
      <c r="B10" s="4" t="s">
        <v>61</v>
      </c>
      <c r="C10" s="4">
        <f>C21</f>
        <v>180000</v>
      </c>
    </row>
    <row r="11" spans="1:3" s="3" customFormat="1" x14ac:dyDescent="0.15">
      <c r="A11" s="4" t="s">
        <v>84</v>
      </c>
      <c r="B11" s="4" t="s">
        <v>28</v>
      </c>
      <c r="C11" s="2">
        <v>10</v>
      </c>
    </row>
    <row r="12" spans="1:3" s="3" customFormat="1" x14ac:dyDescent="0.15">
      <c r="A12" s="4" t="s">
        <v>85</v>
      </c>
      <c r="B12" s="4" t="s">
        <v>62</v>
      </c>
      <c r="C12" s="4">
        <f>C28</f>
        <v>99</v>
      </c>
    </row>
    <row r="13" spans="1:3" s="3" customFormat="1" x14ac:dyDescent="0.15">
      <c r="A13" s="4" t="s">
        <v>86</v>
      </c>
      <c r="B13" s="4" t="s">
        <v>316</v>
      </c>
      <c r="C13" s="2">
        <v>43.3</v>
      </c>
    </row>
    <row r="14" spans="1:3" s="3" customFormat="1" x14ac:dyDescent="0.15">
      <c r="A14" s="4" t="s">
        <v>87</v>
      </c>
      <c r="B14" s="4" t="s">
        <v>318</v>
      </c>
      <c r="C14" s="2">
        <v>0</v>
      </c>
    </row>
    <row r="15" spans="1:3" s="7" customFormat="1" x14ac:dyDescent="0.15">
      <c r="A15" s="4"/>
      <c r="B15" s="4"/>
      <c r="C15" s="4"/>
    </row>
    <row r="16" spans="1:3" s="7" customFormat="1" hidden="1" x14ac:dyDescent="0.15">
      <c r="A16" s="4"/>
      <c r="B16" s="4"/>
      <c r="C16" s="4"/>
    </row>
    <row r="17" spans="1:3" s="7" customFormat="1" hidden="1" x14ac:dyDescent="0.15">
      <c r="A17" s="6" t="s">
        <v>15</v>
      </c>
      <c r="B17" s="6"/>
      <c r="C17" s="6">
        <f>MAX(ROUNDDOWN((C5*65+131)/1532,0)-1,0)</f>
        <v>847</v>
      </c>
    </row>
    <row r="18" spans="1:3" s="7" customFormat="1" hidden="1" x14ac:dyDescent="0.15">
      <c r="A18" s="6" t="s">
        <v>16</v>
      </c>
      <c r="B18" s="6"/>
      <c r="C18" s="6">
        <f>ROUNDDOWN(C2*C3*ROUNDUP(C6/8,0)/(C7-36),0)</f>
        <v>850</v>
      </c>
    </row>
    <row r="19" spans="1:3" s="7" customFormat="1" hidden="1" x14ac:dyDescent="0.15">
      <c r="A19" s="6" t="s">
        <v>17</v>
      </c>
      <c r="B19" s="6"/>
      <c r="C19" s="6">
        <f>C2*C3*ROUNDUP(C6/8,0)-(C7-36)*C18</f>
        <v>1088</v>
      </c>
    </row>
    <row r="20" spans="1:3" s="7" customFormat="1" hidden="1" x14ac:dyDescent="0.15">
      <c r="A20" s="6" t="s">
        <v>89</v>
      </c>
      <c r="B20" s="6"/>
      <c r="C20" s="6">
        <f>ROUNDDOWN((C23-(62+C7-36)*C18-(62+C19)-168)/(C18+3),0)-12</f>
        <v>262240</v>
      </c>
    </row>
    <row r="21" spans="1:3" s="7" customFormat="1" hidden="1" x14ac:dyDescent="0.15">
      <c r="A21" s="6" t="s">
        <v>91</v>
      </c>
      <c r="B21" s="6"/>
      <c r="C21" s="6">
        <f>IF(C20&gt;180000,180000,C20)</f>
        <v>180000</v>
      </c>
    </row>
    <row r="22" spans="1:3" s="7" customFormat="1" hidden="1" x14ac:dyDescent="0.15">
      <c r="A22" s="6" t="s">
        <v>18</v>
      </c>
      <c r="B22" s="6"/>
      <c r="C22" s="6">
        <f>(62+(C7-36))*C18+(62+C19)+(C8+12)*(C18+3)+168</f>
        <v>1308654</v>
      </c>
    </row>
    <row r="23" spans="1:3" s="7" customFormat="1" hidden="1" x14ac:dyDescent="0.15">
      <c r="A23" s="6" t="s">
        <v>90</v>
      </c>
      <c r="B23" s="6"/>
      <c r="C23" s="6">
        <f>2500*C9*(100-C11)</f>
        <v>225000000</v>
      </c>
    </row>
    <row r="24" spans="1:3" s="7" customFormat="1" hidden="1" x14ac:dyDescent="0.15">
      <c r="A24" s="6" t="s">
        <v>92</v>
      </c>
      <c r="B24" s="6"/>
      <c r="C24" s="6">
        <f>250000*C9</f>
        <v>250000000</v>
      </c>
    </row>
    <row r="25" spans="1:3" s="7" customFormat="1" hidden="1" x14ac:dyDescent="0.15">
      <c r="A25" s="6" t="s">
        <v>19</v>
      </c>
      <c r="B25" s="6"/>
      <c r="C25" s="6">
        <f>ROUNDDOWN(C22/(ROUNDDOWN(C9*1532/(ROUNDDOWN(65*10/(100-C11),0)*10),0)),0)*8</f>
        <v>472</v>
      </c>
    </row>
    <row r="26" spans="1:3" s="7" customFormat="1" hidden="1" x14ac:dyDescent="0.15">
      <c r="A26" s="6" t="s">
        <v>21</v>
      </c>
      <c r="B26" s="6"/>
      <c r="C26" s="6">
        <f>(MAX(ROUNDDOWN((C4+16)/8,0),1)-1+2+C4+16)-((MAX(ROUNDDOWN((C4+16)/8,0),1)-1)*8)+C3</f>
        <v>975</v>
      </c>
    </row>
    <row r="27" spans="1:3" s="7" customFormat="1" hidden="1" x14ac:dyDescent="0.15">
      <c r="A27" s="6" t="s">
        <v>20</v>
      </c>
      <c r="B27" s="6"/>
      <c r="C27" s="6">
        <f>ROUNDDOWN((996-(C3+C4+16))/8,0)-1+C26+2</f>
        <v>978</v>
      </c>
    </row>
    <row r="28" spans="1:3" s="7" customFormat="1" hidden="1" x14ac:dyDescent="0.15">
      <c r="A28" s="6" t="s">
        <v>85</v>
      </c>
      <c r="B28" s="6"/>
      <c r="C28" s="6">
        <f>100-ROUNDDOWN(C22*10/(C24/10),0)-1</f>
        <v>99</v>
      </c>
    </row>
    <row r="29" spans="1:3" s="7" customFormat="1" hidden="1" x14ac:dyDescent="0.15">
      <c r="A29" s="6" t="s">
        <v>93</v>
      </c>
      <c r="B29" s="6"/>
      <c r="C29" s="6">
        <f>IF(C14=1,MAX(ROUNDUP(ROUNDUP(10000000/(C13*10),0)*65/1532,0)-1,0),0)</f>
        <v>0</v>
      </c>
    </row>
    <row r="30" spans="1:3" s="7" customFormat="1" hidden="1" x14ac:dyDescent="0.15">
      <c r="A30" s="6" t="s">
        <v>94</v>
      </c>
      <c r="B30" s="6"/>
      <c r="C30" s="6">
        <f>IF(MAX(C25,C27+2,C17,C29)=C17,C17+4+1,MAX(C25,C27,C17,C29)+1)</f>
        <v>979</v>
      </c>
    </row>
    <row r="31" spans="1:3" s="7" customFormat="1" hidden="1" x14ac:dyDescent="0.15">
      <c r="A31" s="6" t="s">
        <v>22</v>
      </c>
      <c r="B31" s="6"/>
      <c r="C31" s="6">
        <f>ROUNDDOWN(ROUNDDOWN(65*1000000/1532,0)*1000/C30,0)</f>
        <v>43338</v>
      </c>
    </row>
    <row r="32" spans="1:3" s="7" customFormat="1" hidden="1" x14ac:dyDescent="0.15">
      <c r="A32" s="6" t="s">
        <v>52</v>
      </c>
      <c r="B32" s="6"/>
      <c r="C32" s="6">
        <f>ROUNDDOWN(1000000/ROUNDDOWN((C30*1532/65),0),2)</f>
        <v>43.33</v>
      </c>
    </row>
    <row r="33" spans="1:3" s="7" customFormat="1" hidden="1" x14ac:dyDescent="0.15">
      <c r="A33" s="6"/>
      <c r="B33" s="6"/>
      <c r="C33" s="6"/>
    </row>
    <row r="34" spans="1:3" s="7" customFormat="1" hidden="1" x14ac:dyDescent="0.15">
      <c r="A34" s="6"/>
      <c r="B34" s="6"/>
      <c r="C34" s="6"/>
    </row>
    <row r="35" spans="1:3" s="7" customFormat="1" x14ac:dyDescent="0.15">
      <c r="A35" s="8" t="s">
        <v>24</v>
      </c>
      <c r="B35" s="6"/>
      <c r="C35" s="6"/>
    </row>
    <row r="36" spans="1:3" s="7" customFormat="1" ht="18.75" x14ac:dyDescent="0.15">
      <c r="A36" s="9" t="s">
        <v>23</v>
      </c>
      <c r="B36" s="9" t="s">
        <v>307</v>
      </c>
      <c r="C36" s="9">
        <f>C32</f>
        <v>43.33</v>
      </c>
    </row>
  </sheetData>
  <sheetProtection algorithmName="SHA-512" hashValue="l5IvFRFwBK6uIvdQwt7jvBXMIjd6zDppA0SuUbBKWfN6aKPU52X3EcPDDOXh+t5Xf2wraSGhQmzc4zhKWxT1+A==" saltValue="EPLweBI/ReAj+p8uthu90w==" spinCount="100000" sheet="1" objects="1" scenarios="1"/>
  <customSheetViews>
    <customSheetView guid="{9F73C155-CDDB-4969-BDA6-6B1932D3C988}" hiddenRows="1">
      <selection activeCell="C2" sqref="C2"/>
      <pageMargins left="0.7" right="0.7" top="0.75" bottom="0.75" header="0.3" footer="0.3"/>
    </customSheetView>
  </customSheetViews>
  <phoneticPr fontId="1" type="noConversion"/>
  <dataValidations count="13">
    <dataValidation type="custom" allowBlank="1" showInputMessage="1" showErrorMessage="1" errorTitle="Input parameter error" error="Input range:[64, 1292],and is an integer multiple of 4" sqref="C2">
      <formula1>AND((C2&lt;=1292),(C2&gt;=64),(MOD(C2,4)=0))</formula1>
    </dataValidation>
    <dataValidation type="custom" allowBlank="1" showInputMessage="1" showErrorMessage="1" errorTitle="Input parameter error" error="Input range:[64, (964-'OffsetY')],and is an integer multiple of 2" sqref="C3">
      <formula1>AND(((C3+C4)&lt;=964),(C3&gt;=64),(MOD(C3,2)=0))</formula1>
    </dataValidation>
    <dataValidation type="custom" allowBlank="1" showInputMessage="1" showErrorMessage="1" errorTitle="Input parameter error" error="Input range:[0, (964-'Height')],and is an integer multiple of 2" sqref="C4">
      <formula1>AND(((C3+C4)&lt;=964),(MOD(C4,2)=0))</formula1>
    </dataValidation>
    <dataValidation type="whole" allowBlank="1" showInputMessage="1" showErrorMessage="1" errorTitle="Input parameter error" error="Input range:[6, 1000000]" sqref="C5">
      <formula1>6</formula1>
      <formula2>1000000</formula2>
    </dataValidation>
    <dataValidation type="custom" allowBlank="1" showInputMessage="1" showErrorMessage="1" errorTitle="Input parameter error" error="Input 8 or 12" sqref="C6">
      <formula1>OR((C6=8),(C6=12))</formula1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C10</formula2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whole" allowBlank="1" showInputMessage="1" showErrorMessage="1" errorTitle="Input parameter error" error="Input range:[0, 'BandwidthReserveMaxValue'], and is an integer multiple of 1" sqref="C11">
      <formula1>0</formula1>
      <formula2>C12</formula2>
    </dataValidation>
    <dataValidation type="custom" allowBlank="1" showInputMessage="1" showErrorMessage="1" errorTitle="Input parameter error" error="Input 0 or 1" sqref="C14">
      <formula1>OR((C14=0),(C14=1))</formula1>
    </dataValidation>
    <dataValidation type="custom" allowBlank="1" showInputMessage="1" showErrorMessage="1" errorTitle="Input parameter error" error="Input range:[0.1, 10000]" sqref="C13">
      <formula1>AND(TRUNC(C13,1)=C13,(C13&gt;=0.1),(C13&lt;=10000))</formula1>
    </dataValidation>
    <dataValidation type="whole" allowBlank="1" showInputMessage="1" showErrorMessage="1" sqref="C10">
      <formula1>0</formula1>
      <formula2>C21</formula2>
    </dataValidation>
    <dataValidation type="whole" allowBlank="1" showInputMessage="1" showErrorMessage="1" sqref="C12">
      <formula1>0</formula1>
      <formula2>C28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36"/>
  <sheetViews>
    <sheetView topLeftCell="B1" workbookViewId="0">
      <selection activeCell="D8" sqref="D8"/>
    </sheetView>
  </sheetViews>
  <sheetFormatPr defaultRowHeight="13.5" x14ac:dyDescent="0.15"/>
  <cols>
    <col min="1" max="1" width="20.75" hidden="1" customWidth="1"/>
    <col min="2" max="2" width="28.125" customWidth="1"/>
    <col min="3" max="3" width="13.75" customWidth="1"/>
  </cols>
  <sheetData>
    <row r="1" spans="1:3" x14ac:dyDescent="0.15">
      <c r="A1" s="4" t="s">
        <v>0</v>
      </c>
      <c r="B1" s="4"/>
      <c r="C1" s="2"/>
    </row>
    <row r="2" spans="1:3" x14ac:dyDescent="0.15">
      <c r="A2" s="4" t="s">
        <v>1</v>
      </c>
      <c r="B2" s="4" t="s">
        <v>7</v>
      </c>
      <c r="C2" s="2">
        <v>2448</v>
      </c>
    </row>
    <row r="3" spans="1:3" x14ac:dyDescent="0.15">
      <c r="A3" s="4" t="s">
        <v>2</v>
      </c>
      <c r="B3" s="4" t="s">
        <v>8</v>
      </c>
      <c r="C3" s="2">
        <v>2048</v>
      </c>
    </row>
    <row r="4" spans="1:3" x14ac:dyDescent="0.15">
      <c r="A4" s="4" t="s">
        <v>13</v>
      </c>
      <c r="B4" s="4" t="s">
        <v>314</v>
      </c>
      <c r="C4" s="2">
        <v>0</v>
      </c>
    </row>
    <row r="5" spans="1:3" x14ac:dyDescent="0.15">
      <c r="A5" s="4" t="s">
        <v>3</v>
      </c>
      <c r="B5" s="4" t="s">
        <v>9</v>
      </c>
      <c r="C5" s="2">
        <v>60000</v>
      </c>
    </row>
    <row r="6" spans="1:3" x14ac:dyDescent="0.15">
      <c r="A6" s="4" t="s">
        <v>4</v>
      </c>
      <c r="B6" s="4" t="s">
        <v>10</v>
      </c>
      <c r="C6" s="2">
        <v>8</v>
      </c>
    </row>
    <row r="7" spans="1:3" x14ac:dyDescent="0.15">
      <c r="A7" s="4" t="s">
        <v>5</v>
      </c>
      <c r="B7" s="4" t="s">
        <v>11</v>
      </c>
      <c r="C7" s="2">
        <v>1500</v>
      </c>
    </row>
    <row r="8" spans="1:3" x14ac:dyDescent="0.15">
      <c r="A8" s="4" t="s">
        <v>6</v>
      </c>
      <c r="B8" s="4" t="s">
        <v>12</v>
      </c>
      <c r="C8" s="2">
        <v>0</v>
      </c>
    </row>
    <row r="9" spans="1:3" x14ac:dyDescent="0.15">
      <c r="A9" s="4" t="s">
        <v>14</v>
      </c>
      <c r="B9" s="4" t="s">
        <v>315</v>
      </c>
      <c r="C9" s="2">
        <v>1000</v>
      </c>
    </row>
    <row r="10" spans="1:3" x14ac:dyDescent="0.15">
      <c r="A10" s="4" t="s">
        <v>59</v>
      </c>
      <c r="B10" s="4" t="s">
        <v>61</v>
      </c>
      <c r="C10" s="4">
        <f>C21</f>
        <v>64118</v>
      </c>
    </row>
    <row r="11" spans="1:3" x14ac:dyDescent="0.15">
      <c r="A11" s="4" t="s">
        <v>25</v>
      </c>
      <c r="B11" s="4" t="s">
        <v>28</v>
      </c>
      <c r="C11" s="2">
        <v>10</v>
      </c>
    </row>
    <row r="12" spans="1:3" x14ac:dyDescent="0.15">
      <c r="A12" s="4" t="s">
        <v>60</v>
      </c>
      <c r="B12" s="4" t="s">
        <v>62</v>
      </c>
      <c r="C12" s="4">
        <f>C28</f>
        <v>97</v>
      </c>
    </row>
    <row r="13" spans="1:3" x14ac:dyDescent="0.15">
      <c r="A13" s="4" t="s">
        <v>81</v>
      </c>
      <c r="B13" s="4" t="s">
        <v>316</v>
      </c>
      <c r="C13" s="2">
        <v>10</v>
      </c>
    </row>
    <row r="14" spans="1:3" x14ac:dyDescent="0.15">
      <c r="A14" s="4" t="s">
        <v>87</v>
      </c>
      <c r="B14" s="4" t="s">
        <v>318</v>
      </c>
      <c r="C14" s="2">
        <v>0</v>
      </c>
    </row>
    <row r="15" spans="1:3" x14ac:dyDescent="0.15">
      <c r="A15" s="4"/>
      <c r="B15" s="4"/>
      <c r="C15" s="4"/>
    </row>
    <row r="16" spans="1:3" hidden="1" x14ac:dyDescent="0.15">
      <c r="A16" s="4"/>
      <c r="B16" s="4"/>
      <c r="C16" s="4"/>
    </row>
    <row r="17" spans="1:3" hidden="1" x14ac:dyDescent="0.15">
      <c r="A17" s="6" t="s">
        <v>15</v>
      </c>
      <c r="B17" s="6"/>
      <c r="C17" s="6">
        <f>MAX(ROUNDDOWN((C5*65+612)/3152,0)-1,0)</f>
        <v>1236</v>
      </c>
    </row>
    <row r="18" spans="1:3" hidden="1" x14ac:dyDescent="0.15">
      <c r="A18" s="6" t="s">
        <v>16</v>
      </c>
      <c r="B18" s="6"/>
      <c r="C18" s="6">
        <f>ROUNDDOWN(C2*C3*ROUNDUP(C6/8,0)/(C7-36),0)</f>
        <v>3424</v>
      </c>
    </row>
    <row r="19" spans="1:3" hidden="1" x14ac:dyDescent="0.15">
      <c r="A19" s="6" t="s">
        <v>17</v>
      </c>
      <c r="B19" s="6"/>
      <c r="C19" s="6">
        <f>C2*C3*ROUNDUP(C6/8,0)-(C7-36)*C18</f>
        <v>768</v>
      </c>
    </row>
    <row r="20" spans="1:3" hidden="1" x14ac:dyDescent="0.15">
      <c r="A20" s="6" t="s">
        <v>59</v>
      </c>
      <c r="B20" s="6"/>
      <c r="C20" s="6">
        <f>ROUNDDOWN((C23-(62+C7-36)*C18-(62+C19)-168)/(C18+3),0)-12</f>
        <v>64118</v>
      </c>
    </row>
    <row r="21" spans="1:3" hidden="1" x14ac:dyDescent="0.15">
      <c r="A21" s="6" t="s">
        <v>91</v>
      </c>
      <c r="B21" s="6"/>
      <c r="C21" s="6">
        <f>IF(C20&gt;180000,180000,C20)</f>
        <v>64118</v>
      </c>
    </row>
    <row r="22" spans="1:3" hidden="1" x14ac:dyDescent="0.15">
      <c r="A22" s="6" t="s">
        <v>18</v>
      </c>
      <c r="B22" s="6"/>
      <c r="C22" s="6">
        <f>(62+(C7-36))*C18+(62+C19)+(C8+12)*(C18+3)+168</f>
        <v>5267146</v>
      </c>
    </row>
    <row r="23" spans="1:3" hidden="1" x14ac:dyDescent="0.15">
      <c r="A23" s="6" t="s">
        <v>57</v>
      </c>
      <c r="B23" s="6"/>
      <c r="C23" s="6">
        <f>2500*C9*(100-C11)</f>
        <v>225000000</v>
      </c>
    </row>
    <row r="24" spans="1:3" hidden="1" x14ac:dyDescent="0.15">
      <c r="A24" s="6" t="s">
        <v>92</v>
      </c>
      <c r="B24" s="6"/>
      <c r="C24" s="6">
        <f>250000*C9</f>
        <v>250000000</v>
      </c>
    </row>
    <row r="25" spans="1:3" hidden="1" x14ac:dyDescent="0.15">
      <c r="A25" s="6" t="s">
        <v>19</v>
      </c>
      <c r="B25" s="6"/>
      <c r="C25" s="6">
        <f>ROUNDDOWN(C22/(ROUNDDOWN(C9*3152/(ROUNDDOWN(65*10/(100-C11),0)*10),0)),0)*8</f>
        <v>928</v>
      </c>
    </row>
    <row r="26" spans="1:3" hidden="1" x14ac:dyDescent="0.15">
      <c r="A26" s="6" t="s">
        <v>21</v>
      </c>
      <c r="B26" s="6"/>
      <c r="C26" s="6">
        <f>(MAX(ROUNDDOWN((C4+8)/4,0),2)-2+3+C4+8)-((MAX(ROUNDDOWN((C4+8)/4,0),2)-2)*4)+C3</f>
        <v>2059</v>
      </c>
    </row>
    <row r="27" spans="1:3" hidden="1" x14ac:dyDescent="0.15">
      <c r="A27" s="6" t="s">
        <v>20</v>
      </c>
      <c r="B27" s="6"/>
      <c r="C27" s="6">
        <f>ROUNDDOWN((2072-(C3+C4+8))/4,0)-1+C26</f>
        <v>2062</v>
      </c>
    </row>
    <row r="28" spans="1:3" hidden="1" x14ac:dyDescent="0.15">
      <c r="A28" s="6" t="s">
        <v>60</v>
      </c>
      <c r="B28" s="6"/>
      <c r="C28" s="6">
        <f>100-ROUNDDOWN(C22*10/(C24/10),0)-1</f>
        <v>97</v>
      </c>
    </row>
    <row r="29" spans="1:3" hidden="1" x14ac:dyDescent="0.15">
      <c r="A29" s="6" t="s">
        <v>69</v>
      </c>
      <c r="B29" s="6"/>
      <c r="C29" s="6">
        <f>IF(C14=1,MAX(ROUNDUP(ROUNDUP(10000000/(C13*10),0)*65/3152,0)-1,0),0)</f>
        <v>0</v>
      </c>
    </row>
    <row r="30" spans="1:3" hidden="1" x14ac:dyDescent="0.15">
      <c r="A30" s="6" t="s">
        <v>94</v>
      </c>
      <c r="B30" s="6"/>
      <c r="C30" s="6">
        <f>IF(MAX(C25,C27+2,C17,C29)=C17,C17+4+1,MAX(C25,C27+2,C17,C29)+1)</f>
        <v>2065</v>
      </c>
    </row>
    <row r="31" spans="1:3" hidden="1" x14ac:dyDescent="0.15">
      <c r="A31" s="6" t="s">
        <v>22</v>
      </c>
      <c r="B31" s="6"/>
      <c r="C31" s="6">
        <f>ROUNDDOWN(ROUNDDOWN(65*1000000/3152,0)*1000/C30,0)</f>
        <v>9985</v>
      </c>
    </row>
    <row r="32" spans="1:3" hidden="1" x14ac:dyDescent="0.15">
      <c r="A32" s="6" t="s">
        <v>23</v>
      </c>
      <c r="B32" s="6"/>
      <c r="C32" s="6">
        <f>ROUNDDOWN(1000000/ROUNDDOWN((C30*3152/65),0),2)</f>
        <v>9.98</v>
      </c>
    </row>
    <row r="33" spans="1:3" hidden="1" x14ac:dyDescent="0.15">
      <c r="A33" s="6"/>
      <c r="B33" s="6"/>
      <c r="C33" s="6"/>
    </row>
    <row r="34" spans="1:3" hidden="1" x14ac:dyDescent="0.15">
      <c r="A34" s="6"/>
      <c r="B34" s="6"/>
      <c r="C34" s="6"/>
    </row>
    <row r="35" spans="1:3" x14ac:dyDescent="0.15">
      <c r="A35" s="8" t="s">
        <v>24</v>
      </c>
      <c r="B35" s="6"/>
      <c r="C35" s="6"/>
    </row>
    <row r="36" spans="1:3" ht="18.75" x14ac:dyDescent="0.15">
      <c r="A36" s="9" t="s">
        <v>23</v>
      </c>
      <c r="B36" s="9" t="s">
        <v>307</v>
      </c>
      <c r="C36" s="9">
        <f>C32</f>
        <v>9.98</v>
      </c>
    </row>
  </sheetData>
  <sheetProtection algorithmName="SHA-512" hashValue="QPYpeggEqd+UdbYZHGujXW3sgWoHmzO6ra4xIuAmw6A3WZtQ9+LOnvUdLxFdOiriKp9Q46RAWO8dwaW9n8Iz0Q==" saltValue="OPPtANiiIhM8DGZe6lueEA==" spinCount="100000" sheet="1" objects="1" scenarios="1"/>
  <phoneticPr fontId="1" type="noConversion"/>
  <dataValidations count="13">
    <dataValidation type="whole" allowBlank="1" showInputMessage="1" showErrorMessage="1" sqref="C12">
      <formula1>0</formula1>
      <formula2>C28</formula2>
    </dataValidation>
    <dataValidation type="whole" allowBlank="1" showInputMessage="1" showErrorMessage="1" sqref="C10">
      <formula1>0</formula1>
      <formula2>C21</formula2>
    </dataValidation>
    <dataValidation type="custom" allowBlank="1" showInputMessage="1" showErrorMessage="1" errorTitle="Input parameter error" error="Input range:[0.1, 10000]" sqref="C13">
      <formula1>AND(TRUNC(C13,1)=C13,(C13&gt;=0.1),(C13&lt;=10000))</formula1>
    </dataValidation>
    <dataValidation type="custom" allowBlank="1" showInputMessage="1" showErrorMessage="1" errorTitle="Input parameter error" error="Input 0 or 1" sqref="C14">
      <formula1>OR((C14=0),(C14=1))</formula1>
    </dataValidation>
    <dataValidation type="whole" allowBlank="1" showInputMessage="1" showErrorMessage="1" errorTitle="Input parameter error" error="Input range:[0, 'BandwidthReserveMaxValue'], and is an integer multiple of 1" sqref="C11">
      <formula1>0</formula1>
      <formula2>C12</formula2>
    </dataValidation>
    <dataValidation type="custom" allowBlank="1" showInputMessage="1" showErrorMessage="1" errorTitle="Input parameter error" error="Input 1000 or 100" sqref="C9">
      <formula1>OR((C9=1000),(C9=100))</formula1>
    </dataValidation>
    <dataValidation type="whole" allowBlank="1" showInputMessage="1" showErrorMessage="1" errorTitle="Input parameter error" error="Input range:[0, 'GevSCPDMaxValue'], and is an integer multiple of 1" sqref="C8">
      <formula1>0</formula1>
      <formula2>C10</formula2>
    </dataValidation>
    <dataValidation type="custom" allowBlank="1" showInputMessage="1" showErrorMessage="1" errorTitle="Input parameter error" error="Input range:[512, 8192],and is an integer multiple of 4" sqref="C7">
      <formula1>AND((C7&lt;=8192),(C7&gt;=512),(MOD(C7,4)=0))</formula1>
    </dataValidation>
    <dataValidation type="custom" allowBlank="1" showInputMessage="1" showErrorMessage="1" errorTitle="Input parameter error" error="Input 8 or 12" sqref="C6">
      <formula1>OR((C6=8),(C6=12))</formula1>
    </dataValidation>
    <dataValidation type="whole" allowBlank="1" showInputMessage="1" showErrorMessage="1" errorTitle="Input parameter error" error="Input range:[20, 1000000]" sqref="C5">
      <formula1>20</formula1>
      <formula2>1000000</formula2>
    </dataValidation>
    <dataValidation type="custom" allowBlank="1" showInputMessage="1" showErrorMessage="1" errorTitle="Input parameter error" error="Input range:[0, (2048-'Height')],and is an integer multiple of 2" sqref="C4">
      <formula1>AND(((C3+C4)&lt;=2048),(MOD(C4,2)=0))</formula1>
    </dataValidation>
    <dataValidation type="custom" allowBlank="1" showInputMessage="1" showErrorMessage="1" errorTitle="Input parameter error" error="Input range:[64, (2048-'OffsetY')],and is an integer multiple of 2" sqref="C3">
      <formula1>AND(((C3+C4)&lt;=2048),(C3&gt;=64),(MOD(C3,2)=0))</formula1>
    </dataValidation>
    <dataValidation type="custom" allowBlank="1" showInputMessage="1" showErrorMessage="1" errorTitle="Input parameter error" error="Input range:[64, 2448],and is an integer multiple of 4" sqref="C2">
      <formula1>AND((C2&lt;=2448),(C2&gt;=64),(MOD(C2,4)=0))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Revision History</vt:lpstr>
      <vt:lpstr>MER-200-14GX</vt:lpstr>
      <vt:lpstr>MER-200-20GX（POE）</vt:lpstr>
      <vt:lpstr>MER-030-120GX（POE）</vt:lpstr>
      <vt:lpstr>MER-032-120GX（POE）</vt:lpstr>
      <vt:lpstr>MER-125-30GX（POE）</vt:lpstr>
      <vt:lpstr>MER-132-30GX</vt:lpstr>
      <vt:lpstr>MER-132-43GX（POE）</vt:lpstr>
      <vt:lpstr>MER-504-10GX（POE）</vt:lpstr>
      <vt:lpstr>MER-131-75GX（POE、NIR）</vt:lpstr>
      <vt:lpstr>MER-031-300GX（POE、NIR）</vt:lpstr>
      <vt:lpstr>MER-050-200GX（POE、NIR）</vt:lpstr>
      <vt:lpstr>MER-500-14GX（POE）</vt:lpstr>
      <vt:lpstr>MER-1520-7GX（POE）</vt:lpstr>
      <vt:lpstr>MER-1070-10GX（POE）</vt:lpstr>
      <vt:lpstr>MER-231-41GX(POE)</vt:lpstr>
      <vt:lpstr>MER-503-20GX（POE）</vt:lpstr>
      <vt:lpstr>MER-530-20GX（POE、NIR）</vt:lpstr>
      <vt:lpstr>MER-531-20GX（POE）</vt:lpstr>
      <vt:lpstr>MER-130-30GX（POE)</vt:lpstr>
      <vt:lpstr>MER-051-120GX(POE)</vt:lpstr>
      <vt:lpstr>MER-133-54GX(POE)</vt:lpstr>
      <vt:lpstr>MER-232-48GX(POE NIR)</vt:lpstr>
      <vt:lpstr>MER-2000-5GX(POE)</vt:lpstr>
      <vt:lpstr>MER-630-16GX(POE)</vt:lpstr>
      <vt:lpstr>MER-201-25GX(POE)</vt:lpstr>
      <vt:lpstr>MER-1220-9GX(POE)</vt:lpstr>
      <vt:lpstr>MER-041-302GX(POE)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hanxue</dc:creator>
  <cp:lastModifiedBy>Administrator</cp:lastModifiedBy>
  <dcterms:created xsi:type="dcterms:W3CDTF">2016-03-14T05:10:40Z</dcterms:created>
  <dcterms:modified xsi:type="dcterms:W3CDTF">2019-12-13T05:49:56Z</dcterms:modified>
</cp:coreProperties>
</file>